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hanggunguniversity-my.sharepoint.com/personal/d000000398_cgu_edu_tw/Documents/教學資料/MOCC-Excel-2010/"/>
    </mc:Choice>
  </mc:AlternateContent>
  <xr:revisionPtr revIDLastSave="194" documentId="8_{4B876DC8-036A-4806-94A7-8B7519780648}" xr6:coauthVersionLast="46" xr6:coauthVersionMax="46" xr10:uidLastSave="{D862DC7B-DC29-4037-9A09-F7B5D8DECEEF}"/>
  <bookViews>
    <workbookView xWindow="-108" yWindow="-108" windowWidth="23256" windowHeight="14016" tabRatio="796" activeTab="4" xr2:uid="{00000000-000D-0000-FFFF-FFFF00000000}"/>
  </bookViews>
  <sheets>
    <sheet name="學生成績" sheetId="5" r:id="rId1"/>
    <sheet name="Sumif函數應用" sheetId="1" r:id="rId2"/>
    <sheet name="條件式加總" sheetId="15" r:id="rId3"/>
    <sheet name="SUMPRODUCT應用" sheetId="7" r:id="rId4"/>
    <sheet name="範例1" sheetId="16" r:id="rId5"/>
    <sheet name="範例2" sheetId="22" r:id="rId6"/>
    <sheet name="VLOOKUP" sheetId="20" r:id="rId7"/>
    <sheet name="HLOOKUP" sheetId="21" r:id="rId8"/>
    <sheet name="日期" sheetId="12" state="hidden" r:id="rId9"/>
    <sheet name="文字函數範例" sheetId="14" r:id="rId10"/>
    <sheet name="PMT" sheetId="17" r:id="rId11"/>
    <sheet name="FV" sheetId="18" r:id="rId12"/>
    <sheet name="PV" sheetId="19" r:id="rId13"/>
  </sheets>
  <externalReferences>
    <externalReference r:id="rId14"/>
    <externalReference r:id="rId15"/>
    <externalReference r:id="rId16"/>
    <externalReference r:id="rId17"/>
  </externalReferences>
  <definedNames>
    <definedName name="_xlnm._FilterDatabase" localSheetId="1" hidden="1">Sumif函數應用!$A$2:$C$8</definedName>
    <definedName name="wrn.1996._.報表." localSheetId="5" hidden="1">{"全年度資料",#N/A,FALSE,"季報表"}</definedName>
    <definedName name="wrn.1996._.報表." hidden="1">{"全年度資料",#N/A,FALSE,"季報表"}</definedName>
    <definedName name="小計" localSheetId="5">[1]條件式加總!$G$2:$G$101</definedName>
    <definedName name="小計">條件式加總!$G$2:$G$101</definedName>
    <definedName name="地區" localSheetId="5">[1]條件式加總!$D$2:$D$101</definedName>
    <definedName name="地區">條件式加總!$D$2:$D$101</definedName>
    <definedName name="折舊年限" localSheetId="5">#REF!</definedName>
    <definedName name="折舊年限">#REF!</definedName>
    <definedName name="科目">TRANSPOSE([2]練習!$G$4:$I$4)</definedName>
    <definedName name="座位限額">[3]公式稽核!$B$5</definedName>
    <definedName name="商品名稱" localSheetId="5">[1]範例1!$H$4:$H$9</definedName>
    <definedName name="商品名稱">[4]商品一覽!$B$3:$B$8</definedName>
    <definedName name="產品" localSheetId="5">[1]條件式加總!$C$2:$C$101</definedName>
    <definedName name="產品">條件式加總!$C$2:$C$101</definedName>
    <definedName name="票價">[3]公式稽核!$B$10</definedName>
    <definedName name="單價">條件式加總!$E$2:$E$101</definedName>
    <definedName name="景氣係數">[3]公式稽核!$B$3</definedName>
    <definedName name="晴天機率因子">[3]公式稽核!$B$2</definedName>
    <definedName name="殘值" localSheetId="5">#REF!</definedName>
    <definedName name="殘值">#REF!</definedName>
    <definedName name="買出票數">[3]公式稽核!$B$7</definedName>
    <definedName name="資產總值" localSheetId="5">#REF!</definedName>
    <definedName name="資產總值">#REF!</definedName>
    <definedName name="廣告量">[3]公式稽核!$B$4</definedName>
    <definedName name="銷售員" localSheetId="5">[1]條件式加總!$B$2:$B$101</definedName>
    <definedName name="銷售員">條件式加總!$B$2:$B$101</definedName>
    <definedName name="銷售量" localSheetId="5">[1]條件式加總!$F$2:$F$101</definedName>
    <definedName name="銷售量">條件式加總!$F$2:$F$101</definedName>
    <definedName name="檢定成績" localSheetId="5">#REF!</definedName>
    <definedName name="檢定成績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1" i="21" l="1"/>
  <c r="L24" i="22"/>
  <c r="K24" i="22" a="1"/>
  <c r="K24" i="22"/>
  <c r="K26" i="22" a="1"/>
  <c r="K26" i="22"/>
  <c r="K10" i="22"/>
  <c r="L26" i="22"/>
  <c r="L23" i="22"/>
  <c r="K23" i="22"/>
  <c r="L20" i="22"/>
  <c r="K20" i="22" a="1"/>
  <c r="K20" i="22"/>
  <c r="L19" i="22"/>
  <c r="K19" i="22"/>
  <c r="K13" i="22"/>
  <c r="L12" i="22"/>
  <c r="L10" i="22"/>
  <c r="L7" i="22"/>
  <c r="K7" i="22"/>
  <c r="L6" i="22"/>
  <c r="K6" i="22"/>
  <c r="L5" i="22"/>
  <c r="K5" i="22"/>
  <c r="R4" i="21" a="1"/>
  <c r="R4" i="21"/>
  <c r="R5" i="21" a="1"/>
  <c r="R5" i="21"/>
  <c r="R6" i="21" a="1"/>
  <c r="R6" i="21"/>
  <c r="R7" i="21" a="1"/>
  <c r="R7" i="21"/>
  <c r="R8" i="21" a="1"/>
  <c r="R8" i="21"/>
  <c r="R9" i="21" a="1"/>
  <c r="R9" i="21"/>
  <c r="R10" i="21" a="1"/>
  <c r="R10" i="21"/>
  <c r="R11" i="21" a="1"/>
  <c r="R11" i="21"/>
  <c r="R12" i="21" a="1"/>
  <c r="R12" i="21"/>
  <c r="R13" i="21" a="1"/>
  <c r="R13" i="21"/>
  <c r="R14" i="21" a="1"/>
  <c r="R14" i="21"/>
  <c r="R15" i="21" a="1"/>
  <c r="R15" i="21"/>
  <c r="R16" i="21" a="1"/>
  <c r="R16" i="21"/>
  <c r="R3" i="21" a="1"/>
  <c r="R3" i="21"/>
  <c r="W15" i="5"/>
  <c r="G2" i="5"/>
  <c r="I13" i="16"/>
  <c r="K4" i="16"/>
  <c r="I4" i="16"/>
  <c r="I16" i="15" a="1"/>
  <c r="I16" i="15"/>
  <c r="I11" i="15"/>
  <c r="I9" i="1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B35" i="20"/>
  <c r="H3" i="14"/>
  <c r="H4" i="14"/>
  <c r="H5" i="14"/>
  <c r="H6" i="14"/>
  <c r="H7" i="14"/>
  <c r="H8" i="14"/>
  <c r="H9" i="14"/>
  <c r="M22" i="21"/>
  <c r="P16" i="21"/>
  <c r="S16" i="21"/>
  <c r="P15" i="21"/>
  <c r="S15" i="21"/>
  <c r="P14" i="21"/>
  <c r="S14" i="21"/>
  <c r="P13" i="21"/>
  <c r="Q13" i="21"/>
  <c r="S13" i="21"/>
  <c r="D16" i="21"/>
  <c r="P12" i="21"/>
  <c r="Q12" i="21"/>
  <c r="P11" i="21"/>
  <c r="Q11" i="21"/>
  <c r="P10" i="21"/>
  <c r="S10" i="21"/>
  <c r="P9" i="21"/>
  <c r="S9" i="21"/>
  <c r="P8" i="21"/>
  <c r="S8" i="21"/>
  <c r="P7" i="21"/>
  <c r="S7" i="21"/>
  <c r="P6" i="21"/>
  <c r="S6" i="21"/>
  <c r="P5" i="21"/>
  <c r="Q5" i="21"/>
  <c r="Q4" i="21"/>
  <c r="P4" i="21"/>
  <c r="S4" i="21"/>
  <c r="P3" i="21"/>
  <c r="S3" i="21"/>
  <c r="Q3" i="21"/>
  <c r="R53" i="20"/>
  <c r="R52" i="20"/>
  <c r="R51" i="20"/>
  <c r="R50" i="20"/>
  <c r="R49" i="20"/>
  <c r="R48" i="20"/>
  <c r="R47" i="20"/>
  <c r="R46" i="20"/>
  <c r="R45" i="20"/>
  <c r="R44" i="20"/>
  <c r="R43" i="20"/>
  <c r="R42" i="20"/>
  <c r="R41" i="20"/>
  <c r="R40" i="20"/>
  <c r="R39" i="20"/>
  <c r="R38" i="20"/>
  <c r="R37" i="20"/>
  <c r="R36" i="20"/>
  <c r="R35" i="20"/>
  <c r="R34" i="20"/>
  <c r="R33" i="20"/>
  <c r="J28" i="20"/>
  <c r="N27" i="20"/>
  <c r="N26" i="20"/>
  <c r="F17" i="20"/>
  <c r="E17" i="20"/>
  <c r="D17" i="20"/>
  <c r="F16" i="20"/>
  <c r="E16" i="20"/>
  <c r="D16" i="20"/>
  <c r="F15" i="20"/>
  <c r="E15" i="20"/>
  <c r="D15" i="20"/>
  <c r="F14" i="20"/>
  <c r="E14" i="20"/>
  <c r="D14" i="20"/>
  <c r="F13" i="20"/>
  <c r="E13" i="20"/>
  <c r="D13" i="20"/>
  <c r="F12" i="20"/>
  <c r="E12" i="20"/>
  <c r="D12" i="20"/>
  <c r="F11" i="20"/>
  <c r="E11" i="20"/>
  <c r="D11" i="20"/>
  <c r="F10" i="20"/>
  <c r="E10" i="20"/>
  <c r="D10" i="20"/>
  <c r="U10" i="20"/>
  <c r="F9" i="20"/>
  <c r="E9" i="20"/>
  <c r="D9" i="20"/>
  <c r="F8" i="20"/>
  <c r="E8" i="20"/>
  <c r="D8" i="20"/>
  <c r="F7" i="20"/>
  <c r="E7" i="20"/>
  <c r="D7" i="20"/>
  <c r="F6" i="20"/>
  <c r="E6" i="20"/>
  <c r="D6" i="20"/>
  <c r="F5" i="20"/>
  <c r="E5" i="20"/>
  <c r="D5" i="20"/>
  <c r="F4" i="20"/>
  <c r="E4" i="20"/>
  <c r="D4" i="20"/>
  <c r="Q8" i="21"/>
  <c r="S5" i="21"/>
  <c r="Q14" i="21"/>
  <c r="Q16" i="21"/>
  <c r="S11" i="21"/>
  <c r="Q9" i="21"/>
  <c r="V16" i="21"/>
  <c r="Q7" i="21"/>
  <c r="Q15" i="21"/>
  <c r="I14" i="16"/>
  <c r="J14" i="16"/>
  <c r="I15" i="16"/>
  <c r="J15" i="16"/>
  <c r="I16" i="16"/>
  <c r="J16" i="16"/>
  <c r="I17" i="16"/>
  <c r="J17" i="16"/>
  <c r="I18" i="16"/>
  <c r="J18" i="16"/>
  <c r="J13" i="16"/>
  <c r="K5" i="16"/>
  <c r="K6" i="16"/>
  <c r="K7" i="16"/>
  <c r="K8" i="16"/>
  <c r="K9" i="16"/>
  <c r="I15" i="15"/>
  <c r="B5" i="19"/>
  <c r="B13" i="18"/>
  <c r="B4" i="18"/>
  <c r="I20" i="17"/>
  <c r="B8" i="17"/>
  <c r="B7" i="17"/>
  <c r="B9" i="17"/>
  <c r="B4" i="17"/>
  <c r="C21" i="14"/>
  <c r="C25" i="14"/>
  <c r="D19" i="14"/>
  <c r="C19" i="14"/>
  <c r="H2" i="14"/>
  <c r="A5" i="12"/>
  <c r="A4" i="12"/>
  <c r="A3" i="12"/>
  <c r="A2" i="12"/>
  <c r="B1" i="12"/>
  <c r="A7" i="12"/>
  <c r="M33" i="16"/>
  <c r="Z25" i="16"/>
  <c r="X25" i="16"/>
  <c r="V25" i="16"/>
  <c r="Z24" i="16"/>
  <c r="X24" i="16"/>
  <c r="V24" i="16"/>
  <c r="Z23" i="16"/>
  <c r="X23" i="16"/>
  <c r="V23" i="16"/>
  <c r="Z22" i="16"/>
  <c r="X22" i="16"/>
  <c r="V22" i="16"/>
  <c r="M22" i="16"/>
  <c r="Z21" i="16"/>
  <c r="X21" i="16"/>
  <c r="V21" i="16"/>
  <c r="Z20" i="16"/>
  <c r="X20" i="16"/>
  <c r="V20" i="16"/>
  <c r="Z19" i="16"/>
  <c r="X19" i="16"/>
  <c r="V19" i="16"/>
  <c r="Z18" i="16"/>
  <c r="X18" i="16"/>
  <c r="V18" i="16"/>
  <c r="Z17" i="16"/>
  <c r="X17" i="16"/>
  <c r="V17" i="16"/>
  <c r="Z16" i="16"/>
  <c r="X16" i="16"/>
  <c r="V16" i="16"/>
  <c r="Z15" i="16"/>
  <c r="X15" i="16"/>
  <c r="V15" i="16"/>
  <c r="Z14" i="16"/>
  <c r="X14" i="16"/>
  <c r="V14" i="16"/>
  <c r="Z13" i="16"/>
  <c r="X13" i="16"/>
  <c r="V13" i="16"/>
  <c r="Z12" i="16"/>
  <c r="X12" i="16"/>
  <c r="V12" i="16"/>
  <c r="I9" i="16"/>
  <c r="I8" i="16"/>
  <c r="I7" i="16"/>
  <c r="I6" i="16"/>
  <c r="I5" i="16"/>
  <c r="K18" i="15"/>
  <c r="I17" i="15" a="1"/>
  <c r="I17" i="15"/>
  <c r="M11" i="15"/>
  <c r="I10" i="15"/>
  <c r="X16" i="5"/>
  <c r="X24" i="5"/>
  <c r="W21" i="5"/>
  <c r="W20" i="5"/>
  <c r="X17" i="5"/>
  <c r="X25" i="5"/>
  <c r="W22" i="5"/>
  <c r="X18" i="5"/>
  <c r="X15" i="5"/>
  <c r="W23" i="5"/>
  <c r="X19" i="5"/>
  <c r="W16" i="5"/>
  <c r="W24" i="5"/>
  <c r="X20" i="5"/>
  <c r="W17" i="5"/>
  <c r="W25" i="5"/>
  <c r="X23" i="5"/>
  <c r="X21" i="5"/>
  <c r="W18" i="5"/>
  <c r="X22" i="5"/>
  <c r="W19" i="5"/>
  <c r="W16" i="21"/>
  <c r="P27" i="20"/>
  <c r="J15" i="15"/>
  <c r="L35" i="16"/>
  <c r="L24" i="16"/>
  <c r="J16" i="15"/>
  <c r="V10" i="20"/>
  <c r="N31" i="21"/>
  <c r="E16" i="21"/>
  <c r="C35" i="20"/>
  <c r="P26" i="20"/>
  <c r="J17" i="15"/>
  <c r="N22" i="21"/>
  <c r="L10" i="15"/>
  <c r="L9" i="15"/>
  <c r="Q6" i="21"/>
  <c r="Q10" i="21"/>
  <c r="S12" i="21"/>
  <c r="G16" i="20"/>
  <c r="G13" i="20"/>
  <c r="G4" i="20"/>
  <c r="G9" i="20"/>
  <c r="G11" i="20"/>
  <c r="G14" i="20"/>
  <c r="G12" i="20"/>
  <c r="G6" i="20"/>
  <c r="G15" i="20"/>
  <c r="A8" i="12"/>
  <c r="G7" i="20"/>
  <c r="G17" i="20"/>
  <c r="G5" i="20"/>
  <c r="G8" i="20"/>
  <c r="G10" i="20"/>
  <c r="A6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MORGAN</author>
    <author>Windows 使用者</author>
  </authors>
  <commentList>
    <comment ref="I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傳回某數值在資料集中的排名，以資料集的百分比</t>
        </r>
        <r>
          <rPr>
            <sz val="9"/>
            <color indexed="81"/>
            <rFont val="Tahoma"/>
            <family val="2"/>
          </rPr>
          <t xml:space="preserve"> (0 </t>
        </r>
        <r>
          <rPr>
            <sz val="9"/>
            <color indexed="81"/>
            <rFont val="細明體"/>
            <family val="3"/>
            <charset val="136"/>
          </rPr>
          <t>到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細明體"/>
            <family val="3"/>
            <charset val="136"/>
          </rPr>
          <t>，不含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細明體"/>
            <family val="3"/>
            <charset val="136"/>
          </rPr>
          <t>和</t>
        </r>
        <r>
          <rPr>
            <sz val="9"/>
            <color indexed="81"/>
            <rFont val="Tahoma"/>
            <family val="2"/>
          </rPr>
          <t xml:space="preserve"> 1) </t>
        </r>
        <r>
          <rPr>
            <sz val="9"/>
            <color indexed="81"/>
            <rFont val="細明體"/>
            <family val="3"/>
            <charset val="136"/>
          </rPr>
          <t>表示</t>
        </r>
      </text>
    </comment>
    <comment ref="L1" authorId="1" shapeId="0" xr:uid="{6CC30A7E-140E-41EC-A062-C850B6030D54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用與K2一樣的公式，但須將 J2&gt;0.9中的 J2 取代為 J2中函數。本題是假設，沒有J欄的計算時，如何將計算在同一公式中完成。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使用者</author>
  </authors>
  <commentList>
    <comment ref="I17" authorId="0" shapeId="0" xr:uid="{E8A097AF-56FE-4C8D-98F0-813841BC5107}">
      <text>
        <r>
          <rPr>
            <sz val="9"/>
            <color indexed="81"/>
            <rFont val="細明體"/>
            <family val="3"/>
            <charset val="136"/>
          </rPr>
          <t>陣列函數
輸入公式後要按
Ctrl+Shift+Enter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MORGAN</author>
  </authors>
  <commentList>
    <comment ref="C19" authorId="0" shapeId="0" xr:uid="{00000000-0006-0000-0800-000001000000}">
      <text>
        <r>
          <rPr>
            <sz val="9"/>
            <color indexed="81"/>
            <rFont val="細明體"/>
            <family val="3"/>
            <charset val="136"/>
          </rPr>
          <t>第一個</t>
        </r>
        <r>
          <rPr>
            <sz val="9"/>
            <color indexed="81"/>
            <rFont val="Tahoma"/>
            <family val="2"/>
          </rPr>
          <t xml:space="preserve"> "</t>
        </r>
        <r>
          <rPr>
            <sz val="9"/>
            <color indexed="81"/>
            <rFont val="細明體"/>
            <family val="3"/>
            <charset val="136"/>
          </rPr>
          <t>好</t>
        </r>
        <r>
          <rPr>
            <sz val="9"/>
            <color indexed="81"/>
            <rFont val="Tahoma"/>
            <family val="2"/>
          </rPr>
          <t xml:space="preserve">" </t>
        </r>
        <r>
          <rPr>
            <sz val="9"/>
            <color indexed="81"/>
            <rFont val="細明體"/>
            <family val="3"/>
            <charset val="136"/>
          </rPr>
          <t>的位置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" authorId="0" shapeId="0" xr:uid="{00000000-0006-0000-0800-000002000000}">
      <text>
        <r>
          <rPr>
            <sz val="9"/>
            <color indexed="81"/>
            <rFont val="細明體"/>
            <family val="3"/>
            <charset val="136"/>
          </rPr>
          <t>第二個</t>
        </r>
        <r>
          <rPr>
            <sz val="9"/>
            <color indexed="81"/>
            <rFont val="Tahoma"/>
            <family val="2"/>
          </rPr>
          <t xml:space="preserve"> "</t>
        </r>
        <r>
          <rPr>
            <sz val="9"/>
            <color indexed="81"/>
            <rFont val="細明體"/>
            <family val="3"/>
            <charset val="136"/>
          </rPr>
          <t>好</t>
        </r>
        <r>
          <rPr>
            <sz val="9"/>
            <color indexed="81"/>
            <rFont val="Tahoma"/>
            <family val="2"/>
          </rPr>
          <t xml:space="preserve">" </t>
        </r>
        <r>
          <rPr>
            <sz val="9"/>
            <color indexed="81"/>
            <rFont val="細明體"/>
            <family val="3"/>
            <charset val="136"/>
          </rPr>
          <t>的位置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MORGAN</author>
  </authors>
  <commentList>
    <comment ref="B5" authorId="0" shapeId="0" xr:uid="{00000000-0006-0000-0B00-000001000000}">
      <text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細明體"/>
            <family val="3"/>
            <charset val="136"/>
          </rPr>
          <t>十年後領取總金額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<sst xmlns="http://schemas.openxmlformats.org/spreadsheetml/2006/main" count="1032" uniqueCount="470">
  <si>
    <t>銷售額</t>
    <phoneticPr fontId="3" type="noConversion"/>
  </si>
  <si>
    <t>獎金</t>
    <phoneticPr fontId="3" type="noConversion"/>
  </si>
  <si>
    <t>林宏諭</t>
    <phoneticPr fontId="3" type="noConversion"/>
  </si>
  <si>
    <t>安心出版社</t>
    <phoneticPr fontId="3" type="noConversion"/>
  </si>
  <si>
    <t>「銷售額」大於600的「銷售額」總和</t>
    <phoneticPr fontId="3" type="noConversion"/>
  </si>
  <si>
    <t>黃柏誠</t>
  </si>
  <si>
    <t>蔡政修</t>
  </si>
  <si>
    <t>陳佳甫</t>
  </si>
  <si>
    <t>李琬茹</t>
  </si>
  <si>
    <t>黃金印</t>
  </si>
  <si>
    <t>林士璁</t>
  </si>
  <si>
    <t>姓名</t>
  </si>
  <si>
    <t>等級</t>
  </si>
  <si>
    <t>贈品</t>
  </si>
  <si>
    <t>技能檢定考試評比</t>
    <phoneticPr fontId="3" type="noConversion"/>
  </si>
  <si>
    <t>學號</t>
    <phoneticPr fontId="3" type="noConversion"/>
  </si>
  <si>
    <t>性別</t>
    <phoneticPr fontId="3" type="noConversion"/>
  </si>
  <si>
    <t>中文輸入</t>
    <phoneticPr fontId="3" type="noConversion"/>
  </si>
  <si>
    <t>文書處理</t>
    <phoneticPr fontId="3" type="noConversion"/>
  </si>
  <si>
    <t>平均</t>
    <phoneticPr fontId="3" type="noConversion"/>
  </si>
  <si>
    <t>獎品</t>
    <phoneticPr fontId="3" type="noConversion"/>
  </si>
  <si>
    <t>加權比例</t>
    <phoneticPr fontId="3" type="noConversion"/>
  </si>
  <si>
    <t>女</t>
    <phoneticPr fontId="3" type="noConversion"/>
  </si>
  <si>
    <t>男</t>
    <phoneticPr fontId="3" type="noConversion"/>
  </si>
  <si>
    <t>黃柏誠</t>
    <phoneticPr fontId="3" type="noConversion"/>
  </si>
  <si>
    <t>陳玉玲</t>
    <phoneticPr fontId="3" type="noConversion"/>
  </si>
  <si>
    <t>黃冠儒</t>
    <phoneticPr fontId="3" type="noConversion"/>
  </si>
  <si>
    <t>成績查詢</t>
    <phoneticPr fontId="3" type="noConversion"/>
  </si>
  <si>
    <t>A</t>
    <phoneticPr fontId="3" type="noConversion"/>
  </si>
  <si>
    <t>電影票3張</t>
    <phoneticPr fontId="3" type="noConversion"/>
  </si>
  <si>
    <t>B</t>
    <phoneticPr fontId="3" type="noConversion"/>
  </si>
  <si>
    <t>光碟一片</t>
    <phoneticPr fontId="3" type="noConversion"/>
  </si>
  <si>
    <t>C</t>
    <phoneticPr fontId="3" type="noConversion"/>
  </si>
  <si>
    <t>音樂帶兩捲</t>
    <phoneticPr fontId="3" type="noConversion"/>
  </si>
  <si>
    <t>D</t>
    <phoneticPr fontId="3" type="noConversion"/>
  </si>
  <si>
    <t>鉛筆五支</t>
    <phoneticPr fontId="3" type="noConversion"/>
  </si>
  <si>
    <t>請輸入要計算的項目數字</t>
    <phoneticPr fontId="3" type="noConversion"/>
  </si>
  <si>
    <t>最後計算的結果</t>
    <phoneticPr fontId="3" type="noConversion"/>
  </si>
  <si>
    <t>陳偉忠</t>
    <phoneticPr fontId="3" type="noConversion"/>
  </si>
  <si>
    <t>學號</t>
    <phoneticPr fontId="3" type="noConversion"/>
  </si>
  <si>
    <t>學生姓名</t>
    <phoneticPr fontId="3" type="noConversion"/>
  </si>
  <si>
    <t>第一次</t>
    <phoneticPr fontId="3" type="noConversion"/>
  </si>
  <si>
    <t>第二次</t>
    <phoneticPr fontId="3" type="noConversion"/>
  </si>
  <si>
    <t>第三次</t>
    <phoneticPr fontId="3" type="noConversion"/>
  </si>
  <si>
    <t>三取二高分平均</t>
    <phoneticPr fontId="3" type="noConversion"/>
  </si>
  <si>
    <t>總分</t>
    <phoneticPr fontId="3" type="noConversion"/>
  </si>
  <si>
    <t>組距</t>
    <phoneticPr fontId="3" type="noConversion"/>
  </si>
  <si>
    <t>個數</t>
    <phoneticPr fontId="3" type="noConversion"/>
  </si>
  <si>
    <t>三次檢定成績</t>
    <phoneticPr fontId="3" type="noConversion"/>
  </si>
  <si>
    <t>林向宏</t>
    <phoneticPr fontId="3" type="noConversion"/>
  </si>
  <si>
    <t>萬衛華</t>
    <phoneticPr fontId="3" type="noConversion"/>
  </si>
  <si>
    <t>陳國清</t>
    <phoneticPr fontId="3" type="noConversion"/>
  </si>
  <si>
    <t>陳建志</t>
    <phoneticPr fontId="3" type="noConversion"/>
  </si>
  <si>
    <t>黃士哲</t>
    <phoneticPr fontId="3" type="noConversion"/>
  </si>
  <si>
    <t>謝月嫥</t>
    <phoneticPr fontId="3" type="noConversion"/>
  </si>
  <si>
    <t>林建宏</t>
    <phoneticPr fontId="3" type="noConversion"/>
  </si>
  <si>
    <t>學號</t>
    <phoneticPr fontId="3" type="noConversion"/>
  </si>
  <si>
    <t>比例</t>
    <phoneticPr fontId="3" type="noConversion"/>
  </si>
  <si>
    <t>出席成績</t>
    <phoneticPr fontId="3" type="noConversion"/>
  </si>
  <si>
    <t>平常</t>
    <phoneticPr fontId="3" type="noConversion"/>
  </si>
  <si>
    <t>作業一</t>
    <phoneticPr fontId="3" type="noConversion"/>
  </si>
  <si>
    <t>作業二</t>
    <phoneticPr fontId="3" type="noConversion"/>
  </si>
  <si>
    <t>期中考</t>
    <phoneticPr fontId="3" type="noConversion"/>
  </si>
  <si>
    <t>期末考</t>
    <phoneticPr fontId="3" type="noConversion"/>
  </si>
  <si>
    <t>陳玉玲</t>
    <phoneticPr fontId="3" type="noConversion"/>
  </si>
  <si>
    <r>
      <t>A</t>
    </r>
    <r>
      <rPr>
        <sz val="12"/>
        <rFont val="新細明體"/>
        <family val="1"/>
        <charset val="136"/>
      </rPr>
      <t>1日期之</t>
    </r>
    <r>
      <rPr>
        <sz val="12"/>
        <rFont val="新細明體"/>
        <family val="1"/>
        <charset val="136"/>
      </rPr>
      <t>25年10個月又10天後的日期</t>
    </r>
    <phoneticPr fontId="3" type="noConversion"/>
  </si>
  <si>
    <t>A1日期是星期幾</t>
    <phoneticPr fontId="3" type="noConversion"/>
  </si>
  <si>
    <t>A1日期之某人的實際歲數</t>
    <phoneticPr fontId="3" type="noConversion"/>
  </si>
  <si>
    <t>A1日期之某人的實際虛數</t>
    <phoneticPr fontId="3" type="noConversion"/>
  </si>
  <si>
    <t>B1與A1的天數差</t>
    <phoneticPr fontId="3" type="noConversion"/>
  </si>
  <si>
    <t>B1與A1的月份差</t>
    <phoneticPr fontId="3" type="noConversion"/>
  </si>
  <si>
    <t>B1與A1的年數差</t>
    <phoneticPr fontId="3" type="noConversion"/>
  </si>
  <si>
    <t>12345</t>
    <phoneticPr fontId="3" type="noConversion"/>
  </si>
  <si>
    <t>$12,000</t>
    <phoneticPr fontId="3" type="noConversion"/>
  </si>
  <si>
    <t>3:00 PM</t>
    <phoneticPr fontId="3" type="noConversion"/>
  </si>
  <si>
    <t>2003/11/2</t>
    <phoneticPr fontId="3" type="noConversion"/>
  </si>
  <si>
    <t>2003/11/2 15:00</t>
    <phoneticPr fontId="3" type="noConversion"/>
  </si>
  <si>
    <t>NT$12,000</t>
    <phoneticPr fontId="3" type="noConversion"/>
  </si>
  <si>
    <t>1 1/4</t>
    <phoneticPr fontId="3" type="noConversion"/>
  </si>
  <si>
    <t>25%</t>
    <phoneticPr fontId="3" type="noConversion"/>
  </si>
  <si>
    <t>文字化數值</t>
    <phoneticPr fontId="3" type="noConversion"/>
  </si>
  <si>
    <t>轉換後數值</t>
    <phoneticPr fontId="3" type="noConversion"/>
  </si>
  <si>
    <t>台北市東園街10號</t>
  </si>
  <si>
    <t>台中縣五權西路30號</t>
  </si>
  <si>
    <t>高雄市中山路一段40號2樓</t>
  </si>
  <si>
    <t>中壢市中華路33號4樓之1</t>
  </si>
  <si>
    <t>台北市八德路三段10號</t>
  </si>
  <si>
    <t>台北縣中和市連城路1號</t>
  </si>
  <si>
    <t>台北市萬大路445號5樓</t>
  </si>
  <si>
    <t>台中縣烏日鄉瑞興街8號</t>
  </si>
  <si>
    <t>台北市實踐街34號9樓</t>
  </si>
  <si>
    <t>台北縣新店市中正路6-3號</t>
  </si>
  <si>
    <t>台北市大直街100號</t>
  </si>
  <si>
    <t>姓名</t>
    <phoneticPr fontId="3" type="noConversion"/>
  </si>
  <si>
    <t>縣市</t>
    <phoneticPr fontId="3" type="noConversion"/>
  </si>
  <si>
    <t>VALUE()函數範例</t>
    <phoneticPr fontId="3" type="noConversion"/>
  </si>
  <si>
    <t>等級</t>
    <phoneticPr fontId="3" type="noConversion"/>
  </si>
  <si>
    <t>王清峰</t>
    <phoneticPr fontId="14" type="noConversion"/>
  </si>
  <si>
    <t>莊慧玲</t>
  </si>
  <si>
    <t>陳偉忠</t>
  </si>
  <si>
    <t>陳建志</t>
  </si>
  <si>
    <t>陳國清</t>
  </si>
  <si>
    <t>萬衛華</t>
  </si>
  <si>
    <t>林建宏</t>
  </si>
  <si>
    <t>林向宏</t>
  </si>
  <si>
    <t>黃士哲</t>
  </si>
  <si>
    <t>林毓倫</t>
  </si>
  <si>
    <t>林宏諭</t>
  </si>
  <si>
    <t>黃炳璁</t>
  </si>
  <si>
    <t>黃冠儒</t>
  </si>
  <si>
    <t>王秀惠</t>
  </si>
  <si>
    <t>吳宜真</t>
  </si>
  <si>
    <t>林毓修</t>
  </si>
  <si>
    <t>陳玉玲</t>
  </si>
  <si>
    <t>陳友敬</t>
  </si>
  <si>
    <t>謝月嫥</t>
  </si>
  <si>
    <t>鄧綺萍</t>
  </si>
  <si>
    <t>郭美美</t>
  </si>
  <si>
    <t>柳伊湄</t>
  </si>
  <si>
    <t>張國威</t>
  </si>
  <si>
    <t>林黛慧</t>
  </si>
  <si>
    <t>簡文秀</t>
  </si>
  <si>
    <t>顏慎樂</t>
  </si>
  <si>
    <t>許耀豪</t>
  </si>
  <si>
    <t>劉齊光</t>
  </si>
  <si>
    <t>熊漢琳</t>
  </si>
  <si>
    <t>卲裴莉</t>
  </si>
  <si>
    <t>吳佩倩</t>
  </si>
  <si>
    <t>吳若權</t>
  </si>
  <si>
    <t>林麗芬</t>
  </si>
  <si>
    <t>林宸佑</t>
    <phoneticPr fontId="14" type="noConversion"/>
  </si>
  <si>
    <t>林宸旭</t>
    <phoneticPr fontId="14" type="noConversion"/>
  </si>
  <si>
    <t>林仁益</t>
    <phoneticPr fontId="14" type="noConversion"/>
  </si>
  <si>
    <t>卜遠程</t>
  </si>
  <si>
    <t>劉佳瑜</t>
  </si>
  <si>
    <t>林秀芬</t>
  </si>
  <si>
    <t>姚瞻海</t>
  </si>
  <si>
    <t>方鎮良</t>
  </si>
  <si>
    <t>蘇苗揚</t>
  </si>
  <si>
    <t>王重傑</t>
  </si>
  <si>
    <t>呂國賢</t>
  </si>
  <si>
    <t>黃振中</t>
  </si>
  <si>
    <t>何珍</t>
    <phoneticPr fontId="14" type="noConversion"/>
  </si>
  <si>
    <t>基隆市義七路3號</t>
    <phoneticPr fontId="14" type="noConversion"/>
  </si>
  <si>
    <t>林宸佑</t>
    <phoneticPr fontId="3" type="noConversion"/>
  </si>
  <si>
    <t>林宸旭</t>
    <phoneticPr fontId="3" type="noConversion"/>
  </si>
  <si>
    <t>林宸昕</t>
    <phoneticPr fontId="3" type="noConversion"/>
  </si>
  <si>
    <t>日期</t>
  </si>
  <si>
    <t>銷售員</t>
  </si>
  <si>
    <t>單價</t>
  </si>
  <si>
    <t>銷售量</t>
  </si>
  <si>
    <t>陳金鋒</t>
    <phoneticPr fontId="3" type="noConversion"/>
  </si>
  <si>
    <t>林智盛</t>
    <phoneticPr fontId="3" type="noConversion"/>
  </si>
  <si>
    <t>郭泓志</t>
    <phoneticPr fontId="3" type="noConversion"/>
  </si>
  <si>
    <t>折扣</t>
    <phoneticPr fontId="3" type="noConversion"/>
  </si>
  <si>
    <t>銷售總額</t>
    <phoneticPr fontId="3" type="noConversion"/>
  </si>
  <si>
    <t>特別加分</t>
    <phoneticPr fontId="3" type="noConversion"/>
  </si>
  <si>
    <t>林伊湄</t>
    <phoneticPr fontId="3" type="noConversion"/>
  </si>
  <si>
    <t>業務姓名</t>
    <phoneticPr fontId="3" type="noConversion"/>
  </si>
  <si>
    <t>「銷售額」大於600的「獎金」總和</t>
    <phoneticPr fontId="3" type="noConversion"/>
  </si>
  <si>
    <t>業務姓名「林xx」且「銷售額」大於500的「獎金」總和</t>
    <phoneticPr fontId="3" type="noConversion"/>
  </si>
  <si>
    <t>桃竹苗</t>
  </si>
  <si>
    <t>台語歌曲</t>
  </si>
  <si>
    <t>台南</t>
  </si>
  <si>
    <t>高雄</t>
  </si>
  <si>
    <t>古典音樂</t>
  </si>
  <si>
    <t>花東</t>
  </si>
  <si>
    <t>搖滾歌曲</t>
  </si>
  <si>
    <t>國語歌曲</t>
  </si>
  <si>
    <t>台中</t>
  </si>
  <si>
    <t>台北</t>
  </si>
  <si>
    <t>SUMIFS</t>
    <phoneticPr fontId="3" type="noConversion"/>
  </si>
  <si>
    <t>SUMIF</t>
    <phoneticPr fontId="3" type="noConversion"/>
  </si>
  <si>
    <t>小計</t>
  </si>
  <si>
    <t>地區</t>
  </si>
  <si>
    <t>產品</t>
  </si>
  <si>
    <t>AVERAGEIF</t>
    <phoneticPr fontId="3" type="noConversion"/>
  </si>
  <si>
    <t>AVERAGEIFS</t>
    <phoneticPr fontId="3" type="noConversion"/>
  </si>
  <si>
    <t>1 郭泓志小計加總</t>
    <phoneticPr fontId="3" type="noConversion"/>
  </si>
  <si>
    <t>2 國語歌曲在高雄的銷售量總和</t>
    <phoneticPr fontId="3" type="noConversion"/>
  </si>
  <si>
    <t>3 郭泓志的國語歌曲在高雄的小計總和</t>
    <phoneticPr fontId="3" type="noConversion"/>
  </si>
  <si>
    <t>陳金鋒</t>
    <phoneticPr fontId="3" type="noConversion"/>
  </si>
  <si>
    <t>林智盛</t>
    <phoneticPr fontId="3" type="noConversion"/>
  </si>
  <si>
    <t>郭泓志</t>
    <phoneticPr fontId="3" type="noConversion"/>
  </si>
  <si>
    <t>陳金鋒</t>
    <phoneticPr fontId="3" type="noConversion"/>
  </si>
  <si>
    <t>林智盛</t>
    <phoneticPr fontId="3" type="noConversion"/>
  </si>
  <si>
    <t>王建民</t>
    <phoneticPr fontId="3" type="noConversion"/>
  </si>
  <si>
    <t>日期</t>
    <rPh sb="0" eb="2">
      <t>ヒヅケ</t>
    </rPh>
    <phoneticPr fontId="21"/>
  </si>
  <si>
    <t>商品名稱</t>
    <rPh sb="0" eb="3">
      <t>ショウヒンメイ</t>
    </rPh>
    <phoneticPr fontId="21"/>
  </si>
  <si>
    <t>數量</t>
    <rPh sb="0" eb="2">
      <t>スウリョウ</t>
    </rPh>
    <phoneticPr fontId="21"/>
  </si>
  <si>
    <t>金額</t>
    <rPh sb="0" eb="2">
      <t>キンガク</t>
    </rPh>
    <phoneticPr fontId="21"/>
  </si>
  <si>
    <t>合計</t>
    <rPh sb="0" eb="2">
      <t>ゴウケイ</t>
    </rPh>
    <phoneticPr fontId="21"/>
  </si>
  <si>
    <t>手提包</t>
  </si>
  <si>
    <t>托特包</t>
  </si>
  <si>
    <t>隨身手拿包</t>
  </si>
  <si>
    <t>隨身萬用袋</t>
  </si>
  <si>
    <t>皮夾</t>
    <rPh sb="0" eb="2">
      <t>サイフ</t>
    </rPh>
    <phoneticPr fontId="21"/>
  </si>
  <si>
    <t>萬用包</t>
  </si>
  <si>
    <t>SUMIF</t>
    <rPh sb="1" eb="3">
      <t>ショウヒン</t>
    </rPh>
    <rPh sb="3" eb="4">
      <t>ベツゴウケイ</t>
    </rPh>
    <phoneticPr fontId="21"/>
  </si>
  <si>
    <t>SUMIFS</t>
    <phoneticPr fontId="3" type="noConversion"/>
  </si>
  <si>
    <t>店舖</t>
    <rPh sb="0" eb="2">
      <t>テンポ</t>
    </rPh>
    <phoneticPr fontId="21"/>
  </si>
  <si>
    <t>表參道</t>
    <phoneticPr fontId="21"/>
  </si>
  <si>
    <t>涉谷</t>
    <phoneticPr fontId="21"/>
  </si>
  <si>
    <t>皮夾</t>
    <phoneticPr fontId="21"/>
  </si>
  <si>
    <t>交叉合計表</t>
    <phoneticPr fontId="3" type="noConversion"/>
  </si>
  <si>
    <t>交叉合計表</t>
    <phoneticPr fontId="3" type="noConversion"/>
  </si>
  <si>
    <t>SUMPRODUCT</t>
    <phoneticPr fontId="3" type="noConversion"/>
  </si>
  <si>
    <t>項目</t>
    <phoneticPr fontId="3" type="noConversion"/>
  </si>
  <si>
    <t>人數統計</t>
    <phoneticPr fontId="3" type="noConversion"/>
  </si>
  <si>
    <t>80-89之間人數</t>
    <phoneticPr fontId="14" type="noConversion"/>
  </si>
  <si>
    <t>王秀惠</t>
    <phoneticPr fontId="3" type="noConversion"/>
  </si>
  <si>
    <t>林碧梅</t>
    <phoneticPr fontId="3" type="noConversion"/>
  </si>
  <si>
    <t>謝幸安</t>
    <phoneticPr fontId="3" type="noConversion"/>
  </si>
  <si>
    <t>林毓倫</t>
    <phoneticPr fontId="3" type="noConversion"/>
  </si>
  <si>
    <t>被除數</t>
    <phoneticPr fontId="3" type="noConversion"/>
  </si>
  <si>
    <t>除數</t>
    <phoneticPr fontId="3" type="noConversion"/>
  </si>
  <si>
    <t>IFERROR的用法</t>
    <phoneticPr fontId="3" type="noConversion"/>
  </si>
  <si>
    <t>SUMIFS($F$4:$F$17,$D$4:$D$17,$H13,$C$4:$C$17,I$12)</t>
  </si>
  <si>
    <t>IF</t>
    <phoneticPr fontId="3" type="noConversion"/>
  </si>
  <si>
    <t>F</t>
    <phoneticPr fontId="3" type="noConversion"/>
  </si>
  <si>
    <t>分數</t>
    <phoneticPr fontId="3" type="noConversion"/>
  </si>
  <si>
    <r>
      <rPr>
        <b/>
        <sz val="11"/>
        <color rgb="FF454545"/>
        <rFont val="細明體"/>
        <family val="3"/>
        <charset val="136"/>
      </rPr>
      <t>如果</t>
    </r>
    <r>
      <rPr>
        <b/>
        <sz val="11"/>
        <color rgb="FF454545"/>
        <rFont val="Arial"/>
        <family val="2"/>
      </rPr>
      <t xml:space="preserve"> range_lookup </t>
    </r>
    <r>
      <rPr>
        <b/>
        <sz val="11"/>
        <color rgb="FF454545"/>
        <rFont val="細明體"/>
        <family val="3"/>
        <charset val="136"/>
      </rPr>
      <t>為</t>
    </r>
    <r>
      <rPr>
        <b/>
        <sz val="11"/>
        <color rgb="FF454545"/>
        <rFont val="Arial"/>
        <family val="2"/>
      </rPr>
      <t xml:space="preserve"> TRUE </t>
    </r>
    <r>
      <rPr>
        <b/>
        <sz val="11"/>
        <color rgb="FF454545"/>
        <rFont val="細明體"/>
        <family val="3"/>
        <charset val="136"/>
      </rPr>
      <t>或被省略</t>
    </r>
    <phoneticPr fontId="3" type="noConversion"/>
  </si>
  <si>
    <r>
      <rPr>
        <b/>
        <sz val="11"/>
        <color rgb="FF454545"/>
        <rFont val="細明體"/>
        <family val="3"/>
        <charset val="136"/>
      </rPr>
      <t>如果</t>
    </r>
    <r>
      <rPr>
        <b/>
        <sz val="11"/>
        <color rgb="FF454545"/>
        <rFont val="Arial"/>
        <family val="2"/>
      </rPr>
      <t xml:space="preserve"> range_lookup </t>
    </r>
    <r>
      <rPr>
        <b/>
        <sz val="11"/>
        <color rgb="FF454545"/>
        <rFont val="細明體"/>
        <family val="3"/>
        <charset val="136"/>
      </rPr>
      <t>為</t>
    </r>
    <r>
      <rPr>
        <b/>
        <sz val="11"/>
        <color rgb="FF454545"/>
        <rFont val="Arial"/>
        <family val="2"/>
      </rPr>
      <t xml:space="preserve"> FALSE</t>
    </r>
    <r>
      <rPr>
        <b/>
        <sz val="11"/>
        <color rgb="FF454545"/>
        <rFont val="細明體"/>
        <family val="3"/>
        <charset val="136"/>
      </rPr>
      <t/>
    </r>
    <phoneticPr fontId="3" type="noConversion"/>
  </si>
  <si>
    <t>會使用第一個找到的值。如果找不到完全符合的值，則傳回錯誤值 #N/A。</t>
  </si>
  <si>
    <r>
      <t xml:space="preserve">*   </t>
    </r>
    <r>
      <rPr>
        <sz val="11"/>
        <color rgb="FF454545"/>
        <rFont val="細明體"/>
        <family val="3"/>
        <charset val="136"/>
      </rPr>
      <t>只會尋找完全符合的值。如果</t>
    </r>
    <r>
      <rPr>
        <sz val="11"/>
        <color rgb="FF454545"/>
        <rFont val="Arial"/>
        <family val="2"/>
      </rPr>
      <t xml:space="preserve"> table_array </t>
    </r>
    <r>
      <rPr>
        <sz val="11"/>
        <color rgb="FF454545"/>
        <rFont val="細明體"/>
        <family val="3"/>
        <charset val="136"/>
      </rPr>
      <t>第一欄中有兩個以上的值與</t>
    </r>
    <r>
      <rPr>
        <sz val="11"/>
        <color rgb="FF454545"/>
        <rFont val="Arial"/>
        <family val="2"/>
      </rPr>
      <t xml:space="preserve"> lookup_value </t>
    </r>
    <r>
      <rPr>
        <sz val="11"/>
        <color rgb="FF454545"/>
        <rFont val="細明體"/>
        <family val="3"/>
        <charset val="136"/>
      </rPr>
      <t>相符，將</t>
    </r>
    <phoneticPr fontId="3" type="noConversion"/>
  </si>
  <si>
    <t>*   傳回完全符合或大約符合的值。如果找不到完全符合的值，將會傳回僅次於 lookup_value 的最大值。</t>
    <phoneticPr fontId="3" type="noConversion"/>
  </si>
  <si>
    <t>引數說明</t>
    <phoneticPr fontId="3" type="noConversion"/>
  </si>
  <si>
    <t>等級(相等或小於它的最大值)</t>
    <phoneticPr fontId="3" type="noConversion"/>
  </si>
  <si>
    <t>VLOOKUP</t>
    <phoneticPr fontId="3" type="noConversion"/>
  </si>
  <si>
    <t>找完全相同的</t>
    <phoneticPr fontId="3" type="noConversion"/>
  </si>
  <si>
    <t>&gt;=60</t>
    <phoneticPr fontId="3" type="noConversion"/>
  </si>
  <si>
    <t>&gt;=70</t>
    <phoneticPr fontId="3" type="noConversion"/>
  </si>
  <si>
    <t>&gt;=80</t>
    <phoneticPr fontId="3" type="noConversion"/>
  </si>
  <si>
    <t>&gt;=90</t>
    <phoneticPr fontId="3" type="noConversion"/>
  </si>
  <si>
    <r>
      <t>range_lookup</t>
    </r>
    <r>
      <rPr>
        <sz val="11"/>
        <color rgb="FF454545"/>
        <rFont val="Arial"/>
        <family val="2"/>
      </rPr>
      <t>    </t>
    </r>
    <r>
      <rPr>
        <sz val="11"/>
        <color rgb="FF454545"/>
        <rFont val="細明體"/>
        <family val="3"/>
        <charset val="136"/>
      </rPr>
      <t>選用。這是一個邏輯值，用以指定</t>
    </r>
    <r>
      <rPr>
        <sz val="11"/>
        <color rgb="FF454545"/>
        <rFont val="Arial"/>
        <family val="2"/>
      </rPr>
      <t xml:space="preserve"> VLOOKUP </t>
    </r>
    <r>
      <rPr>
        <sz val="11"/>
        <color rgb="FF454545"/>
        <rFont val="細明體"/>
        <family val="3"/>
        <charset val="136"/>
      </rPr>
      <t>應該要尋找完全符合或</t>
    </r>
    <r>
      <rPr>
        <sz val="11"/>
        <color rgb="FFFF0000"/>
        <rFont val="細明體"/>
        <family val="3"/>
        <charset val="136"/>
      </rPr>
      <t>不大於它的最大值</t>
    </r>
    <r>
      <rPr>
        <sz val="11"/>
        <color rgb="FF454545"/>
        <rFont val="細明體"/>
        <family val="3"/>
        <charset val="136"/>
      </rPr>
      <t>：</t>
    </r>
    <phoneticPr fontId="3" type="noConversion"/>
  </si>
  <si>
    <t>HLOOKUP</t>
    <phoneticPr fontId="3" type="noConversion"/>
  </si>
  <si>
    <t>IFERROR</t>
    <phoneticPr fontId="3" type="noConversion"/>
  </si>
  <si>
    <t>CHOOSE</t>
    <phoneticPr fontId="3" type="noConversion"/>
  </si>
  <si>
    <t>REPT</t>
    <phoneticPr fontId="3" type="noConversion"/>
  </si>
  <si>
    <t>LOOKUP</t>
    <phoneticPr fontId="3" type="noConversion"/>
  </si>
  <si>
    <t>LEFT</t>
    <phoneticPr fontId="14" type="noConversion"/>
  </si>
  <si>
    <t>RIGHT</t>
    <phoneticPr fontId="14" type="noConversion"/>
  </si>
  <si>
    <t>MID</t>
    <phoneticPr fontId="14" type="noConversion"/>
  </si>
  <si>
    <r>
      <t>80~</t>
    </r>
    <r>
      <rPr>
        <sz val="12"/>
        <rFont val="新細明體"/>
        <family val="1"/>
        <charset val="136"/>
      </rPr>
      <t/>
    </r>
  </si>
  <si>
    <r>
      <t>90~</t>
    </r>
    <r>
      <rPr>
        <sz val="12"/>
        <rFont val="新細明體"/>
        <family val="1"/>
        <charset val="136"/>
      </rPr>
      <t/>
    </r>
  </si>
  <si>
    <t>&lt;=</t>
    <phoneticPr fontId="3" type="noConversion"/>
  </si>
  <si>
    <t>60~</t>
    <phoneticPr fontId="3" type="noConversion"/>
  </si>
  <si>
    <t>70~</t>
    <phoneticPr fontId="3" type="noConversion"/>
  </si>
  <si>
    <t>COUNTIFS、AVERAGEIFS</t>
    <phoneticPr fontId="3" type="noConversion"/>
  </si>
  <si>
    <t>FREQUENCY</t>
    <phoneticPr fontId="3" type="noConversion"/>
  </si>
  <si>
    <t>排名RANK</t>
    <phoneticPr fontId="3" type="noConversion"/>
  </si>
  <si>
    <t>錄取 IF</t>
    <phoneticPr fontId="3" type="noConversion"/>
  </si>
  <si>
    <t>一般公式</t>
    <phoneticPr fontId="3" type="noConversion"/>
  </si>
  <si>
    <t>SUMPRODUCT</t>
    <phoneticPr fontId="3" type="noConversion"/>
  </si>
  <si>
    <t>IFERROR 練習</t>
    <phoneticPr fontId="3" type="noConversion"/>
  </si>
  <si>
    <t>樞紐分析表</t>
    <phoneticPr fontId="3" type="noConversion"/>
  </si>
  <si>
    <t>LARGE、SMALL</t>
    <phoneticPr fontId="3" type="noConversion"/>
  </si>
  <si>
    <t>及格科目☆</t>
    <phoneticPr fontId="3" type="noConversion"/>
  </si>
  <si>
    <t>SUMPRODUCT(($D$4:$D$17=H4)*$F$4:$F$17)</t>
    <phoneticPr fontId="3" type="noConversion"/>
  </si>
  <si>
    <t>學號</t>
  </si>
  <si>
    <t>FIND</t>
    <phoneticPr fontId="14" type="noConversion"/>
  </si>
  <si>
    <t>CELL</t>
    <phoneticPr fontId="14" type="noConversion"/>
  </si>
  <si>
    <t>完整地址</t>
    <phoneticPr fontId="3" type="noConversion"/>
  </si>
  <si>
    <t>街道&amp;號碼</t>
    <phoneticPr fontId="14" type="noConversion"/>
  </si>
  <si>
    <t>長庚大學好學校好名氣好學風</t>
    <phoneticPr fontId="14" type="noConversion"/>
  </si>
  <si>
    <t>條件式加總或平均</t>
    <phoneticPr fontId="3" type="noConversion"/>
  </si>
  <si>
    <t>年利率：</t>
    <phoneticPr fontId="3" type="noConversion"/>
  </si>
  <si>
    <t>貸款金額：</t>
    <phoneticPr fontId="3" type="noConversion"/>
  </si>
  <si>
    <r>
      <t>貸款期限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年</t>
    </r>
    <r>
      <rPr>
        <sz val="12"/>
        <rFont val="Times New Roman"/>
        <family val="1"/>
      </rPr>
      <t>)</t>
    </r>
    <r>
      <rPr>
        <sz val="12"/>
        <rFont val="新細明體"/>
        <family val="1"/>
        <charset val="136"/>
      </rPr>
      <t>：</t>
    </r>
    <phoneticPr fontId="3" type="noConversion"/>
  </si>
  <si>
    <t>每月償付的本金與利息：</t>
    <phoneticPr fontId="3" type="noConversion"/>
  </si>
  <si>
    <r>
      <t>=PMT(</t>
    </r>
    <r>
      <rPr>
        <b/>
        <sz val="12"/>
        <color indexed="56"/>
        <rFont val="Arial"/>
        <family val="2"/>
      </rPr>
      <t>B1</t>
    </r>
    <r>
      <rPr>
        <sz val="12"/>
        <rFont val="Arial"/>
        <family val="2"/>
      </rPr>
      <t>/12,</t>
    </r>
    <r>
      <rPr>
        <b/>
        <sz val="12"/>
        <color indexed="50"/>
        <rFont val="Arial"/>
        <family val="2"/>
      </rPr>
      <t>B3</t>
    </r>
    <r>
      <rPr>
        <sz val="12"/>
        <rFont val="Arial"/>
        <family val="2"/>
      </rPr>
      <t>*12,-</t>
    </r>
    <r>
      <rPr>
        <b/>
        <sz val="12"/>
        <color indexed="20"/>
        <rFont val="Arial"/>
        <family val="2"/>
      </rPr>
      <t>B2</t>
    </r>
    <r>
      <rPr>
        <sz val="12"/>
        <rFont val="Arial"/>
        <family val="2"/>
      </rPr>
      <t>)</t>
    </r>
    <phoneticPr fontId="3" type="noConversion"/>
  </si>
  <si>
    <t>PMT(利率，總期數、現值、未來值，型態)</t>
    <phoneticPr fontId="46" type="noConversion"/>
  </si>
  <si>
    <r>
      <t>第</t>
    </r>
    <r>
      <rPr>
        <sz val="12"/>
        <rFont val="Times New Roman"/>
        <family val="1"/>
      </rPr>
      <t xml:space="preserve"> n </t>
    </r>
    <r>
      <rPr>
        <sz val="12"/>
        <rFont val="新細明體"/>
        <family val="1"/>
        <charset val="136"/>
      </rPr>
      <t>期：</t>
    </r>
    <phoneticPr fontId="3" type="noConversion"/>
  </si>
  <si>
    <r>
      <t>所支付的</t>
    </r>
    <r>
      <rPr>
        <sz val="12"/>
        <color rgb="FFFF0000"/>
        <rFont val="新細明體"/>
        <family val="1"/>
        <charset val="136"/>
      </rPr>
      <t>本金</t>
    </r>
    <r>
      <rPr>
        <sz val="12"/>
        <rFont val="新細明體"/>
        <family val="1"/>
        <charset val="136"/>
      </rPr>
      <t>為：</t>
    </r>
    <phoneticPr fontId="3" type="noConversion"/>
  </si>
  <si>
    <r>
      <t>=PPMT(</t>
    </r>
    <r>
      <rPr>
        <b/>
        <sz val="12"/>
        <color indexed="56"/>
        <rFont val="Arial"/>
        <family val="2"/>
      </rPr>
      <t>B1</t>
    </r>
    <r>
      <rPr>
        <sz val="12"/>
        <rFont val="Arial"/>
        <family val="2"/>
      </rPr>
      <t>/12,</t>
    </r>
    <r>
      <rPr>
        <b/>
        <sz val="12"/>
        <color indexed="10"/>
        <rFont val="Arial"/>
        <family val="2"/>
      </rPr>
      <t>B6</t>
    </r>
    <r>
      <rPr>
        <sz val="12"/>
        <rFont val="Arial"/>
        <family val="2"/>
      </rPr>
      <t>,</t>
    </r>
    <r>
      <rPr>
        <b/>
        <sz val="12"/>
        <color indexed="17"/>
        <rFont val="Arial"/>
        <family val="2"/>
      </rPr>
      <t>B3</t>
    </r>
    <r>
      <rPr>
        <sz val="12"/>
        <rFont val="Arial"/>
        <family val="2"/>
      </rPr>
      <t>*12,-</t>
    </r>
    <r>
      <rPr>
        <b/>
        <sz val="12"/>
        <color indexed="20"/>
        <rFont val="Arial"/>
        <family val="2"/>
      </rPr>
      <t>B2</t>
    </r>
    <r>
      <rPr>
        <sz val="12"/>
        <rFont val="Arial"/>
        <family val="2"/>
      </rPr>
      <t>)</t>
    </r>
    <phoneticPr fontId="3" type="noConversion"/>
  </si>
  <si>
    <t>PPMT(利率，期別，總期數、現值、未來值，型態)</t>
    <phoneticPr fontId="46" type="noConversion"/>
  </si>
  <si>
    <r>
      <t>所支付的</t>
    </r>
    <r>
      <rPr>
        <sz val="12"/>
        <color rgb="FFFF0000"/>
        <rFont val="新細明體"/>
        <family val="1"/>
        <charset val="136"/>
      </rPr>
      <t>利息</t>
    </r>
    <r>
      <rPr>
        <sz val="12"/>
        <rFont val="新細明體"/>
        <family val="1"/>
        <charset val="136"/>
      </rPr>
      <t>為：</t>
    </r>
    <phoneticPr fontId="3" type="noConversion"/>
  </si>
  <si>
    <r>
      <t>=IPMT(</t>
    </r>
    <r>
      <rPr>
        <b/>
        <sz val="12"/>
        <color indexed="56"/>
        <rFont val="Arial"/>
        <family val="2"/>
      </rPr>
      <t>B1</t>
    </r>
    <r>
      <rPr>
        <sz val="12"/>
        <rFont val="Arial"/>
        <family val="2"/>
      </rPr>
      <t>/12,</t>
    </r>
    <r>
      <rPr>
        <b/>
        <sz val="12"/>
        <color indexed="10"/>
        <rFont val="Arial"/>
        <family val="2"/>
      </rPr>
      <t>B6</t>
    </r>
    <r>
      <rPr>
        <sz val="12"/>
        <rFont val="Arial"/>
        <family val="2"/>
      </rPr>
      <t>,</t>
    </r>
    <r>
      <rPr>
        <b/>
        <sz val="12"/>
        <color indexed="17"/>
        <rFont val="Arial"/>
        <family val="2"/>
      </rPr>
      <t>B3</t>
    </r>
    <r>
      <rPr>
        <sz val="12"/>
        <rFont val="Arial"/>
        <family val="2"/>
      </rPr>
      <t>*12,-</t>
    </r>
    <r>
      <rPr>
        <b/>
        <sz val="12"/>
        <color indexed="20"/>
        <rFont val="Arial"/>
        <family val="2"/>
      </rPr>
      <t>B2</t>
    </r>
    <r>
      <rPr>
        <sz val="12"/>
        <rFont val="Arial"/>
        <family val="2"/>
      </rPr>
      <t>)</t>
    </r>
    <phoneticPr fontId="3" type="noConversion"/>
  </si>
  <si>
    <t>所支付的本金與利息合計：</t>
    <phoneticPr fontId="3" type="noConversion"/>
  </si>
  <si>
    <t>=B7+B8</t>
    <phoneticPr fontId="3" type="noConversion"/>
  </si>
  <si>
    <t>PMT=PPMT+IMPT</t>
    <phoneticPr fontId="46" type="noConversion"/>
  </si>
  <si>
    <t>以B欄的條件，每月存多少錢，20年</t>
  </si>
  <si>
    <t>後可存得2500000</t>
  </si>
  <si>
    <t>固定年利率：</t>
    <phoneticPr fontId="3" type="noConversion"/>
  </si>
  <si>
    <t>投資期數：</t>
    <phoneticPr fontId="3" type="noConversion"/>
  </si>
  <si>
    <t>期滿所得：</t>
    <phoneticPr fontId="3" type="noConversion"/>
  </si>
  <si>
    <r>
      <t>=FV(</t>
    </r>
    <r>
      <rPr>
        <b/>
        <sz val="12"/>
        <color indexed="56"/>
        <rFont val="Arial"/>
        <family val="2"/>
      </rPr>
      <t>B2</t>
    </r>
    <r>
      <rPr>
        <sz val="12"/>
        <rFont val="Arial"/>
        <family val="2"/>
      </rPr>
      <t>/12,</t>
    </r>
    <r>
      <rPr>
        <b/>
        <sz val="12"/>
        <color indexed="50"/>
        <rFont val="Arial"/>
        <family val="2"/>
      </rPr>
      <t>B3</t>
    </r>
    <r>
      <rPr>
        <sz val="12"/>
        <rFont val="Arial"/>
        <family val="2"/>
      </rPr>
      <t>,</t>
    </r>
    <r>
      <rPr>
        <b/>
        <sz val="12"/>
        <color indexed="20"/>
        <rFont val="Arial"/>
        <family val="2"/>
      </rPr>
      <t>-B1</t>
    </r>
    <r>
      <rPr>
        <sz val="12"/>
        <rFont val="Arial"/>
        <family val="2"/>
      </rPr>
      <t>)</t>
    </r>
    <phoneticPr fontId="3" type="noConversion"/>
  </si>
  <si>
    <t>年利率：</t>
    <phoneticPr fontId="3" type="noConversion"/>
  </si>
  <si>
    <r>
      <t>儲蓄期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年</t>
    </r>
    <r>
      <rPr>
        <sz val="12"/>
        <rFont val="Times New Roman"/>
        <family val="1"/>
      </rPr>
      <t>)</t>
    </r>
    <r>
      <rPr>
        <sz val="12"/>
        <rFont val="新細明體"/>
        <family val="1"/>
        <charset val="136"/>
      </rPr>
      <t>：</t>
    </r>
    <phoneticPr fontId="3" type="noConversion"/>
  </si>
  <si>
    <r>
      <t>=FV(</t>
    </r>
    <r>
      <rPr>
        <b/>
        <sz val="12"/>
        <color indexed="56"/>
        <rFont val="Arial"/>
        <family val="2"/>
      </rPr>
      <t>B11</t>
    </r>
    <r>
      <rPr>
        <sz val="12"/>
        <rFont val="Arial"/>
        <family val="2"/>
      </rPr>
      <t>/12,</t>
    </r>
    <r>
      <rPr>
        <b/>
        <sz val="12"/>
        <color indexed="50"/>
        <rFont val="Arial"/>
        <family val="2"/>
      </rPr>
      <t>B12</t>
    </r>
    <r>
      <rPr>
        <sz val="12"/>
        <rFont val="Arial"/>
        <family val="2"/>
      </rPr>
      <t>*12,-</t>
    </r>
    <r>
      <rPr>
        <b/>
        <sz val="12"/>
        <color indexed="20"/>
        <rFont val="Arial"/>
        <family val="2"/>
      </rPr>
      <t>B10</t>
    </r>
    <r>
      <rPr>
        <sz val="12"/>
        <rFont val="Arial"/>
        <family val="2"/>
      </rPr>
      <t>,-</t>
    </r>
    <r>
      <rPr>
        <b/>
        <sz val="12"/>
        <color indexed="16"/>
        <rFont val="Arial"/>
        <family val="2"/>
      </rPr>
      <t>B9</t>
    </r>
    <r>
      <rPr>
        <sz val="12"/>
        <rFont val="Arial"/>
        <family val="2"/>
      </rPr>
      <t>)</t>
    </r>
    <phoneticPr fontId="3" type="noConversion"/>
  </si>
  <si>
    <t>投資金額：</t>
    <phoneticPr fontId="3" type="noConversion"/>
  </si>
  <si>
    <t>目前銀行利率：</t>
    <phoneticPr fontId="3" type="noConversion"/>
  </si>
  <si>
    <t>每月領取：</t>
    <phoneticPr fontId="3" type="noConversion"/>
  </si>
  <si>
    <r>
      <t>期數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年</t>
    </r>
    <r>
      <rPr>
        <sz val="12"/>
        <rFont val="Times New Roman"/>
        <family val="1"/>
      </rPr>
      <t>)</t>
    </r>
    <r>
      <rPr>
        <sz val="12"/>
        <rFont val="新細明體"/>
        <family val="1"/>
        <charset val="136"/>
      </rPr>
      <t>：</t>
    </r>
    <phoneticPr fontId="3" type="noConversion"/>
  </si>
  <si>
    <t>現值：</t>
    <phoneticPr fontId="3" type="noConversion"/>
  </si>
  <si>
    <r>
      <t>=PV(</t>
    </r>
    <r>
      <rPr>
        <b/>
        <sz val="12"/>
        <color indexed="56"/>
        <rFont val="Arial"/>
        <family val="2"/>
      </rPr>
      <t>B2</t>
    </r>
    <r>
      <rPr>
        <sz val="12"/>
        <rFont val="Arial"/>
        <family val="2"/>
      </rPr>
      <t>/12,</t>
    </r>
    <r>
      <rPr>
        <b/>
        <sz val="12"/>
        <color indexed="50"/>
        <rFont val="Arial"/>
        <family val="2"/>
      </rPr>
      <t>B4</t>
    </r>
    <r>
      <rPr>
        <sz val="12"/>
        <rFont val="Arial"/>
        <family val="2"/>
      </rPr>
      <t>*12,-</t>
    </r>
    <r>
      <rPr>
        <b/>
        <sz val="12"/>
        <color indexed="20"/>
        <rFont val="Arial"/>
        <family val="2"/>
      </rPr>
      <t>B3</t>
    </r>
    <r>
      <rPr>
        <sz val="12"/>
        <rFont val="Arial"/>
        <family val="2"/>
      </rPr>
      <t>)</t>
    </r>
    <phoneticPr fontId="3" type="noConversion"/>
  </si>
  <si>
    <r>
      <rPr>
        <sz val="12"/>
        <color rgb="FFFF0000"/>
        <rFont val="新細明體"/>
        <family val="1"/>
        <charset val="136"/>
      </rPr>
      <t>期初</t>
    </r>
    <r>
      <rPr>
        <sz val="12"/>
        <rFont val="新細明體"/>
        <family val="1"/>
        <charset val="136"/>
      </rPr>
      <t>存入：</t>
    </r>
    <phoneticPr fontId="3" type="noConversion"/>
  </si>
  <si>
    <r>
      <rPr>
        <sz val="12"/>
        <color rgb="FFFF0000"/>
        <rFont val="新細明體"/>
        <family val="1"/>
        <charset val="136"/>
      </rPr>
      <t>每月</t>
    </r>
    <r>
      <rPr>
        <sz val="12"/>
        <rFont val="新細明體"/>
        <family val="1"/>
        <charset val="136"/>
      </rPr>
      <t>存入：</t>
    </r>
    <phoneticPr fontId="3" type="noConversion"/>
  </si>
  <si>
    <r>
      <rPr>
        <sz val="12"/>
        <color rgb="FFFF0000"/>
        <rFont val="新細明體"/>
        <family val="1"/>
        <charset val="136"/>
      </rPr>
      <t>每期固定</t>
    </r>
    <r>
      <rPr>
        <sz val="12"/>
        <rFont val="新細明體"/>
        <family val="1"/>
        <charset val="136"/>
      </rPr>
      <t>投資金額：</t>
    </r>
    <phoneticPr fontId="3" type="noConversion"/>
  </si>
  <si>
    <t>未來值範例</t>
    <phoneticPr fontId="3" type="noConversion"/>
  </si>
  <si>
    <t>*</t>
    <phoneticPr fontId="3" type="noConversion"/>
  </si>
  <si>
    <t>涉谷</t>
  </si>
  <si>
    <t>金額</t>
  </si>
  <si>
    <t>Excel</t>
    <phoneticPr fontId="3" type="noConversion"/>
  </si>
  <si>
    <t>Word</t>
    <phoneticPr fontId="3" type="noConversion"/>
  </si>
  <si>
    <t>PPT</t>
    <phoneticPr fontId="3" type="noConversion"/>
  </si>
  <si>
    <t>1.請計算Word平均分數</t>
    <phoneticPr fontId="3" type="noConversion"/>
  </si>
  <si>
    <t>2.PPT最高分數</t>
    <phoneticPr fontId="3" type="noConversion"/>
  </si>
  <si>
    <t>3.平均最低分數</t>
    <phoneticPr fontId="3" type="noConversion"/>
  </si>
  <si>
    <t>查詢結果</t>
    <phoneticPr fontId="3" type="noConversion"/>
  </si>
  <si>
    <t>MID(C20,FIND("[",C20,1)+1,FIND("]",C20,1)-FIND("[",C20,1)-1)</t>
  </si>
  <si>
    <t>PR值
EXC</t>
    <phoneticPr fontId="3" type="noConversion"/>
  </si>
  <si>
    <t>PR值
INC</t>
    <phoneticPr fontId="3" type="noConversion"/>
  </si>
  <si>
    <t>錄取(J+K)</t>
    <phoneticPr fontId="3" type="noConversion"/>
  </si>
  <si>
    <t>答案：</t>
    <phoneticPr fontId="3" type="noConversion"/>
  </si>
  <si>
    <t>FREQUENCY(計算第一次成績)</t>
    <phoneticPr fontId="3" type="noConversion"/>
  </si>
  <si>
    <t>找到 [</t>
    <phoneticPr fontId="14" type="noConversion"/>
  </si>
  <si>
    <t>找到 ]</t>
    <phoneticPr fontId="14" type="noConversion"/>
  </si>
  <si>
    <t>輸入學號</t>
    <phoneticPr fontId="3" type="noConversion"/>
  </si>
  <si>
    <t>不建議使用</t>
    <phoneticPr fontId="3" type="noConversion"/>
  </si>
  <si>
    <t>小計加總</t>
    <phoneticPr fontId="3" type="noConversion"/>
  </si>
  <si>
    <t>銷售量平均</t>
    <phoneticPr fontId="3" type="noConversion"/>
  </si>
  <si>
    <t>語法</t>
  </si>
  <si>
    <r>
      <t>Sum_range</t>
    </r>
    <r>
      <rPr>
        <sz val="12"/>
        <color rgb="FF363636"/>
        <rFont val="Segoe UI Light"/>
        <family val="2"/>
      </rPr>
      <t>    (必要)</t>
    </r>
  </si>
  <si>
    <r>
      <t>Criteria_range1</t>
    </r>
    <r>
      <rPr>
        <sz val="12"/>
        <color rgb="FF363636"/>
        <rFont val="Segoe UI Light"/>
        <family val="2"/>
      </rPr>
      <t>    (必要)</t>
    </r>
  </si>
  <si>
    <t>Criteria1    (必要)</t>
  </si>
  <si>
    <t>若省略[sum_range]，則要加總和測試的範圍都是 range</t>
    <phoneticPr fontId="3" type="noConversion"/>
  </si>
  <si>
    <r>
      <t>SUMIF(range, criteria,</t>
    </r>
    <r>
      <rPr>
        <sz val="12"/>
        <color rgb="FFFF0000"/>
        <rFont val="Segoe UI Light"/>
        <family val="2"/>
      </rPr>
      <t xml:space="preserve"> [sum_range]</t>
    </r>
    <r>
      <rPr>
        <sz val="12"/>
        <color rgb="FF363636"/>
        <rFont val="Segoe UI Light"/>
        <family val="2"/>
      </rPr>
      <t>)</t>
    </r>
    <phoneticPr fontId="3" type="noConversion"/>
  </si>
  <si>
    <r>
      <t>SUMIFS(</t>
    </r>
    <r>
      <rPr>
        <sz val="12"/>
        <color rgb="FFFF0000"/>
        <rFont val="Segoe UI Light"/>
        <family val="2"/>
      </rPr>
      <t>sum_range</t>
    </r>
    <r>
      <rPr>
        <sz val="12"/>
        <color rgb="FF363636"/>
        <rFont val="Segoe UI Light"/>
        <family val="2"/>
      </rPr>
      <t>, criteria_range1, criteria1, [criteria_range2, criteria2], ...)</t>
    </r>
    <phoneticPr fontId="3" type="noConversion"/>
  </si>
  <si>
    <r>
      <t xml:space="preserve">SUMIF </t>
    </r>
    <r>
      <rPr>
        <sz val="14"/>
        <rFont val="Times New Roman"/>
        <family val="1"/>
      </rPr>
      <t>vs</t>
    </r>
    <r>
      <rPr>
        <sz val="14"/>
        <color rgb="FFC00000"/>
        <rFont val="Times New Roman"/>
        <family val="1"/>
      </rPr>
      <t xml:space="preserve"> SUMIFS</t>
    </r>
    <phoneticPr fontId="3" type="noConversion"/>
  </si>
  <si>
    <t>FREQUENCY(data_array, bins_array)</t>
    <phoneticPr fontId="3" type="noConversion"/>
  </si>
  <si>
    <t>,     組距</t>
  </si>
  <si>
    <t>資料</t>
    <phoneticPr fontId="3" type="noConversion"/>
  </si>
  <si>
    <t>SUMPRODUCT 中的每一條件必須單獨放在小括號內</t>
    <phoneticPr fontId="3" type="noConversion"/>
  </si>
  <si>
    <t>(D4:D17="手提包")</t>
  </si>
  <si>
    <t>SUMPRODUCT(($D$4:$D$17=$H22)*($C$4:$C$17=I$12)*($F$4:$F$17))</t>
    <phoneticPr fontId="3" type="noConversion"/>
  </si>
  <si>
    <t>($D$4:$D$17=$H22)*($C$4:$C$17=I$12)</t>
  </si>
  <si>
    <t>((D4:D17="手提包")+(D4:D17="萬用包"))</t>
  </si>
  <si>
    <r>
      <rPr>
        <sz val="12"/>
        <color rgb="FFFF0000"/>
        <rFont val="細明體"/>
        <family val="3"/>
        <charset val="136"/>
      </rPr>
      <t>重要事項</t>
    </r>
    <r>
      <rPr>
        <sz val="12"/>
        <color rgb="FFFF0000"/>
        <rFont val="Arial"/>
        <family val="2"/>
      </rPr>
      <t xml:space="preserve"> </t>
    </r>
    <r>
      <rPr>
        <i/>
        <sz val="12"/>
        <color rgb="FFFF0000"/>
        <rFont val="Arial"/>
        <family val="2"/>
      </rPr>
      <t>lookup_vector</t>
    </r>
    <r>
      <rPr>
        <sz val="12"/>
        <color rgb="FFFF0000"/>
        <rFont val="Arial"/>
        <family val="2"/>
      </rPr>
      <t xml:space="preserve"> </t>
    </r>
    <r>
      <rPr>
        <sz val="12"/>
        <color rgb="FFFF0000"/>
        <rFont val="細明體"/>
        <family val="3"/>
        <charset val="136"/>
      </rPr>
      <t>中的值必須以</t>
    </r>
    <r>
      <rPr>
        <b/>
        <sz val="12"/>
        <color theme="1"/>
        <rFont val="細明體"/>
        <family val="3"/>
        <charset val="136"/>
      </rPr>
      <t>遞增</t>
    </r>
    <r>
      <rPr>
        <sz val="12"/>
        <color rgb="FFFF0000"/>
        <rFont val="細明體"/>
        <family val="3"/>
        <charset val="136"/>
      </rPr>
      <t>順序排列</t>
    </r>
    <phoneticPr fontId="3" type="noConversion"/>
  </si>
  <si>
    <r>
      <rPr>
        <b/>
        <sz val="11"/>
        <color theme="1"/>
        <rFont val="微軟正黑體"/>
        <family val="2"/>
        <charset val="136"/>
      </rPr>
      <t>SUMPRODUCT</t>
    </r>
    <r>
      <rPr>
        <sz val="11"/>
        <color theme="1"/>
        <rFont val="微軟正黑體"/>
        <family val="2"/>
        <charset val="136"/>
      </rPr>
      <t>(</t>
    </r>
    <r>
      <rPr>
        <b/>
        <sz val="11"/>
        <color rgb="FFFF0000"/>
        <rFont val="微軟正黑體"/>
        <family val="2"/>
        <charset val="136"/>
      </rPr>
      <t>(</t>
    </r>
    <r>
      <rPr>
        <sz val="11"/>
        <color theme="1"/>
        <rFont val="微軟正黑體"/>
        <family val="2"/>
        <charset val="136"/>
      </rPr>
      <t>(D4:D17="手提包")</t>
    </r>
    <r>
      <rPr>
        <b/>
        <sz val="11"/>
        <color rgb="FFFF0000"/>
        <rFont val="微軟正黑體"/>
        <family val="2"/>
        <charset val="136"/>
      </rPr>
      <t>+</t>
    </r>
    <r>
      <rPr>
        <sz val="11"/>
        <color theme="1"/>
        <rFont val="微軟正黑體"/>
        <family val="2"/>
        <charset val="136"/>
      </rPr>
      <t>(D4:D17="萬用包")</t>
    </r>
    <r>
      <rPr>
        <b/>
        <sz val="11"/>
        <color rgb="FFFF0000"/>
        <rFont val="微軟正黑體"/>
        <family val="2"/>
        <charset val="136"/>
      </rPr>
      <t>)</t>
    </r>
    <r>
      <rPr>
        <sz val="11"/>
        <color theme="1"/>
        <rFont val="微軟正黑體"/>
        <family val="2"/>
        <charset val="136"/>
      </rPr>
      <t>*F4:F17)</t>
    </r>
    <phoneticPr fontId="3" type="noConversion"/>
  </si>
  <si>
    <t>使用 SUMIFS計算</t>
    <phoneticPr fontId="3" type="noConversion"/>
  </si>
  <si>
    <r>
      <t xml:space="preserve">* </t>
    </r>
    <r>
      <rPr>
        <sz val="11"/>
        <color rgb="FFFF0000"/>
        <rFont val="細明體"/>
        <family val="3"/>
        <charset val="136"/>
      </rPr>
      <t>第一欄中的值必須以遞增順序，排序</t>
    </r>
    <r>
      <rPr>
        <sz val="11"/>
        <color rgb="FF454545"/>
        <rFont val="細明體"/>
        <family val="3"/>
        <charset val="136"/>
      </rPr>
      <t>；否則，VLOOKUP 可能無法傳回正確的值。</t>
    </r>
    <phoneticPr fontId="3" type="noConversion"/>
  </si>
  <si>
    <r>
      <t>*   則</t>
    </r>
    <r>
      <rPr>
        <sz val="12"/>
        <color rgb="FFFF0000"/>
        <rFont val="新細明體"/>
        <family val="1"/>
        <charset val="136"/>
      </rPr>
      <t>不需要排序 table_array 第一欄中的值</t>
    </r>
    <r>
      <rPr>
        <sz val="12"/>
        <rFont val="新細明體"/>
        <family val="1"/>
        <charset val="136"/>
      </rPr>
      <t>。</t>
    </r>
    <phoneticPr fontId="3" type="noConversion"/>
  </si>
  <si>
    <t>MMULT</t>
    <phoneticPr fontId="3" type="noConversion"/>
  </si>
  <si>
    <r>
      <rPr>
        <b/>
        <sz val="12"/>
        <color rgb="FFFF0000"/>
        <rFont val="新細明體"/>
        <family val="1"/>
        <charset val="136"/>
      </rPr>
      <t>array1</t>
    </r>
    <r>
      <rPr>
        <b/>
        <sz val="12"/>
        <rFont val="新細明體"/>
        <family val="1"/>
        <charset val="136"/>
      </rPr>
      <t xml:space="preserve"> 必須是</t>
    </r>
    <r>
      <rPr>
        <b/>
        <sz val="12"/>
        <color rgb="FFFF0000"/>
        <rFont val="新細明體"/>
        <family val="1"/>
        <charset val="136"/>
      </rPr>
      <t>水平</t>
    </r>
    <r>
      <rPr>
        <b/>
        <sz val="12"/>
        <rFont val="新細明體"/>
        <family val="1"/>
        <charset val="136"/>
      </rPr>
      <t>方向的資料</t>
    </r>
    <phoneticPr fontId="3" type="noConversion"/>
  </si>
  <si>
    <t>*</t>
    <phoneticPr fontId="3" type="noConversion"/>
  </si>
  <si>
    <t>學習重點</t>
    <phoneticPr fontId="3" type="noConversion"/>
  </si>
  <si>
    <t>PERCENTRANK.INC(含0,1)</t>
    <phoneticPr fontId="3" type="noConversion"/>
  </si>
  <si>
    <t>隨身手拿包</t>
    <phoneticPr fontId="21"/>
  </si>
  <si>
    <t>萬用包</t>
    <phoneticPr fontId="21"/>
  </si>
  <si>
    <t>隨身萬用袋</t>
    <phoneticPr fontId="21"/>
  </si>
  <si>
    <t>表參道</t>
    <phoneticPr fontId="21"/>
  </si>
  <si>
    <t>手提包</t>
    <phoneticPr fontId="21"/>
  </si>
  <si>
    <t>托特包</t>
    <phoneticPr fontId="21"/>
  </si>
  <si>
    <t>萬用包</t>
    <phoneticPr fontId="21"/>
  </si>
  <si>
    <t>使用SUMPRODUCT</t>
    <phoneticPr fontId="21"/>
  </si>
  <si>
    <t>【SUMIF、SUMIFS】</t>
    <rPh sb="1" eb="3">
      <t>ウリアゲ</t>
    </rPh>
    <phoneticPr fontId="21"/>
  </si>
  <si>
    <r>
      <t xml:space="preserve">計算 手提包 </t>
    </r>
    <r>
      <rPr>
        <b/>
        <sz val="11"/>
        <color rgb="FFFF0000"/>
        <rFont val="微軟正黑體"/>
        <family val="2"/>
        <charset val="136"/>
      </rPr>
      <t>或</t>
    </r>
    <r>
      <rPr>
        <b/>
        <sz val="11"/>
        <color theme="1"/>
        <rFont val="微軟正黑體"/>
        <family val="2"/>
        <charset val="136"/>
      </rPr>
      <t xml:space="preserve"> 萬用包 的</t>
    </r>
    <r>
      <rPr>
        <b/>
        <sz val="11"/>
        <color rgb="FFC00000"/>
        <rFont val="微軟正黑體"/>
        <family val="2"/>
        <charset val="136"/>
      </rPr>
      <t>金額加總</t>
    </r>
    <phoneticPr fontId="3" type="noConversion"/>
  </si>
  <si>
    <t xml:space="preserve">條件間的運算符號 </t>
    <phoneticPr fontId="3" type="noConversion"/>
  </si>
  <si>
    <r>
      <t xml:space="preserve">* </t>
    </r>
    <r>
      <rPr>
        <sz val="11"/>
        <rFont val="微軟正黑體"/>
        <family val="2"/>
        <charset val="136"/>
      </rPr>
      <t>代表</t>
    </r>
    <r>
      <rPr>
        <sz val="11"/>
        <color rgb="FFFF0000"/>
        <rFont val="微軟正黑體"/>
        <family val="2"/>
        <charset val="136"/>
      </rPr>
      <t xml:space="preserve"> 且</t>
    </r>
    <phoneticPr fontId="3" type="noConversion"/>
  </si>
  <si>
    <r>
      <t xml:space="preserve">+ </t>
    </r>
    <r>
      <rPr>
        <sz val="11"/>
        <rFont val="微軟正黑體"/>
        <family val="2"/>
        <charset val="136"/>
      </rPr>
      <t>代表</t>
    </r>
    <r>
      <rPr>
        <sz val="11"/>
        <color rgb="FFFF0000"/>
        <rFont val="微軟正黑體"/>
        <family val="2"/>
        <charset val="136"/>
      </rPr>
      <t xml:space="preserve"> 或</t>
    </r>
    <phoneticPr fontId="3" type="noConversion"/>
  </si>
  <si>
    <t>其他計算練習</t>
    <phoneticPr fontId="21"/>
  </si>
  <si>
    <r>
      <t xml:space="preserve"> </t>
    </r>
    <r>
      <rPr>
        <sz val="12"/>
        <color rgb="FF363636"/>
        <rFont val="細明體"/>
        <family val="3"/>
        <charset val="136"/>
      </rPr>
      <t>測試範圍</t>
    </r>
    <phoneticPr fontId="3" type="noConversion"/>
  </si>
  <si>
    <t>測試條件</t>
    <phoneticPr fontId="3" type="noConversion"/>
  </si>
  <si>
    <t>加總範圍</t>
    <phoneticPr fontId="3" type="noConversion"/>
  </si>
  <si>
    <t>萬用字元</t>
    <phoneticPr fontId="3" type="noConversion"/>
  </si>
  <si>
    <r>
      <rPr>
        <sz val="12"/>
        <color rgb="FFFF0000"/>
        <rFont val="Times New Roman"/>
        <family val="1"/>
      </rPr>
      <t>*</t>
    </r>
    <r>
      <rPr>
        <sz val="12"/>
        <rFont val="Times New Roman"/>
        <family val="1"/>
      </rPr>
      <t xml:space="preserve"> </t>
    </r>
    <r>
      <rPr>
        <sz val="12"/>
        <rFont val="細明體"/>
        <family val="3"/>
        <charset val="136"/>
      </rPr>
      <t>可取代任何字串</t>
    </r>
    <phoneticPr fontId="3" type="noConversion"/>
  </si>
  <si>
    <r>
      <rPr>
        <sz val="12"/>
        <color rgb="FFFF0000"/>
        <rFont val="Times New Roman"/>
        <family val="1"/>
      </rPr>
      <t>?</t>
    </r>
    <r>
      <rPr>
        <sz val="12"/>
        <rFont val="Times New Roman"/>
        <family val="1"/>
      </rPr>
      <t xml:space="preserve"> </t>
    </r>
    <r>
      <rPr>
        <sz val="12"/>
        <rFont val="細明體"/>
        <family val="3"/>
        <charset val="136"/>
      </rPr>
      <t>可取代一個字元</t>
    </r>
    <phoneticPr fontId="3" type="noConversion"/>
  </si>
  <si>
    <r>
      <rPr>
        <sz val="12"/>
        <color rgb="FFFF0000"/>
        <rFont val="細明體"/>
        <family val="3"/>
        <charset val="136"/>
      </rPr>
      <t>林*</t>
    </r>
    <r>
      <rPr>
        <sz val="12"/>
        <rFont val="細明體"/>
        <family val="3"/>
        <charset val="136"/>
      </rPr>
      <t xml:space="preserve"> 林開頭的任何字串；</t>
    </r>
    <r>
      <rPr>
        <sz val="12"/>
        <color rgb="FFFF0000"/>
        <rFont val="細明體"/>
        <family val="3"/>
        <charset val="136"/>
      </rPr>
      <t xml:space="preserve"> *林</t>
    </r>
    <r>
      <rPr>
        <sz val="12"/>
        <rFont val="細明體"/>
        <family val="3"/>
        <charset val="136"/>
      </rPr>
      <t xml:space="preserve"> 林結尾的任何字串</t>
    </r>
    <phoneticPr fontId="3" type="noConversion"/>
  </si>
  <si>
    <r>
      <rPr>
        <sz val="12"/>
        <color rgb="FFFF0000"/>
        <rFont val="細明體"/>
        <family val="3"/>
        <charset val="136"/>
      </rPr>
      <t>林?</t>
    </r>
    <r>
      <rPr>
        <sz val="12"/>
        <rFont val="細明體"/>
        <family val="3"/>
        <charset val="136"/>
      </rPr>
      <t xml:space="preserve"> 林開頭字串只能兩個字； </t>
    </r>
    <r>
      <rPr>
        <sz val="12"/>
        <color rgb="FFFF0000"/>
        <rFont val="細明體"/>
        <family val="3"/>
        <charset val="136"/>
      </rPr>
      <t>?林?</t>
    </r>
    <r>
      <rPr>
        <sz val="12"/>
        <rFont val="細明體"/>
        <family val="3"/>
        <charset val="136"/>
      </rPr>
      <t xml:space="preserve"> 字串只能三個字，中間為 林</t>
    </r>
    <phoneticPr fontId="3" type="noConversion"/>
  </si>
  <si>
    <t xml:space="preserve"> 郭泓志 vs B5</t>
    <phoneticPr fontId="3" type="noConversion"/>
  </si>
  <si>
    <t>&lt;60人數</t>
    <phoneticPr fontId="3" type="noConversion"/>
  </si>
  <si>
    <t>&gt;=80人數</t>
    <phoneticPr fontId="3" type="noConversion"/>
  </si>
  <si>
    <t>&gt;=平均人數</t>
    <phoneticPr fontId="3" type="noConversion"/>
  </si>
  <si>
    <t>前20%的總分平均</t>
    <phoneticPr fontId="3" type="noConversion"/>
  </si>
  <si>
    <t>當資料方向不同時，須用MMULT</t>
    <phoneticPr fontId="3" type="noConversion"/>
  </si>
  <si>
    <t>用 MID 取出這個檔案的名稱 CH05B函數的應用.xlsx</t>
    <phoneticPr fontId="14" type="noConversion"/>
  </si>
  <si>
    <r>
      <t>E</t>
    </r>
    <r>
      <rPr>
        <sz val="12"/>
        <rFont val="新細明體"/>
        <family val="1"/>
        <charset val="136"/>
      </rPr>
      <t>XC</t>
    </r>
    <phoneticPr fontId="3" type="noConversion"/>
  </si>
  <si>
    <r>
      <t>I</t>
    </r>
    <r>
      <rPr>
        <sz val="12"/>
        <rFont val="新細明體"/>
        <family val="1"/>
        <charset val="136"/>
      </rPr>
      <t>NC</t>
    </r>
    <phoneticPr fontId="3" type="noConversion"/>
  </si>
  <si>
    <t>K(百分位數)</t>
    <phoneticPr fontId="3" type="noConversion"/>
  </si>
  <si>
    <t>請問</t>
    <phoneticPr fontId="3" type="noConversion"/>
  </si>
  <si>
    <t>與儲存格比較</t>
    <phoneticPr fontId="3" type="noConversion"/>
  </si>
  <si>
    <t>與公式比較</t>
    <phoneticPr fontId="3" type="noConversion"/>
  </si>
  <si>
    <r>
      <t>SUMIFS(C3:C13,B3:B13,</t>
    </r>
    <r>
      <rPr>
        <sz val="12"/>
        <color rgb="FFFF0000"/>
        <rFont val="Times New Roman"/>
        <family val="1"/>
      </rPr>
      <t>"&gt;"&amp;E5</t>
    </r>
    <r>
      <rPr>
        <sz val="12"/>
        <rFont val="Times New Roman"/>
        <family val="1"/>
      </rPr>
      <t>)</t>
    </r>
    <phoneticPr fontId="3" type="noConversion"/>
  </si>
  <si>
    <t>測試條件的表達方式</t>
    <phoneticPr fontId="3" type="noConversion"/>
  </si>
  <si>
    <r>
      <t xml:space="preserve">任何含有 </t>
    </r>
    <r>
      <rPr>
        <sz val="12"/>
        <color rgb="FFFF0000"/>
        <rFont val="細明體"/>
        <family val="3"/>
        <charset val="136"/>
      </rPr>
      <t>林</t>
    </r>
    <r>
      <rPr>
        <sz val="12"/>
        <rFont val="細明體"/>
        <family val="3"/>
        <charset val="136"/>
      </rPr>
      <t xml:space="preserve"> 的字串如何表達</t>
    </r>
    <phoneticPr fontId="3" type="noConversion"/>
  </si>
  <si>
    <t>與常數比較或字串</t>
    <phoneticPr fontId="3" type="noConversion"/>
  </si>
  <si>
    <r>
      <t>SUMIFS(C3:C13,B3:B13,</t>
    </r>
    <r>
      <rPr>
        <sz val="12"/>
        <color rgb="FFFF0000"/>
        <rFont val="Times New Roman"/>
        <family val="1"/>
      </rPr>
      <t>"&gt;600"</t>
    </r>
    <r>
      <rPr>
        <sz val="12"/>
        <rFont val="Times New Roman"/>
        <family val="1"/>
      </rPr>
      <t>)</t>
    </r>
    <phoneticPr fontId="3" type="noConversion"/>
  </si>
  <si>
    <r>
      <t>SUMIFS(C3:C13,B3:B13,</t>
    </r>
    <r>
      <rPr>
        <sz val="12"/>
        <color rgb="FFFF0000"/>
        <rFont val="Times New Roman"/>
        <family val="1"/>
      </rPr>
      <t>"&gt;="&amp;AVERAGE(B3:B13)</t>
    </r>
    <r>
      <rPr>
        <sz val="12"/>
        <rFont val="Times New Roman"/>
        <family val="1"/>
      </rPr>
      <t>)</t>
    </r>
    <phoneticPr fontId="3" type="noConversion"/>
  </si>
  <si>
    <t>輸入組距</t>
    <phoneticPr fontId="3" type="noConversion"/>
  </si>
  <si>
    <t>完成第一個公式</t>
    <phoneticPr fontId="3" type="noConversion"/>
  </si>
  <si>
    <t>選取與組距範圍一樣大小的範圍後，進入編輯模式(按F2)</t>
    <phoneticPr fontId="3" type="noConversion"/>
  </si>
  <si>
    <t>完成FREQUENCY步驟</t>
    <phoneticPr fontId="3" type="noConversion"/>
  </si>
  <si>
    <t>陳敬</t>
    <phoneticPr fontId="3" type="noConversion"/>
  </si>
  <si>
    <r>
      <t>SUMIFS(C3:C13,A3:A13,</t>
    </r>
    <r>
      <rPr>
        <sz val="12"/>
        <color rgb="FFFF0000"/>
        <rFont val="Times New Roman"/>
        <family val="1"/>
      </rPr>
      <t>"</t>
    </r>
    <r>
      <rPr>
        <sz val="12"/>
        <color rgb="FFFF0000"/>
        <rFont val="細明體"/>
        <family val="3"/>
        <charset val="136"/>
      </rPr>
      <t>陳</t>
    </r>
    <r>
      <rPr>
        <sz val="12"/>
        <color rgb="FFFF0000"/>
        <rFont val="Times New Roman"/>
        <family val="1"/>
      </rPr>
      <t>?"</t>
    </r>
    <r>
      <rPr>
        <sz val="12"/>
        <rFont val="Times New Roman"/>
        <family val="1"/>
      </rPr>
      <t>)</t>
    </r>
    <phoneticPr fontId="3" type="noConversion"/>
  </si>
  <si>
    <r>
      <t>按</t>
    </r>
    <r>
      <rPr>
        <sz val="12"/>
        <color rgb="FFFF0000"/>
        <rFont val="新細明體"/>
        <family val="1"/>
        <charset val="136"/>
      </rPr>
      <t xml:space="preserve"> CTRL+Shift+Ente</t>
    </r>
    <r>
      <rPr>
        <sz val="12"/>
        <rFont val="新細明體"/>
        <family val="1"/>
        <charset val="136"/>
      </rPr>
      <t xml:space="preserve"> (陣列函數)</t>
    </r>
    <phoneticPr fontId="3" type="noConversion"/>
  </si>
  <si>
    <t>計算 郭泓志小計加總的方法</t>
    <phoneticPr fontId="3" type="noConversion"/>
  </si>
  <si>
    <t>資料由上往下尋找</t>
    <phoneticPr fontId="46" type="noConversion"/>
  </si>
  <si>
    <t>資料由左往右尋找</t>
    <phoneticPr fontId="46" type="noConversion"/>
  </si>
  <si>
    <t>查詢資料不在Table的第一列(欄)時</t>
    <phoneticPr fontId="46" type="noConversion"/>
  </si>
  <si>
    <t>公式錯誤的處理</t>
    <phoneticPr fontId="46" type="noConversion"/>
  </si>
  <si>
    <t>COUNTIFS</t>
    <phoneticPr fontId="3" type="noConversion"/>
  </si>
  <si>
    <t>計算符合條件的個數</t>
    <phoneticPr fontId="46" type="noConversion"/>
  </si>
  <si>
    <t>重複字串</t>
    <phoneticPr fontId="46" type="noConversion"/>
  </si>
  <si>
    <t>範例</t>
    <phoneticPr fontId="46" type="noConversion"/>
  </si>
  <si>
    <t>C</t>
  </si>
  <si>
    <t>加權比例</t>
  </si>
  <si>
    <t>IFERROR(N23/O23,"請先輸入除數")</t>
    <phoneticPr fontId="46" type="noConversion"/>
  </si>
  <si>
    <t>＊ B28答案</t>
    <phoneticPr fontId="46" type="noConversion"/>
  </si>
  <si>
    <t>練習 找出開課1與開課2的資料差異</t>
    <phoneticPr fontId="46" type="noConversion"/>
  </si>
  <si>
    <t>如果沒有定義名稱，要把WORD改成D4:D17，其他名稱依此類推</t>
    <phoneticPr fontId="46" type="noConversion"/>
  </si>
  <si>
    <t>開課1</t>
    <phoneticPr fontId="46" type="noConversion"/>
  </si>
  <si>
    <t>開課2</t>
    <phoneticPr fontId="46" type="noConversion"/>
  </si>
  <si>
    <t>VLOOKUP</t>
    <phoneticPr fontId="46" type="noConversion"/>
  </si>
  <si>
    <t>簡單範例</t>
    <phoneticPr fontId="46" type="noConversion"/>
  </si>
  <si>
    <t>IF vs VLOOKUP</t>
    <phoneticPr fontId="3" type="noConversion"/>
  </si>
  <si>
    <t>A73371</t>
    <phoneticPr fontId="3" type="noConversion"/>
  </si>
  <si>
    <t>A73373</t>
    <phoneticPr fontId="3" type="noConversion"/>
  </si>
  <si>
    <t>A73375</t>
    <phoneticPr fontId="3" type="noConversion"/>
  </si>
  <si>
    <t>A73377</t>
    <phoneticPr fontId="3" type="noConversion"/>
  </si>
  <si>
    <t>A733879</t>
    <phoneticPr fontId="3" type="noConversion"/>
  </si>
  <si>
    <t>A73381</t>
    <phoneticPr fontId="3" type="noConversion"/>
  </si>
  <si>
    <t>A73382</t>
    <phoneticPr fontId="3" type="noConversion"/>
  </si>
  <si>
    <t>A73383</t>
  </si>
  <si>
    <t>A73384</t>
  </si>
  <si>
    <t>一般</t>
    <phoneticPr fontId="46" type="noConversion"/>
  </si>
  <si>
    <t>進階</t>
    <phoneticPr fontId="46" type="noConversion"/>
  </si>
  <si>
    <t>練習</t>
    <phoneticPr fontId="46" type="noConversion"/>
  </si>
  <si>
    <r>
      <t>HLOOKUP($D$10,$B$2:$J$6,</t>
    </r>
    <r>
      <rPr>
        <sz val="12"/>
        <color rgb="FFFF0000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,FALSE)</t>
    </r>
    <phoneticPr fontId="46" type="noConversion"/>
  </si>
  <si>
    <r>
      <rPr>
        <sz val="12"/>
        <color rgb="FFFF0000"/>
        <rFont val="新細明體"/>
        <family val="1"/>
        <charset val="136"/>
      </rPr>
      <t>IFERROR(</t>
    </r>
    <r>
      <rPr>
        <sz val="12"/>
        <rFont val="新細明體"/>
        <family val="1"/>
        <charset val="136"/>
      </rPr>
      <t>HLOOKUP($D$10,$B$2:$J$6,</t>
    </r>
    <r>
      <rPr>
        <sz val="12"/>
        <color rgb="FFFF0000"/>
        <rFont val="新細明體"/>
        <family val="1"/>
        <charset val="136"/>
      </rPr>
      <t>ROW(B2)</t>
    </r>
    <r>
      <rPr>
        <sz val="12"/>
        <rFont val="新細明體"/>
        <family val="1"/>
        <charset val="136"/>
      </rPr>
      <t>,FALSE)</t>
    </r>
    <r>
      <rPr>
        <sz val="12"/>
        <color rgb="FFFF0000"/>
        <rFont val="新細明體"/>
        <family val="1"/>
        <charset val="136"/>
      </rPr>
      <t>,"")</t>
    </r>
    <phoneticPr fontId="46" type="noConversion"/>
  </si>
  <si>
    <t>*</t>
    <phoneticPr fontId="46" type="noConversion"/>
  </si>
  <si>
    <t>資料/資料驗證/清單</t>
    <phoneticPr fontId="46" type="noConversion"/>
  </si>
  <si>
    <t>若無法找到完全相符的值，將以不大·於·它的最大值取代</t>
    <phoneticPr fontId="3" type="noConversion"/>
  </si>
  <si>
    <t>進階  CHOOSE + VLOOKUP</t>
    <phoneticPr fontId="3" type="noConversion"/>
  </si>
  <si>
    <t>CHOOSE({2,1},T23:T30,U23:U30) 將U欄與T欄陣列對調</t>
    <phoneticPr fontId="46" type="noConversion"/>
  </si>
  <si>
    <t>檔案/選項/增益集</t>
    <phoneticPr fontId="3" type="noConversion"/>
  </si>
  <si>
    <t>PERCENTILE 傳回範圍中第K個百分比的數值</t>
    <phoneticPr fontId="3" type="noConversion"/>
  </si>
  <si>
    <t>PERCENTRANK.EXC(不含0,1) 傳回範圍中某的數值百分比值</t>
    <phoneticPr fontId="3" type="noConversion"/>
  </si>
  <si>
    <t>PERCENTIL的差異</t>
    <phoneticPr fontId="3" type="noConversion"/>
  </si>
  <si>
    <t>IFS</t>
    <phoneticPr fontId="3" type="noConversion"/>
  </si>
  <si>
    <t>IFS</t>
    <phoneticPr fontId="3" type="noConversion"/>
  </si>
  <si>
    <t>檢查一或多個條件符合，並傳回第一個為 TRUE 的條件的對應值</t>
  </si>
  <si>
    <t>IF(B26=1,AVERAGE(WORD),IF(B26=2,MAX(PPT),AVERAGE(平均))</t>
    <phoneticPr fontId="3" type="noConversion"/>
  </si>
  <si>
    <t>IFS(B26=1,AVERAGE(Word),B26=2,MAX(PPT),B26=3,AVERAGE(平均),TRUE,"只能1-3")</t>
    <phoneticPr fontId="3" type="noConversion"/>
  </si>
  <si>
    <t>CHOOSE(B26,AVERAGE(WORD),MAX(PPT),AVERAGE(平均))</t>
    <phoneticPr fontId="3" type="noConversion"/>
  </si>
  <si>
    <t>欄1</t>
    <phoneticPr fontId="3" type="noConversion"/>
  </si>
  <si>
    <t>使用COUNTIFS</t>
    <phoneticPr fontId="3" type="noConversion"/>
  </si>
  <si>
    <t>可用於計算成績分布方法有：</t>
    <phoneticPr fontId="3" type="noConversion"/>
  </si>
  <si>
    <r>
      <t>資料/分析/資料分析/</t>
    </r>
    <r>
      <rPr>
        <sz val="12"/>
        <color rgb="FFFF0000"/>
        <rFont val="新細明體"/>
        <family val="1"/>
        <charset val="136"/>
      </rPr>
      <t>直方圖</t>
    </r>
    <r>
      <rPr>
        <sz val="12"/>
        <rFont val="新細明體"/>
        <family val="1"/>
        <charset val="136"/>
      </rPr>
      <t>(檔案/選項/增益集/執行)</t>
    </r>
    <phoneticPr fontId="3" type="noConversion"/>
  </si>
  <si>
    <t>前三總分平均數</t>
    <phoneticPr fontId="3" type="noConversion"/>
  </si>
  <si>
    <t>貼上名稱快速鍵 F3</t>
    <phoneticPr fontId="3" type="noConversion"/>
  </si>
  <si>
    <t>條件準則的類型</t>
    <phoneticPr fontId="3" type="noConversion"/>
  </si>
  <si>
    <t>單一條件</t>
    <phoneticPr fontId="21"/>
  </si>
  <si>
    <t>˙與常數或固定字串相比</t>
    <phoneticPr fontId="3" type="noConversion"/>
  </si>
  <si>
    <t>手提包的金額加總</t>
    <phoneticPr fontId="3" type="noConversion"/>
  </si>
  <si>
    <t>商品名稱最後一個字為 "包"</t>
    <phoneticPr fontId="3" type="noConversion"/>
  </si>
  <si>
    <t>數量大於20的商品筆數</t>
    <phoneticPr fontId="3" type="noConversion"/>
  </si>
  <si>
    <t>˙與儲存格的值相比</t>
    <phoneticPr fontId="3" type="noConversion"/>
  </si>
  <si>
    <t>數量 &gt;</t>
    <rPh sb="0" eb="2">
      <t>スウリョウ</t>
    </rPh>
    <phoneticPr fontId="21"/>
  </si>
  <si>
    <t>個數</t>
    <phoneticPr fontId="21"/>
  </si>
  <si>
    <t>˙多個條件“且”“或”</t>
    <phoneticPr fontId="21"/>
  </si>
  <si>
    <t>且</t>
    <phoneticPr fontId="3" type="noConversion"/>
  </si>
  <si>
    <t>（注意！條件式計算 xxxIFS 的條件都是“且”，不能是“或”）</t>
  </si>
  <si>
    <t>或</t>
    <phoneticPr fontId="3" type="noConversion"/>
  </si>
  <si>
    <t>進階用法配合SUMPRODUCT</t>
    <phoneticPr fontId="3" type="noConversion"/>
  </si>
  <si>
    <t>【使用SUMPRODUCT來完成以下計算】</t>
    <phoneticPr fontId="21"/>
  </si>
  <si>
    <t>練習</t>
    <phoneticPr fontId="21"/>
  </si>
  <si>
    <t>使用SUMPRODUCT計算涉谷或手提包的金額總和</t>
    <phoneticPr fontId="21"/>
  </si>
  <si>
    <t>使用 SUMIFS計算</t>
    <phoneticPr fontId="21"/>
  </si>
  <si>
    <r>
      <rPr>
        <sz val="12"/>
        <rFont val="細明體"/>
        <family val="1"/>
        <charset val="136"/>
      </rPr>
      <t>等於</t>
    </r>
    <r>
      <rPr>
        <sz val="12"/>
        <rFont val="Times New Roman"/>
        <family val="1"/>
      </rPr>
      <t>(</t>
    </r>
    <r>
      <rPr>
        <sz val="12"/>
        <color rgb="FFFF0000"/>
        <rFont val="Times New Roman"/>
        <family val="1"/>
      </rPr>
      <t>=</t>
    </r>
    <r>
      <rPr>
        <sz val="12"/>
        <rFont val="Times New Roman"/>
        <family val="1"/>
      </rPr>
      <t>)</t>
    </r>
    <r>
      <rPr>
        <sz val="12"/>
        <rFont val="細明體"/>
        <family val="1"/>
        <charset val="136"/>
      </rPr>
      <t>時</t>
    </r>
    <r>
      <rPr>
        <sz val="12"/>
        <rFont val="Times New Roman"/>
        <family val="1"/>
      </rPr>
      <t xml:space="preserve"> SUMIFS(C3:C13,B3:B13,</t>
    </r>
    <r>
      <rPr>
        <sz val="12"/>
        <color rgb="FFFF0000"/>
        <rFont val="Times New Roman"/>
        <family val="1"/>
      </rPr>
      <t>E5</t>
    </r>
    <r>
      <rPr>
        <sz val="12"/>
        <rFont val="Times New Roman"/>
        <family val="1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</si>
</sst>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6" formatCode="&quot;$&quot;#,##0;[Red]\-&quot;$&quot;#,##0"/>
    <numFmt numFmtId="8" formatCode="&quot;$&quot;#,##0.00;[Red]\-&quot;$&quot;#,##0.00"/>
    <numFmt numFmtId="42" formatCode="_-&quot;$&quot;* #,##0_-;\-&quot;$&quot;* #,##0_-;_-&quot;$&quot;* &quot;-&quot;_-;_-@_-"/>
    <numFmt numFmtId="43" formatCode="_-* #,##0.00_-;\-* #,##0.00_-;_-* &quot;-&quot;??_-;_-@_-"/>
    <numFmt numFmtId="176" formatCode="#,##0_);[Red]\(#,##0\)"/>
    <numFmt numFmtId="177" formatCode="_-* #,##0_-;\-* #,##0_-;_-* &quot;-&quot;??_-;_-@_-"/>
    <numFmt numFmtId="178" formatCode="#,##0;[Red][&lt;60]\-#,##0;General"/>
    <numFmt numFmtId="179" formatCode="yyyy/mm/dd\(aaa\)"/>
    <numFmt numFmtId="180" formatCode="yyyy/mm/dd"/>
    <numFmt numFmtId="181" formatCode="0.0_ "/>
    <numFmt numFmtId="182" formatCode="&quot;$&quot;#,##0"/>
    <numFmt numFmtId="183" formatCode="&quot;$&quot;#,##0.0;[Red]\-&quot;$&quot;#,##0.0"/>
    <numFmt numFmtId="184" formatCode="&quot;$&quot;#,##0_);[Red]\(&quot;$&quot;#,##0\)"/>
    <numFmt numFmtId="185" formatCode="0.000%"/>
    <numFmt numFmtId="186" formatCode="#,##0.000_);[Red]\(#,##0.000\)"/>
    <numFmt numFmtId="187" formatCode="#,##0.0000_);[Red]\(#,##0.0000\)"/>
  </numFmts>
  <fonts count="87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9"/>
      <name val="Times New Roman"/>
      <family val="1"/>
    </font>
    <font>
      <sz val="12"/>
      <name val="Times New Roman"/>
      <family val="1"/>
    </font>
    <font>
      <sz val="12"/>
      <color indexed="12"/>
      <name val="Times New Roman"/>
      <family val="1"/>
    </font>
    <font>
      <sz val="12"/>
      <color indexed="18"/>
      <name val="新細明體"/>
      <family val="1"/>
      <charset val="136"/>
    </font>
    <font>
      <sz val="12"/>
      <color indexed="16"/>
      <name val="新細明體"/>
      <family val="1"/>
      <charset val="136"/>
    </font>
    <font>
      <sz val="12"/>
      <color indexed="43"/>
      <name val="新細明體"/>
      <family val="1"/>
      <charset val="136"/>
    </font>
    <font>
      <sz val="12"/>
      <color indexed="26"/>
      <name val="新細明體"/>
      <family val="1"/>
      <charset val="136"/>
    </font>
    <font>
      <b/>
      <sz val="12"/>
      <color indexed="48"/>
      <name val="新細明體"/>
      <family val="1"/>
      <charset val="136"/>
    </font>
    <font>
      <sz val="12"/>
      <color theme="1"/>
      <name val="新細明體"/>
      <family val="1"/>
      <charset val="136"/>
    </font>
    <font>
      <sz val="9"/>
      <name val="細明體"/>
      <family val="3"/>
      <charset val="136"/>
    </font>
    <font>
      <sz val="12"/>
      <color theme="0"/>
      <name val="新細明體"/>
      <family val="1"/>
      <charset val="136"/>
    </font>
    <font>
      <b/>
      <sz val="12"/>
      <color theme="0"/>
      <name val="新細明體"/>
      <family val="1"/>
      <charset val="136"/>
    </font>
    <font>
      <sz val="12"/>
      <color theme="5" tint="-0.249977111117893"/>
      <name val="新細明體"/>
      <family val="1"/>
      <charset val="136"/>
    </font>
    <font>
      <sz val="10"/>
      <color rgb="FF990033"/>
      <name val="Book Antiqua"/>
      <family val="1"/>
    </font>
    <font>
      <sz val="12"/>
      <color theme="0"/>
      <name val="Times New Roman"/>
      <family val="1"/>
    </font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b/>
      <sz val="12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b/>
      <sz val="11"/>
      <color rgb="FF454545"/>
      <name val="Arial"/>
      <family val="2"/>
    </font>
    <font>
      <sz val="11"/>
      <color rgb="FF454545"/>
      <name val="Arial"/>
      <family val="2"/>
    </font>
    <font>
      <sz val="11"/>
      <name val="新細明體"/>
      <family val="1"/>
      <charset val="136"/>
    </font>
    <font>
      <u/>
      <sz val="11"/>
      <color theme="10"/>
      <name val="新細明體"/>
      <family val="1"/>
      <charset val="136"/>
    </font>
    <font>
      <sz val="11"/>
      <color rgb="FF454545"/>
      <name val="細明體"/>
      <family val="3"/>
      <charset val="136"/>
    </font>
    <font>
      <b/>
      <sz val="11"/>
      <color rgb="FF454545"/>
      <name val="細明體"/>
      <family val="3"/>
      <charset val="136"/>
    </font>
    <font>
      <sz val="9"/>
      <color theme="2" tint="-0.89999084444715716"/>
      <name val="新細明體"/>
      <family val="1"/>
      <charset val="136"/>
    </font>
    <font>
      <sz val="11"/>
      <color indexed="9"/>
      <name val="新細明體"/>
      <family val="1"/>
      <charset val="136"/>
    </font>
    <font>
      <b/>
      <sz val="11"/>
      <color theme="4" tint="-0.249977111117893"/>
      <name val="新細明體"/>
      <family val="1"/>
      <charset val="136"/>
    </font>
    <font>
      <sz val="11"/>
      <color rgb="FFFF0000"/>
      <name val="細明體"/>
      <family val="3"/>
      <charset val="136"/>
    </font>
    <font>
      <sz val="12"/>
      <color theme="5"/>
      <name val="新細明體"/>
      <family val="1"/>
      <charset val="136"/>
    </font>
    <font>
      <sz val="12"/>
      <color theme="9" tint="-0.249977111117893"/>
      <name val="新細明體"/>
      <family val="1"/>
      <charset val="136"/>
    </font>
    <font>
      <sz val="12"/>
      <color theme="9" tint="-0.499984740745262"/>
      <name val="新細明體"/>
      <family val="1"/>
      <charset val="136"/>
    </font>
    <font>
      <sz val="12"/>
      <color rgb="FFFF0000"/>
      <name val="新細明體"/>
      <family val="1"/>
      <charset val="136"/>
    </font>
    <font>
      <b/>
      <sz val="12"/>
      <color theme="3"/>
      <name val="新細明體"/>
      <family val="1"/>
      <charset val="136"/>
    </font>
    <font>
      <sz val="12"/>
      <name val="Arial"/>
      <family val="2"/>
    </font>
    <font>
      <b/>
      <sz val="12"/>
      <color indexed="56"/>
      <name val="Arial"/>
      <family val="2"/>
    </font>
    <font>
      <b/>
      <sz val="12"/>
      <color indexed="50"/>
      <name val="Arial"/>
      <family val="2"/>
    </font>
    <font>
      <b/>
      <sz val="12"/>
      <color indexed="20"/>
      <name val="Arial"/>
      <family val="2"/>
    </font>
    <font>
      <sz val="9"/>
      <name val="新細明體"/>
      <family val="2"/>
      <charset val="136"/>
      <scheme val="minor"/>
    </font>
    <font>
      <b/>
      <sz val="12"/>
      <color indexed="10"/>
      <name val="Arial"/>
      <family val="2"/>
    </font>
    <font>
      <b/>
      <sz val="12"/>
      <color indexed="17"/>
      <name val="Arial"/>
      <family val="2"/>
    </font>
    <font>
      <sz val="10"/>
      <name val="MS Sans Serif"/>
      <family val="2"/>
    </font>
    <font>
      <b/>
      <sz val="12"/>
      <color indexed="16"/>
      <name val="Arial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1"/>
      <color rgb="FFFF0000"/>
      <name val="微軟正黑體"/>
      <family val="2"/>
      <charset val="136"/>
    </font>
    <font>
      <sz val="12"/>
      <color theme="6" tint="-0.499984740745262"/>
      <name val="新細明體"/>
      <family val="1"/>
      <charset val="136"/>
    </font>
    <font>
      <sz val="10"/>
      <name val="新細明體"/>
      <family val="1"/>
      <charset val="136"/>
    </font>
    <font>
      <sz val="12"/>
      <color rgb="FF363636"/>
      <name val="Segoe UI Light"/>
      <family val="2"/>
    </font>
    <font>
      <sz val="12"/>
      <color rgb="FF000000"/>
      <name val="Segoe UI Light"/>
      <family val="2"/>
    </font>
    <font>
      <sz val="12"/>
      <color rgb="FF363636"/>
      <name val="Segoe UI Light"/>
      <family val="2"/>
    </font>
    <font>
      <sz val="12"/>
      <name val="細明體"/>
      <family val="3"/>
      <charset val="136"/>
    </font>
    <font>
      <sz val="12"/>
      <color rgb="FF363636"/>
      <name val="細明體"/>
      <family val="3"/>
      <charset val="136"/>
    </font>
    <font>
      <sz val="12"/>
      <color rgb="FFFF0000"/>
      <name val="Segoe UI Light"/>
      <family val="2"/>
    </font>
    <font>
      <sz val="14"/>
      <name val="Times New Roman"/>
      <family val="1"/>
    </font>
    <font>
      <sz val="14"/>
      <color rgb="FFC00000"/>
      <name val="Times New Roman"/>
      <family val="1"/>
    </font>
    <font>
      <b/>
      <sz val="11"/>
      <color rgb="FFFF0000"/>
      <name val="微軟正黑體"/>
      <family val="2"/>
      <charset val="136"/>
    </font>
    <font>
      <b/>
      <sz val="11"/>
      <color rgb="FFC00000"/>
      <name val="微軟正黑體"/>
      <family val="2"/>
      <charset val="136"/>
    </font>
    <font>
      <sz val="12"/>
      <color rgb="FFFF0000"/>
      <name val="Arial"/>
      <family val="2"/>
    </font>
    <font>
      <sz val="12"/>
      <color rgb="FFFF0000"/>
      <name val="細明體"/>
      <family val="3"/>
      <charset val="136"/>
    </font>
    <font>
      <i/>
      <sz val="12"/>
      <color rgb="FFFF0000"/>
      <name val="Arial"/>
      <family val="2"/>
    </font>
    <font>
      <b/>
      <sz val="12"/>
      <color theme="1"/>
      <name val="細明體"/>
      <family val="3"/>
      <charset val="136"/>
    </font>
    <font>
      <b/>
      <sz val="12"/>
      <color rgb="FFFF0000"/>
      <name val="新細明體"/>
      <family val="1"/>
      <charset val="136"/>
    </font>
    <font>
      <b/>
      <sz val="14"/>
      <color rgb="FFC00000"/>
      <name val="標楷體"/>
      <family val="4"/>
      <charset val="136"/>
    </font>
    <font>
      <b/>
      <sz val="12"/>
      <color rgb="FFFF0000"/>
      <name val="微軟正黑體"/>
      <family val="2"/>
      <charset val="136"/>
    </font>
    <font>
      <sz val="11"/>
      <name val="微軟正黑體"/>
      <family val="2"/>
      <charset val="136"/>
    </font>
    <font>
      <sz val="12"/>
      <color rgb="FFC00000"/>
      <name val="細明體"/>
      <family val="3"/>
      <charset val="136"/>
    </font>
    <font>
      <sz val="12"/>
      <color rgb="FFFF0000"/>
      <name val="Times New Roman"/>
      <family val="1"/>
    </font>
    <font>
      <b/>
      <sz val="10"/>
      <color rgb="FFFFFFFF"/>
      <name val="新細明體"/>
      <family val="1"/>
      <charset val="136"/>
      <scheme val="minor"/>
    </font>
    <font>
      <sz val="10"/>
      <color rgb="FF333333"/>
      <name val="新細明體"/>
      <family val="1"/>
      <charset val="136"/>
      <scheme val="minor"/>
    </font>
    <font>
      <sz val="10"/>
      <color rgb="FF284775"/>
      <name val="新細明體"/>
      <family val="1"/>
      <charset val="136"/>
      <scheme val="minor"/>
    </font>
    <font>
      <b/>
      <sz val="12"/>
      <color theme="5"/>
      <name val="新細明體"/>
      <family val="1"/>
      <charset val="136"/>
    </font>
    <font>
      <sz val="10"/>
      <color indexed="9"/>
      <name val="新細明體"/>
      <family val="1"/>
      <charset val="136"/>
    </font>
    <font>
      <sz val="8"/>
      <color indexed="9"/>
      <name val="新細明體"/>
      <family val="1"/>
      <charset val="136"/>
    </font>
    <font>
      <b/>
      <sz val="18"/>
      <name val="新細明體"/>
      <family val="1"/>
      <charset val="136"/>
    </font>
    <font>
      <b/>
      <sz val="11"/>
      <color theme="5" tint="-0.249977111117893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name val="Times New Roman"/>
      <family val="1"/>
      <charset val="136"/>
    </font>
    <font>
      <sz val="12"/>
      <name val="細明體"/>
      <family val="1"/>
      <charset val="136"/>
    </font>
  </fonts>
  <fills count="4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7"/>
        <bgColor indexed="24"/>
      </patternFill>
    </fill>
    <fill>
      <patternFill patternType="solid">
        <fgColor indexed="18"/>
        <bgColor indexed="24"/>
      </patternFill>
    </fill>
    <fill>
      <patternFill patternType="solid">
        <fgColor indexed="3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49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3" tint="-0.249977111117893"/>
        <bgColor theme="4" tint="0.79998168889431442"/>
      </patternFill>
    </fill>
    <fill>
      <patternFill patternType="solid">
        <fgColor theme="3" tint="-0.249977111117893"/>
        <bgColor indexed="2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24"/>
      </patternFill>
    </fill>
    <fill>
      <patternFill patternType="solid">
        <fgColor theme="4" tint="0.79998168889431442"/>
        <bgColor indexed="2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indexed="2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2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5D7B9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theme="3" tint="0.59999389629810485"/>
        <bgColor indexed="2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9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  <border>
      <left style="thin">
        <color theme="5" tint="0.39997558519241921"/>
      </left>
      <right/>
      <top/>
      <bottom/>
      <diagonal/>
    </border>
    <border>
      <left/>
      <right style="thin">
        <color theme="5" tint="0.3999755851924192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-0.24994659260841701"/>
      </top>
      <bottom style="hair">
        <color theme="6" tint="-0.2499465926084170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6" tint="0.39997558519241921"/>
      </top>
      <bottom/>
      <diagonal/>
    </border>
    <border>
      <left style="medium">
        <color indexed="56"/>
      </left>
      <right style="medium">
        <color indexed="56"/>
      </right>
      <top style="medium">
        <color indexed="56"/>
      </top>
      <bottom style="medium">
        <color indexed="56"/>
      </bottom>
      <diagonal/>
    </border>
    <border>
      <left style="medium">
        <color indexed="20"/>
      </left>
      <right style="medium">
        <color indexed="20"/>
      </right>
      <top/>
      <bottom style="medium">
        <color indexed="20"/>
      </bottom>
      <diagonal/>
    </border>
    <border>
      <left style="medium">
        <color indexed="50"/>
      </left>
      <right style="medium">
        <color indexed="50"/>
      </right>
      <top style="medium">
        <color indexed="20"/>
      </top>
      <bottom style="medium">
        <color indexed="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20"/>
      </left>
      <right style="medium">
        <color indexed="20"/>
      </right>
      <top style="medium">
        <color indexed="20"/>
      </top>
      <bottom/>
      <diagonal/>
    </border>
    <border>
      <left style="medium">
        <color indexed="56"/>
      </left>
      <right style="medium">
        <color indexed="56"/>
      </right>
      <top style="medium">
        <color indexed="56"/>
      </top>
      <bottom/>
      <diagonal/>
    </border>
    <border>
      <left style="medium">
        <color indexed="50"/>
      </left>
      <right style="medium">
        <color indexed="50"/>
      </right>
      <top style="medium">
        <color indexed="50"/>
      </top>
      <bottom style="medium">
        <color indexed="50"/>
      </bottom>
      <diagonal/>
    </border>
    <border>
      <left style="medium">
        <color indexed="16"/>
      </left>
      <right style="medium">
        <color indexed="16"/>
      </right>
      <top style="medium">
        <color indexed="16"/>
      </top>
      <bottom/>
      <diagonal/>
    </border>
    <border>
      <left style="medium">
        <color indexed="20"/>
      </left>
      <right style="medium">
        <color indexed="20"/>
      </right>
      <top style="medium">
        <color indexed="20"/>
      </top>
      <bottom style="medium">
        <color indexed="20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indexed="64"/>
      </top>
      <bottom/>
      <diagonal/>
    </border>
  </borders>
  <cellStyleXfs count="14">
    <xf numFmtId="0" fontId="0" fillId="0" borderId="0"/>
    <xf numFmtId="0" fontId="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>
      <alignment vertical="center"/>
    </xf>
    <xf numFmtId="0" fontId="20" fillId="0" borderId="0">
      <alignment vertical="center"/>
    </xf>
    <xf numFmtId="38" fontId="2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" fillId="0" borderId="0"/>
    <xf numFmtId="42" fontId="2" fillId="0" borderId="0" applyFont="0" applyFill="0" applyBorder="0" applyAlignment="0" applyProtection="0"/>
    <xf numFmtId="184" fontId="49" fillId="0" borderId="0" applyFont="0" applyFill="0" applyBorder="0" applyAlignment="0" applyProtection="0"/>
    <xf numFmtId="0" fontId="7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25">
    <xf numFmtId="0" fontId="0" fillId="0" borderId="0" xfId="0"/>
    <xf numFmtId="0" fontId="6" fillId="0" borderId="0" xfId="0" applyFont="1"/>
    <xf numFmtId="0" fontId="4" fillId="3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quotePrefix="1" applyFont="1"/>
    <xf numFmtId="0" fontId="2" fillId="0" borderId="0" xfId="1" applyFont="1" applyAlignment="1">
      <alignment horizontal="right"/>
    </xf>
    <xf numFmtId="0" fontId="2" fillId="0" borderId="0" xfId="1" applyFont="1"/>
    <xf numFmtId="0" fontId="4" fillId="4" borderId="3" xfId="1" applyFont="1" applyFill="1" applyBorder="1" applyAlignment="1">
      <alignment horizontal="centerContinuous"/>
    </xf>
    <xf numFmtId="0" fontId="4" fillId="4" borderId="0" xfId="1" applyFont="1" applyFill="1" applyAlignment="1">
      <alignment horizontal="centerContinuous"/>
    </xf>
    <xf numFmtId="0" fontId="2" fillId="0" borderId="0" xfId="1" applyFont="1" applyAlignment="1">
      <alignment horizontal="center"/>
    </xf>
    <xf numFmtId="0" fontId="4" fillId="4" borderId="4" xfId="1" applyFont="1" applyFill="1" applyBorder="1" applyAlignment="1" applyProtection="1">
      <alignment horizontal="right"/>
      <protection hidden="1"/>
    </xf>
    <xf numFmtId="0" fontId="4" fillId="4" borderId="6" xfId="1" applyFont="1" applyFill="1" applyBorder="1" applyAlignment="1">
      <alignment horizontal="right"/>
    </xf>
    <xf numFmtId="0" fontId="8" fillId="6" borderId="0" xfId="1" applyFont="1" applyFill="1"/>
    <xf numFmtId="9" fontId="8" fillId="6" borderId="7" xfId="1" applyNumberFormat="1" applyFont="1" applyFill="1" applyBorder="1"/>
    <xf numFmtId="0" fontId="8" fillId="6" borderId="9" xfId="1" applyFont="1" applyFill="1" applyBorder="1"/>
    <xf numFmtId="9" fontId="8" fillId="6" borderId="10" xfId="1" applyNumberFormat="1" applyFont="1" applyFill="1" applyBorder="1"/>
    <xf numFmtId="14" fontId="10" fillId="7" borderId="0" xfId="0" applyNumberFormat="1" applyFont="1" applyFill="1"/>
    <xf numFmtId="1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176" fontId="0" fillId="8" borderId="13" xfId="0" applyNumberFormat="1" applyFill="1" applyBorder="1" applyAlignment="1">
      <alignment vertical="center"/>
    </xf>
    <xf numFmtId="176" fontId="0" fillId="9" borderId="15" xfId="0" applyNumberFormat="1" applyFill="1" applyBorder="1" applyAlignment="1">
      <alignment vertical="center"/>
    </xf>
    <xf numFmtId="176" fontId="0" fillId="8" borderId="15" xfId="0" applyNumberFormat="1" applyFill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176" fontId="7" fillId="0" borderId="0" xfId="2" applyNumberFormat="1" applyFont="1"/>
    <xf numFmtId="0" fontId="7" fillId="0" borderId="0" xfId="0" applyFont="1"/>
    <xf numFmtId="176" fontId="7" fillId="0" borderId="0" xfId="0" applyNumberFormat="1" applyFont="1"/>
    <xf numFmtId="176" fontId="0" fillId="0" borderId="0" xfId="0" applyNumberFormat="1" applyAlignment="1">
      <alignment vertical="center"/>
    </xf>
    <xf numFmtId="176" fontId="0" fillId="10" borderId="16" xfId="0" applyNumberFormat="1" applyFill="1" applyBorder="1" applyAlignment="1">
      <alignment vertical="center"/>
    </xf>
    <xf numFmtId="176" fontId="7" fillId="10" borderId="16" xfId="2" applyNumberFormat="1" applyFont="1" applyFill="1" applyBorder="1"/>
    <xf numFmtId="0" fontId="7" fillId="10" borderId="17" xfId="0" applyFont="1" applyFill="1" applyBorder="1"/>
    <xf numFmtId="176" fontId="0" fillId="11" borderId="18" xfId="0" applyNumberFormat="1" applyFill="1" applyBorder="1" applyAlignment="1">
      <alignment vertical="center"/>
    </xf>
    <xf numFmtId="176" fontId="7" fillId="11" borderId="18" xfId="0" applyNumberFormat="1" applyFont="1" applyFill="1" applyBorder="1"/>
    <xf numFmtId="0" fontId="7" fillId="11" borderId="0" xfId="0" applyFont="1" applyFill="1"/>
    <xf numFmtId="0" fontId="8" fillId="11" borderId="19" xfId="1" applyFont="1" applyFill="1" applyBorder="1"/>
    <xf numFmtId="0" fontId="8" fillId="11" borderId="20" xfId="1" applyFont="1" applyFill="1" applyBorder="1"/>
    <xf numFmtId="0" fontId="8" fillId="10" borderId="19" xfId="1" applyFont="1" applyFill="1" applyBorder="1"/>
    <xf numFmtId="0" fontId="8" fillId="10" borderId="20" xfId="1" applyFont="1" applyFill="1" applyBorder="1"/>
    <xf numFmtId="178" fontId="17" fillId="11" borderId="20" xfId="0" applyNumberFormat="1" applyFont="1" applyFill="1" applyBorder="1"/>
    <xf numFmtId="178" fontId="17" fillId="10" borderId="20" xfId="0" applyNumberFormat="1" applyFont="1" applyFill="1" applyBorder="1"/>
    <xf numFmtId="14" fontId="16" fillId="14" borderId="21" xfId="0" applyNumberFormat="1" applyFont="1" applyFill="1" applyBorder="1" applyAlignment="1">
      <alignment vertical="center"/>
    </xf>
    <xf numFmtId="0" fontId="16" fillId="14" borderId="22" xfId="0" applyFont="1" applyFill="1" applyBorder="1" applyAlignment="1">
      <alignment vertical="center"/>
    </xf>
    <xf numFmtId="14" fontId="13" fillId="15" borderId="23" xfId="0" applyNumberFormat="1" applyFont="1" applyFill="1" applyBorder="1" applyAlignment="1">
      <alignment vertical="center"/>
    </xf>
    <xf numFmtId="0" fontId="13" fillId="15" borderId="24" xfId="0" applyFont="1" applyFill="1" applyBorder="1" applyAlignment="1">
      <alignment vertical="center"/>
    </xf>
    <xf numFmtId="14" fontId="13" fillId="0" borderId="23" xfId="0" applyNumberFormat="1" applyFont="1" applyBorder="1" applyAlignment="1">
      <alignment vertical="center"/>
    </xf>
    <xf numFmtId="0" fontId="13" fillId="0" borderId="24" xfId="0" applyFont="1" applyBorder="1" applyAlignment="1">
      <alignment vertical="center"/>
    </xf>
    <xf numFmtId="9" fontId="13" fillId="15" borderId="24" xfId="3" applyFont="1" applyFill="1" applyBorder="1" applyAlignment="1">
      <alignment vertical="center"/>
    </xf>
    <xf numFmtId="9" fontId="13" fillId="0" borderId="24" xfId="3" applyFont="1" applyBorder="1" applyAlignment="1">
      <alignment vertical="center"/>
    </xf>
    <xf numFmtId="0" fontId="15" fillId="17" borderId="0" xfId="0" applyFont="1" applyFill="1"/>
    <xf numFmtId="177" fontId="19" fillId="12" borderId="17" xfId="2" applyNumberFormat="1" applyFont="1" applyFill="1" applyBorder="1"/>
    <xf numFmtId="0" fontId="0" fillId="0" borderId="0" xfId="4" applyFont="1">
      <alignment vertical="center"/>
    </xf>
    <xf numFmtId="14" fontId="0" fillId="0" borderId="0" xfId="4" applyNumberFormat="1" applyFont="1">
      <alignment vertical="center"/>
    </xf>
    <xf numFmtId="14" fontId="16" fillId="14" borderId="21" xfId="4" applyNumberFormat="1" applyFont="1" applyFill="1" applyBorder="1">
      <alignment vertical="center"/>
    </xf>
    <xf numFmtId="0" fontId="16" fillId="14" borderId="22" xfId="4" applyFont="1" applyFill="1" applyBorder="1">
      <alignment vertical="center"/>
    </xf>
    <xf numFmtId="0" fontId="16" fillId="14" borderId="26" xfId="4" applyFont="1" applyFill="1" applyBorder="1">
      <alignment vertical="center"/>
    </xf>
    <xf numFmtId="14" fontId="13" fillId="15" borderId="23" xfId="4" applyNumberFormat="1" applyFont="1" applyFill="1" applyBorder="1">
      <alignment vertical="center"/>
    </xf>
    <xf numFmtId="0" fontId="13" fillId="15" borderId="24" xfId="4" applyFont="1" applyFill="1" applyBorder="1">
      <alignment vertical="center"/>
    </xf>
    <xf numFmtId="0" fontId="13" fillId="15" borderId="27" xfId="4" applyFont="1" applyFill="1" applyBorder="1">
      <alignment vertical="center"/>
    </xf>
    <xf numFmtId="14" fontId="13" fillId="0" borderId="23" xfId="4" applyNumberFormat="1" applyFont="1" applyBorder="1">
      <alignment vertical="center"/>
    </xf>
    <xf numFmtId="0" fontId="13" fillId="0" borderId="24" xfId="4" applyFont="1" applyBorder="1">
      <alignment vertical="center"/>
    </xf>
    <xf numFmtId="0" fontId="13" fillId="0" borderId="27" xfId="4" applyFont="1" applyBorder="1">
      <alignment vertical="center"/>
    </xf>
    <xf numFmtId="14" fontId="13" fillId="0" borderId="28" xfId="4" applyNumberFormat="1" applyFont="1" applyBorder="1">
      <alignment vertical="center"/>
    </xf>
    <xf numFmtId="0" fontId="13" fillId="0" borderId="0" xfId="4" applyFont="1">
      <alignment vertical="center"/>
    </xf>
    <xf numFmtId="0" fontId="13" fillId="0" borderId="29" xfId="4" applyFont="1" applyBorder="1">
      <alignment vertical="center"/>
    </xf>
    <xf numFmtId="0" fontId="15" fillId="0" borderId="0" xfId="4" applyFont="1">
      <alignment vertical="center"/>
    </xf>
    <xf numFmtId="0" fontId="22" fillId="0" borderId="0" xfId="5" applyFont="1">
      <alignment vertical="center"/>
    </xf>
    <xf numFmtId="0" fontId="23" fillId="0" borderId="0" xfId="5" applyFont="1">
      <alignment vertical="center"/>
    </xf>
    <xf numFmtId="179" fontId="22" fillId="0" borderId="0" xfId="5" applyNumberFormat="1" applyFont="1">
      <alignment vertical="center"/>
    </xf>
    <xf numFmtId="0" fontId="23" fillId="18" borderId="30" xfId="5" applyFont="1" applyFill="1" applyBorder="1" applyAlignment="1">
      <alignment horizontal="center" vertical="center"/>
    </xf>
    <xf numFmtId="180" fontId="22" fillId="0" borderId="0" xfId="5" applyNumberFormat="1" applyFont="1">
      <alignment vertical="center"/>
    </xf>
    <xf numFmtId="38" fontId="22" fillId="0" borderId="0" xfId="6" applyFont="1">
      <alignment vertical="center"/>
    </xf>
    <xf numFmtId="0" fontId="22" fillId="0" borderId="30" xfId="5" applyFont="1" applyBorder="1">
      <alignment vertical="center"/>
    </xf>
    <xf numFmtId="38" fontId="22" fillId="0" borderId="30" xfId="6" applyFont="1" applyBorder="1">
      <alignment vertical="center"/>
    </xf>
    <xf numFmtId="180" fontId="22" fillId="0" borderId="0" xfId="0" applyNumberFormat="1" applyFont="1" applyAlignment="1">
      <alignment vertical="center"/>
    </xf>
    <xf numFmtId="0" fontId="23" fillId="19" borderId="30" xfId="0" applyFont="1" applyFill="1" applyBorder="1" applyAlignment="1">
      <alignment horizontal="center" vertical="center"/>
    </xf>
    <xf numFmtId="0" fontId="2" fillId="20" borderId="0" xfId="0" applyFont="1" applyFill="1"/>
    <xf numFmtId="0" fontId="13" fillId="8" borderId="12" xfId="0" applyFont="1" applyFill="1" applyBorder="1" applyAlignment="1">
      <alignment horizontal="center" vertical="center"/>
    </xf>
    <xf numFmtId="176" fontId="0" fillId="8" borderId="13" xfId="0" applyNumberForma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176" fontId="0" fillId="9" borderId="15" xfId="0" applyNumberFormat="1" applyFill="1" applyBorder="1" applyAlignment="1">
      <alignment horizontal="center" vertical="center"/>
    </xf>
    <xf numFmtId="0" fontId="13" fillId="8" borderId="14" xfId="0" applyFont="1" applyFill="1" applyBorder="1" applyAlignment="1">
      <alignment horizontal="center" vertical="center"/>
    </xf>
    <xf numFmtId="176" fontId="0" fillId="8" borderId="15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5" fillId="0" borderId="0" xfId="0" applyFont="1"/>
    <xf numFmtId="0" fontId="15" fillId="24" borderId="0" xfId="1" applyFont="1" applyFill="1" applyAlignment="1">
      <alignment horizontal="center"/>
    </xf>
    <xf numFmtId="0" fontId="15" fillId="24" borderId="0" xfId="1" applyFont="1" applyFill="1"/>
    <xf numFmtId="0" fontId="0" fillId="25" borderId="0" xfId="1" applyFont="1" applyFill="1" applyAlignment="1">
      <alignment horizontal="center"/>
    </xf>
    <xf numFmtId="0" fontId="4" fillId="4" borderId="0" xfId="1" applyFont="1" applyFill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8" fillId="23" borderId="0" xfId="1" applyFont="1" applyFill="1"/>
    <xf numFmtId="0" fontId="8" fillId="6" borderId="3" xfId="1" applyFont="1" applyFill="1" applyBorder="1" applyAlignment="1" applyProtection="1">
      <alignment horizontal="center"/>
      <protection hidden="1"/>
    </xf>
    <xf numFmtId="0" fontId="8" fillId="6" borderId="8" xfId="1" applyFont="1" applyFill="1" applyBorder="1" applyAlignment="1" applyProtection="1">
      <alignment horizontal="center"/>
      <protection hidden="1"/>
    </xf>
    <xf numFmtId="0" fontId="24" fillId="0" borderId="0" xfId="5" applyFont="1">
      <alignment vertical="center"/>
    </xf>
    <xf numFmtId="0" fontId="13" fillId="8" borderId="33" xfId="0" applyFont="1" applyFill="1" applyBorder="1" applyAlignment="1">
      <alignment horizontal="center" vertical="center"/>
    </xf>
    <xf numFmtId="0" fontId="13" fillId="9" borderId="34" xfId="0" applyFont="1" applyFill="1" applyBorder="1" applyAlignment="1">
      <alignment horizontal="center" vertical="center"/>
    </xf>
    <xf numFmtId="0" fontId="13" fillId="8" borderId="34" xfId="0" applyFont="1" applyFill="1" applyBorder="1" applyAlignment="1">
      <alignment horizontal="center" vertical="center"/>
    </xf>
    <xf numFmtId="0" fontId="2" fillId="21" borderId="35" xfId="0" applyFont="1" applyFill="1" applyBorder="1"/>
    <xf numFmtId="0" fontId="15" fillId="27" borderId="0" xfId="0" applyFont="1" applyFill="1" applyAlignment="1">
      <alignment horizontal="left"/>
    </xf>
    <xf numFmtId="0" fontId="2" fillId="26" borderId="0" xfId="0" applyFont="1" applyFill="1" applyAlignment="1">
      <alignment horizontal="left"/>
    </xf>
    <xf numFmtId="0" fontId="4" fillId="27" borderId="0" xfId="0" applyFont="1" applyFill="1" applyAlignment="1">
      <alignment horizontal="center" vertical="center" wrapText="1"/>
    </xf>
    <xf numFmtId="0" fontId="2" fillId="20" borderId="36" xfId="0" applyFont="1" applyFill="1" applyBorder="1"/>
    <xf numFmtId="0" fontId="15" fillId="27" borderId="0" xfId="0" applyFont="1" applyFill="1"/>
    <xf numFmtId="0" fontId="15" fillId="27" borderId="36" xfId="0" applyFont="1" applyFill="1" applyBorder="1" applyAlignment="1">
      <alignment horizontal="left"/>
    </xf>
    <xf numFmtId="9" fontId="15" fillId="27" borderId="36" xfId="3" applyFont="1" applyFill="1" applyBorder="1" applyAlignment="1">
      <alignment horizontal="left"/>
    </xf>
    <xf numFmtId="0" fontId="0" fillId="0" borderId="30" xfId="1" applyFont="1" applyBorder="1" applyAlignment="1">
      <alignment horizontal="center"/>
    </xf>
    <xf numFmtId="0" fontId="2" fillId="0" borderId="30" xfId="1" applyFont="1" applyBorder="1" applyAlignment="1">
      <alignment horizontal="center"/>
    </xf>
    <xf numFmtId="0" fontId="25" fillId="0" borderId="0" xfId="1" applyFont="1" applyAlignment="1">
      <alignment horizontal="left"/>
    </xf>
    <xf numFmtId="0" fontId="4" fillId="28" borderId="0" xfId="0" applyFont="1" applyFill="1"/>
    <xf numFmtId="0" fontId="8" fillId="22" borderId="0" xfId="1" applyFont="1" applyFill="1" applyAlignment="1">
      <alignment horizontal="center" vertical="center"/>
    </xf>
    <xf numFmtId="0" fontId="26" fillId="0" borderId="0" xfId="7" applyAlignment="1" applyProtection="1">
      <alignment horizontal="left" indent="1"/>
    </xf>
    <xf numFmtId="0" fontId="30" fillId="0" borderId="0" xfId="7" applyFont="1" applyAlignment="1" applyProtection="1">
      <alignment horizontal="left" indent="4"/>
    </xf>
    <xf numFmtId="0" fontId="0" fillId="0" borderId="0" xfId="0" applyAlignment="1">
      <alignment horizontal="left" indent="1"/>
    </xf>
    <xf numFmtId="0" fontId="34" fillId="4" borderId="0" xfId="1" applyFont="1" applyFill="1" applyAlignment="1">
      <alignment horizontal="center" vertical="center" wrapText="1"/>
    </xf>
    <xf numFmtId="0" fontId="37" fillId="0" borderId="0" xfId="1" applyFont="1" applyAlignment="1">
      <alignment horizontal="left" indent="1"/>
    </xf>
    <xf numFmtId="0" fontId="38" fillId="0" borderId="0" xfId="1" applyFont="1" applyAlignment="1">
      <alignment horizontal="left" indent="1"/>
    </xf>
    <xf numFmtId="0" fontId="39" fillId="0" borderId="0" xfId="0" applyFont="1"/>
    <xf numFmtId="0" fontId="25" fillId="0" borderId="0" xfId="0" applyFont="1" applyAlignment="1">
      <alignment horizontal="right"/>
    </xf>
    <xf numFmtId="0" fontId="2" fillId="20" borderId="0" xfId="0" applyFont="1" applyFill="1" applyAlignment="1">
      <alignment horizontal="center"/>
    </xf>
    <xf numFmtId="0" fontId="40" fillId="0" borderId="0" xfId="0" applyFont="1" applyAlignment="1">
      <alignment horizontal="left" vertical="center"/>
    </xf>
    <xf numFmtId="0" fontId="40" fillId="0" borderId="0" xfId="0" applyFont="1"/>
    <xf numFmtId="9" fontId="4" fillId="31" borderId="11" xfId="0" applyNumberFormat="1" applyFont="1" applyFill="1" applyBorder="1" applyAlignment="1">
      <alignment horizontal="center" vertical="center" wrapText="1"/>
    </xf>
    <xf numFmtId="0" fontId="4" fillId="31" borderId="0" xfId="0" applyFont="1" applyFill="1" applyAlignment="1">
      <alignment horizontal="center" vertical="center" wrapText="1"/>
    </xf>
    <xf numFmtId="0" fontId="40" fillId="0" borderId="0" xfId="1" applyFont="1"/>
    <xf numFmtId="0" fontId="40" fillId="0" borderId="0" xfId="0" applyFont="1" applyAlignment="1">
      <alignment horizontal="right"/>
    </xf>
    <xf numFmtId="0" fontId="4" fillId="4" borderId="0" xfId="1" applyFont="1" applyFill="1" applyAlignment="1">
      <alignment horizontal="center"/>
    </xf>
    <xf numFmtId="0" fontId="4" fillId="26" borderId="37" xfId="0" applyFont="1" applyFill="1" applyBorder="1"/>
    <xf numFmtId="0" fontId="2" fillId="0" borderId="0" xfId="8"/>
    <xf numFmtId="10" fontId="2" fillId="0" borderId="38" xfId="8" applyNumberFormat="1" applyBorder="1"/>
    <xf numFmtId="10" fontId="2" fillId="0" borderId="0" xfId="8" applyNumberFormat="1"/>
    <xf numFmtId="182" fontId="2" fillId="0" borderId="39" xfId="8" applyNumberFormat="1" applyBorder="1"/>
    <xf numFmtId="0" fontId="2" fillId="0" borderId="40" xfId="8" applyBorder="1"/>
    <xf numFmtId="183" fontId="2" fillId="32" borderId="41" xfId="8" applyNumberFormat="1" applyFill="1" applyBorder="1"/>
    <xf numFmtId="8" fontId="2" fillId="0" borderId="0" xfId="8" applyNumberFormat="1"/>
    <xf numFmtId="0" fontId="42" fillId="0" borderId="0" xfId="8" quotePrefix="1" applyFont="1"/>
    <xf numFmtId="0" fontId="25" fillId="0" borderId="0" xfId="8" applyFont="1"/>
    <xf numFmtId="0" fontId="2" fillId="0" borderId="42" xfId="8" applyBorder="1"/>
    <xf numFmtId="183" fontId="2" fillId="32" borderId="30" xfId="8" applyNumberFormat="1" applyFill="1" applyBorder="1"/>
    <xf numFmtId="0" fontId="25" fillId="0" borderId="0" xfId="8" quotePrefix="1" applyFont="1"/>
    <xf numFmtId="0" fontId="0" fillId="0" borderId="0" xfId="8" applyFont="1"/>
    <xf numFmtId="8" fontId="2" fillId="20" borderId="0" xfId="8" applyNumberFormat="1" applyFill="1"/>
    <xf numFmtId="182" fontId="2" fillId="0" borderId="43" xfId="8" applyNumberFormat="1" applyBorder="1"/>
    <xf numFmtId="182" fontId="2" fillId="0" borderId="0" xfId="8" applyNumberFormat="1"/>
    <xf numFmtId="10" fontId="2" fillId="0" borderId="44" xfId="8" applyNumberFormat="1" applyBorder="1"/>
    <xf numFmtId="0" fontId="2" fillId="0" borderId="45" xfId="8" applyBorder="1"/>
    <xf numFmtId="6" fontId="2" fillId="33" borderId="41" xfId="8" applyNumberFormat="1" applyFill="1" applyBorder="1"/>
    <xf numFmtId="6" fontId="2" fillId="0" borderId="0" xfId="8" applyNumberFormat="1"/>
    <xf numFmtId="182" fontId="2" fillId="0" borderId="46" xfId="8" applyNumberFormat="1" applyBorder="1"/>
    <xf numFmtId="185" fontId="2" fillId="0" borderId="44" xfId="8" applyNumberFormat="1" applyBorder="1"/>
    <xf numFmtId="0" fontId="2" fillId="0" borderId="47" xfId="8" applyBorder="1"/>
    <xf numFmtId="0" fontId="53" fillId="0" borderId="0" xfId="5" applyFont="1">
      <alignment vertical="center"/>
    </xf>
    <xf numFmtId="38" fontId="22" fillId="0" borderId="0" xfId="5" applyNumberFormat="1" applyFont="1">
      <alignment vertical="center"/>
    </xf>
    <xf numFmtId="0" fontId="22" fillId="0" borderId="0" xfId="5" applyFont="1" applyAlignment="1">
      <alignment horizontal="center" vertical="center"/>
    </xf>
    <xf numFmtId="0" fontId="4" fillId="4" borderId="5" xfId="1" applyFont="1" applyFill="1" applyBorder="1" applyAlignment="1">
      <alignment horizontal="center"/>
    </xf>
    <xf numFmtId="10" fontId="2" fillId="21" borderId="35" xfId="3" applyNumberFormat="1" applyFill="1" applyBorder="1"/>
    <xf numFmtId="0" fontId="2" fillId="19" borderId="0" xfId="0" applyFont="1" applyFill="1"/>
    <xf numFmtId="0" fontId="0" fillId="0" borderId="48" xfId="0" applyBorder="1"/>
    <xf numFmtId="0" fontId="0" fillId="0" borderId="49" xfId="0" applyBorder="1"/>
    <xf numFmtId="0" fontId="39" fillId="0" borderId="25" xfId="0" applyFont="1" applyBorder="1"/>
    <xf numFmtId="0" fontId="0" fillId="0" borderId="25" xfId="0" applyBorder="1"/>
    <xf numFmtId="0" fontId="0" fillId="19" borderId="48" xfId="0" applyFill="1" applyBorder="1"/>
    <xf numFmtId="0" fontId="0" fillId="19" borderId="49" xfId="0" applyFill="1" applyBorder="1"/>
    <xf numFmtId="0" fontId="0" fillId="0" borderId="0" xfId="1" applyFont="1"/>
    <xf numFmtId="0" fontId="40" fillId="0" borderId="0" xfId="4" applyFont="1">
      <alignment vertical="center"/>
    </xf>
    <xf numFmtId="0" fontId="40" fillId="0" borderId="0" xfId="4" applyFont="1" applyAlignment="1">
      <alignment horizontal="right" vertical="center"/>
    </xf>
    <xf numFmtId="0" fontId="16" fillId="0" borderId="30" xfId="4" applyFont="1" applyBorder="1">
      <alignment vertical="center"/>
    </xf>
    <xf numFmtId="0" fontId="0" fillId="0" borderId="30" xfId="4" applyFont="1" applyBorder="1">
      <alignment vertical="center"/>
    </xf>
    <xf numFmtId="0" fontId="13" fillId="0" borderId="30" xfId="4" applyFont="1" applyBorder="1">
      <alignment vertical="center"/>
    </xf>
    <xf numFmtId="0" fontId="0" fillId="0" borderId="30" xfId="4" applyFont="1" applyBorder="1" applyAlignment="1">
      <alignment horizontal="center" vertical="center"/>
    </xf>
    <xf numFmtId="0" fontId="13" fillId="0" borderId="30" xfId="4" applyFont="1" applyBorder="1" applyAlignment="1">
      <alignment horizontal="center" vertical="center"/>
    </xf>
    <xf numFmtId="0" fontId="55" fillId="0" borderId="30" xfId="4" applyFont="1" applyBorder="1">
      <alignment vertical="center"/>
    </xf>
    <xf numFmtId="0" fontId="57" fillId="0" borderId="0" xfId="0" applyFont="1" applyAlignment="1">
      <alignment vertical="center"/>
    </xf>
    <xf numFmtId="0" fontId="56" fillId="0" borderId="0" xfId="0" applyFont="1" applyAlignment="1">
      <alignment vertical="center"/>
    </xf>
    <xf numFmtId="0" fontId="58" fillId="0" borderId="0" xfId="0" applyFont="1"/>
    <xf numFmtId="0" fontId="58" fillId="0" borderId="0" xfId="0" applyFont="1" applyAlignment="1">
      <alignment vertical="center"/>
    </xf>
    <xf numFmtId="0" fontId="59" fillId="0" borderId="0" xfId="0" applyFont="1" applyAlignment="1">
      <alignment horizontal="left" indent="1"/>
    </xf>
    <xf numFmtId="0" fontId="63" fillId="0" borderId="0" xfId="0" applyFont="1"/>
    <xf numFmtId="0" fontId="0" fillId="0" borderId="0" xfId="0" applyAlignment="1">
      <alignment horizontal="right"/>
    </xf>
    <xf numFmtId="0" fontId="25" fillId="0" borderId="0" xfId="0" applyFont="1"/>
    <xf numFmtId="0" fontId="2" fillId="0" borderId="0" xfId="0" applyFont="1" applyAlignment="1">
      <alignment horizontal="right"/>
    </xf>
    <xf numFmtId="2" fontId="0" fillId="0" borderId="30" xfId="4" applyNumberFormat="1" applyFont="1" applyBorder="1">
      <alignment vertical="center"/>
    </xf>
    <xf numFmtId="0" fontId="23" fillId="0" borderId="0" xfId="0" applyFont="1" applyAlignment="1">
      <alignment vertical="center"/>
    </xf>
    <xf numFmtId="0" fontId="53" fillId="0" borderId="0" xfId="5" applyFont="1" applyAlignment="1">
      <alignment horizontal="right" vertical="center"/>
    </xf>
    <xf numFmtId="0" fontId="53" fillId="0" borderId="0" xfId="5" quotePrefix="1" applyFont="1" applyAlignment="1">
      <alignment horizontal="right" vertical="center"/>
    </xf>
    <xf numFmtId="0" fontId="22" fillId="0" borderId="0" xfId="5" applyFont="1" applyAlignment="1">
      <alignment horizontal="right" vertical="center" indent="1"/>
    </xf>
    <xf numFmtId="38" fontId="22" fillId="0" borderId="0" xfId="6" applyFont="1" applyAlignment="1">
      <alignment horizontal="right" vertical="center" indent="1"/>
    </xf>
    <xf numFmtId="0" fontId="24" fillId="34" borderId="0" xfId="5" applyFont="1" applyFill="1">
      <alignment vertical="center"/>
    </xf>
    <xf numFmtId="0" fontId="4" fillId="31" borderId="30" xfId="0" applyFont="1" applyFill="1" applyBorder="1" applyAlignment="1">
      <alignment horizontal="center" vertical="center" wrapText="1"/>
    </xf>
    <xf numFmtId="9" fontId="4" fillId="31" borderId="30" xfId="0" applyNumberFormat="1" applyFont="1" applyFill="1" applyBorder="1" applyAlignment="1">
      <alignment horizontal="center" vertical="center" wrapText="1"/>
    </xf>
    <xf numFmtId="0" fontId="0" fillId="11" borderId="20" xfId="0" applyFill="1" applyBorder="1"/>
    <xf numFmtId="0" fontId="71" fillId="0" borderId="0" xfId="11" applyAlignment="1">
      <alignment horizontal="left"/>
    </xf>
    <xf numFmtId="0" fontId="41" fillId="0" borderId="0" xfId="0" applyFont="1" applyAlignment="1">
      <alignment horizontal="left"/>
    </xf>
    <xf numFmtId="0" fontId="22" fillId="0" borderId="0" xfId="5" applyFont="1" applyAlignment="1"/>
    <xf numFmtId="0" fontId="23" fillId="0" borderId="0" xfId="5" applyFont="1" applyAlignment="1"/>
    <xf numFmtId="0" fontId="72" fillId="0" borderId="0" xfId="5" applyFont="1" applyAlignment="1"/>
    <xf numFmtId="0" fontId="64" fillId="0" borderId="0" xfId="5" applyFont="1" applyAlignment="1"/>
    <xf numFmtId="0" fontId="64" fillId="0" borderId="0" xfId="5" applyFont="1" applyAlignment="1">
      <alignment horizontal="left" vertical="center"/>
    </xf>
    <xf numFmtId="0" fontId="60" fillId="0" borderId="0" xfId="0" applyFont="1" applyAlignment="1">
      <alignment vertical="center"/>
    </xf>
    <xf numFmtId="0" fontId="59" fillId="0" borderId="0" xfId="0" applyFont="1"/>
    <xf numFmtId="0" fontId="74" fillId="0" borderId="0" xfId="0" applyFont="1"/>
    <xf numFmtId="0" fontId="2" fillId="0" borderId="0" xfId="4">
      <alignment vertical="center"/>
    </xf>
    <xf numFmtId="9" fontId="2" fillId="0" borderId="49" xfId="3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9" fillId="20" borderId="48" xfId="0" applyFont="1" applyFill="1" applyBorder="1" applyAlignment="1">
      <alignment horizontal="center"/>
    </xf>
    <xf numFmtId="0" fontId="0" fillId="20" borderId="48" xfId="0" applyFill="1" applyBorder="1" applyAlignment="1">
      <alignment horizontal="center"/>
    </xf>
    <xf numFmtId="0" fontId="67" fillId="0" borderId="0" xfId="0" applyFont="1" applyAlignment="1">
      <alignment horizontal="right"/>
    </xf>
    <xf numFmtId="0" fontId="6" fillId="0" borderId="0" xfId="0" quotePrefix="1" applyFont="1" applyAlignment="1">
      <alignment horizontal="left" indent="1"/>
    </xf>
    <xf numFmtId="0" fontId="6" fillId="35" borderId="0" xfId="0" applyFont="1" applyFill="1"/>
    <xf numFmtId="0" fontId="25" fillId="0" borderId="0" xfId="4" applyFont="1">
      <alignment vertical="center"/>
    </xf>
    <xf numFmtId="0" fontId="0" fillId="0" borderId="25" xfId="4" applyFont="1" applyBorder="1" applyAlignment="1">
      <alignment horizontal="right" vertical="center"/>
    </xf>
    <xf numFmtId="0" fontId="0" fillId="10" borderId="20" xfId="0" applyFill="1" applyBorder="1"/>
    <xf numFmtId="0" fontId="37" fillId="0" borderId="0" xfId="1" applyFont="1" applyAlignment="1">
      <alignment horizontal="left" wrapText="1" indent="1"/>
    </xf>
    <xf numFmtId="0" fontId="8" fillId="22" borderId="50" xfId="1" applyFont="1" applyFill="1" applyBorder="1"/>
    <xf numFmtId="0" fontId="8" fillId="23" borderId="50" xfId="8" applyFont="1" applyFill="1" applyBorder="1" applyAlignment="1">
      <alignment horizontal="center"/>
    </xf>
    <xf numFmtId="0" fontId="8" fillId="22" borderId="50" xfId="8" applyFont="1" applyFill="1" applyBorder="1" applyAlignment="1">
      <alignment horizontal="center"/>
    </xf>
    <xf numFmtId="1" fontId="9" fillId="22" borderId="50" xfId="8" applyNumberFormat="1" applyFont="1" applyFill="1" applyBorder="1" applyAlignment="1">
      <alignment horizontal="center"/>
    </xf>
    <xf numFmtId="43" fontId="8" fillId="0" borderId="50" xfId="1" applyNumberFormat="1" applyFont="1" applyBorder="1"/>
    <xf numFmtId="43" fontId="8" fillId="23" borderId="50" xfId="1" applyNumberFormat="1" applyFont="1" applyFill="1" applyBorder="1"/>
    <xf numFmtId="9" fontId="8" fillId="0" borderId="50" xfId="12" applyFont="1" applyBorder="1" applyAlignment="1"/>
    <xf numFmtId="177" fontId="8" fillId="23" borderId="50" xfId="1" applyNumberFormat="1" applyFont="1" applyFill="1" applyBorder="1"/>
    <xf numFmtId="177" fontId="8" fillId="0" borderId="50" xfId="1" applyNumberFormat="1" applyFont="1" applyBorder="1"/>
    <xf numFmtId="0" fontId="9" fillId="22" borderId="0" xfId="8" applyFont="1" applyFill="1" applyAlignment="1">
      <alignment horizontal="center"/>
    </xf>
    <xf numFmtId="0" fontId="8" fillId="22" borderId="51" xfId="1" applyFont="1" applyFill="1" applyBorder="1"/>
    <xf numFmtId="0" fontId="8" fillId="23" borderId="51" xfId="8" applyFont="1" applyFill="1" applyBorder="1" applyAlignment="1">
      <alignment horizontal="center"/>
    </xf>
    <xf numFmtId="0" fontId="8" fillId="22" borderId="51" xfId="8" applyFont="1" applyFill="1" applyBorder="1" applyAlignment="1">
      <alignment horizontal="center"/>
    </xf>
    <xf numFmtId="1" fontId="9" fillId="22" borderId="51" xfId="8" applyNumberFormat="1" applyFont="1" applyFill="1" applyBorder="1" applyAlignment="1">
      <alignment horizontal="center"/>
    </xf>
    <xf numFmtId="43" fontId="8" fillId="0" borderId="51" xfId="1" applyNumberFormat="1" applyFont="1" applyBorder="1"/>
    <xf numFmtId="43" fontId="8" fillId="23" borderId="51" xfId="1" applyNumberFormat="1" applyFont="1" applyFill="1" applyBorder="1"/>
    <xf numFmtId="9" fontId="8" fillId="0" borderId="51" xfId="12" applyFont="1" applyBorder="1" applyAlignment="1"/>
    <xf numFmtId="177" fontId="8" fillId="23" borderId="51" xfId="1" applyNumberFormat="1" applyFont="1" applyFill="1" applyBorder="1"/>
    <xf numFmtId="177" fontId="8" fillId="0" borderId="51" xfId="1" applyNumberFormat="1" applyFont="1" applyBorder="1"/>
    <xf numFmtId="0" fontId="40" fillId="0" borderId="0" xfId="1" applyFont="1" applyAlignment="1">
      <alignment horizontal="right"/>
    </xf>
    <xf numFmtId="0" fontId="15" fillId="30" borderId="0" xfId="8" applyFont="1" applyFill="1"/>
    <xf numFmtId="0" fontId="27" fillId="0" borderId="0" xfId="8" applyFont="1" applyAlignment="1">
      <alignment horizontal="left" indent="2"/>
    </xf>
    <xf numFmtId="0" fontId="29" fillId="0" borderId="0" xfId="8" applyFont="1"/>
    <xf numFmtId="0" fontId="27" fillId="0" borderId="0" xfId="8" applyFont="1" applyAlignment="1">
      <alignment horizontal="left" indent="4"/>
    </xf>
    <xf numFmtId="0" fontId="31" fillId="0" borderId="0" xfId="8" applyFont="1" applyAlignment="1">
      <alignment horizontal="left" indent="5"/>
    </xf>
    <xf numFmtId="0" fontId="8" fillId="22" borderId="52" xfId="1" applyFont="1" applyFill="1" applyBorder="1"/>
    <xf numFmtId="0" fontId="8" fillId="23" borderId="52" xfId="8" applyFont="1" applyFill="1" applyBorder="1" applyAlignment="1">
      <alignment horizontal="center"/>
    </xf>
    <xf numFmtId="0" fontId="8" fillId="22" borderId="52" xfId="8" applyFont="1" applyFill="1" applyBorder="1" applyAlignment="1">
      <alignment horizontal="center"/>
    </xf>
    <xf numFmtId="1" fontId="9" fillId="22" borderId="52" xfId="8" applyNumberFormat="1" applyFont="1" applyFill="1" applyBorder="1" applyAlignment="1">
      <alignment horizontal="center"/>
    </xf>
    <xf numFmtId="43" fontId="8" fillId="0" borderId="52" xfId="1" applyNumberFormat="1" applyFont="1" applyBorder="1"/>
    <xf numFmtId="43" fontId="8" fillId="23" borderId="52" xfId="1" applyNumberFormat="1" applyFont="1" applyFill="1" applyBorder="1"/>
    <xf numFmtId="9" fontId="8" fillId="0" borderId="52" xfId="12" applyFont="1" applyBorder="1" applyAlignment="1"/>
    <xf numFmtId="177" fontId="8" fillId="23" borderId="52" xfId="1" applyNumberFormat="1" applyFont="1" applyFill="1" applyBorder="1"/>
    <xf numFmtId="177" fontId="8" fillId="0" borderId="52" xfId="1" applyNumberFormat="1" applyFont="1" applyBorder="1"/>
    <xf numFmtId="0" fontId="29" fillId="0" borderId="0" xfId="8" applyFont="1" applyAlignment="1">
      <alignment horizontal="left" indent="5"/>
    </xf>
    <xf numFmtId="0" fontId="2" fillId="0" borderId="0" xfId="8" applyAlignment="1">
      <alignment horizontal="left" indent="4"/>
    </xf>
    <xf numFmtId="0" fontId="2" fillId="0" borderId="0" xfId="8" applyAlignment="1">
      <alignment horizontal="left" indent="5"/>
    </xf>
    <xf numFmtId="0" fontId="28" fillId="0" borderId="0" xfId="8" applyFont="1" applyAlignment="1">
      <alignment horizontal="left" indent="5"/>
    </xf>
    <xf numFmtId="0" fontId="10" fillId="5" borderId="0" xfId="8" applyFont="1" applyFill="1" applyAlignment="1">
      <alignment horizontal="left"/>
    </xf>
    <xf numFmtId="0" fontId="11" fillId="5" borderId="0" xfId="8" applyFont="1" applyFill="1" applyAlignment="1">
      <alignment horizontal="center"/>
    </xf>
    <xf numFmtId="0" fontId="2" fillId="0" borderId="0" xfId="8" applyAlignment="1">
      <alignment horizontal="left" indent="6"/>
    </xf>
    <xf numFmtId="0" fontId="12" fillId="23" borderId="0" xfId="8" applyFont="1" applyFill="1" applyAlignment="1">
      <alignment horizontal="left"/>
    </xf>
    <xf numFmtId="0" fontId="10" fillId="24" borderId="0" xfId="8" applyFont="1" applyFill="1" applyAlignment="1">
      <alignment horizontal="center"/>
    </xf>
    <xf numFmtId="0" fontId="10" fillId="24" borderId="0" xfId="8" applyFont="1" applyFill="1"/>
    <xf numFmtId="9" fontId="2" fillId="25" borderId="0" xfId="12" applyFont="1" applyFill="1" applyAlignment="1"/>
    <xf numFmtId="0" fontId="40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49" fontId="76" fillId="36" borderId="0" xfId="13" applyNumberFormat="1" applyFont="1" applyFill="1">
      <alignment vertical="center"/>
    </xf>
    <xf numFmtId="0" fontId="2" fillId="0" borderId="0" xfId="1" applyFont="1" applyAlignment="1">
      <alignment vertical="center"/>
    </xf>
    <xf numFmtId="0" fontId="2" fillId="18" borderId="0" xfId="1" applyFont="1" applyFill="1" applyAlignment="1">
      <alignment horizontal="center"/>
    </xf>
    <xf numFmtId="0" fontId="77" fillId="0" borderId="0" xfId="13" applyFont="1">
      <alignment vertical="center"/>
    </xf>
    <xf numFmtId="0" fontId="2" fillId="37" borderId="0" xfId="1" applyFont="1" applyFill="1"/>
    <xf numFmtId="0" fontId="78" fillId="0" borderId="0" xfId="13" applyFont="1">
      <alignment vertical="center"/>
    </xf>
    <xf numFmtId="49" fontId="78" fillId="38" borderId="0" xfId="13" applyNumberFormat="1" applyFont="1" applyFill="1" applyAlignment="1">
      <alignment horizontal="left" vertical="top"/>
    </xf>
    <xf numFmtId="49" fontId="77" fillId="39" borderId="0" xfId="13" applyNumberFormat="1" applyFont="1" applyFill="1" applyAlignment="1">
      <alignment horizontal="left" vertical="top"/>
    </xf>
    <xf numFmtId="0" fontId="79" fillId="0" borderId="0" xfId="1" applyFont="1" applyAlignment="1">
      <alignment horizontal="left" vertical="center" indent="1"/>
    </xf>
    <xf numFmtId="0" fontId="8" fillId="22" borderId="0" xfId="8" applyFont="1" applyFill="1" applyAlignment="1">
      <alignment horizontal="center" vertical="center"/>
    </xf>
    <xf numFmtId="181" fontId="9" fillId="22" borderId="0" xfId="8" applyNumberFormat="1" applyFont="1" applyFill="1" applyAlignment="1">
      <alignment horizontal="center"/>
    </xf>
    <xf numFmtId="0" fontId="2" fillId="29" borderId="0" xfId="8" applyFill="1"/>
    <xf numFmtId="0" fontId="2" fillId="25" borderId="0" xfId="8" applyFill="1" applyAlignment="1">
      <alignment horizontal="center"/>
    </xf>
    <xf numFmtId="0" fontId="15" fillId="30" borderId="30" xfId="8" applyFont="1" applyFill="1" applyBorder="1" applyAlignment="1">
      <alignment horizontal="center"/>
    </xf>
    <xf numFmtId="0" fontId="2" fillId="25" borderId="30" xfId="8" applyFill="1" applyBorder="1" applyAlignment="1">
      <alignment horizontal="center"/>
    </xf>
    <xf numFmtId="0" fontId="2" fillId="0" borderId="0" xfId="8" applyAlignment="1">
      <alignment horizontal="center"/>
    </xf>
    <xf numFmtId="0" fontId="37" fillId="0" borderId="0" xfId="1" applyFont="1"/>
    <xf numFmtId="0" fontId="25" fillId="0" borderId="0" xfId="8" applyFont="1" applyAlignment="1">
      <alignment horizontal="center"/>
    </xf>
    <xf numFmtId="0" fontId="40" fillId="0" borderId="0" xfId="8" applyFont="1" applyAlignment="1">
      <alignment horizontal="center"/>
    </xf>
    <xf numFmtId="0" fontId="40" fillId="0" borderId="0" xfId="8" applyFont="1"/>
    <xf numFmtId="0" fontId="8" fillId="23" borderId="0" xfId="1" applyFont="1" applyFill="1" applyAlignment="1">
      <alignment horizontal="center" vertical="center"/>
    </xf>
    <xf numFmtId="0" fontId="79" fillId="0" borderId="0" xfId="1" applyFont="1"/>
    <xf numFmtId="0" fontId="35" fillId="0" borderId="0" xfId="8" applyFont="1"/>
    <xf numFmtId="0" fontId="40" fillId="40" borderId="0" xfId="1" applyFont="1" applyFill="1" applyAlignment="1">
      <alignment horizontal="center" vertical="center" wrapText="1"/>
    </xf>
    <xf numFmtId="0" fontId="8" fillId="40" borderId="0" xfId="1" applyFont="1" applyFill="1" applyAlignment="1">
      <alignment horizontal="center" vertical="center"/>
    </xf>
    <xf numFmtId="0" fontId="2" fillId="0" borderId="36" xfId="8" applyBorder="1"/>
    <xf numFmtId="0" fontId="40" fillId="0" borderId="0" xfId="8" applyFont="1" applyAlignment="1">
      <alignment horizontal="right"/>
    </xf>
    <xf numFmtId="0" fontId="2" fillId="41" borderId="30" xfId="8" applyFill="1" applyBorder="1" applyAlignment="1">
      <alignment horizontal="center"/>
    </xf>
    <xf numFmtId="0" fontId="2" fillId="0" borderId="30" xfId="8" applyBorder="1"/>
    <xf numFmtId="0" fontId="2" fillId="0" borderId="0" xfId="8" applyAlignment="1">
      <alignment horizontal="left" indent="1"/>
    </xf>
    <xf numFmtId="0" fontId="66" fillId="0" borderId="0" xfId="8" applyFont="1"/>
    <xf numFmtId="0" fontId="79" fillId="0" borderId="53" xfId="1" applyFont="1" applyBorder="1"/>
    <xf numFmtId="0" fontId="2" fillId="0" borderId="53" xfId="8" applyBorder="1"/>
    <xf numFmtId="0" fontId="2" fillId="0" borderId="30" xfId="8" applyBorder="1" applyAlignment="1">
      <alignment horizontal="center"/>
    </xf>
    <xf numFmtId="0" fontId="55" fillId="0" borderId="30" xfId="8" applyFont="1" applyBorder="1" applyAlignment="1">
      <alignment horizontal="left" vertical="center"/>
    </xf>
    <xf numFmtId="186" fontId="0" fillId="9" borderId="15" xfId="0" applyNumberFormat="1" applyFill="1" applyBorder="1" applyAlignment="1">
      <alignment vertical="center"/>
    </xf>
    <xf numFmtId="187" fontId="0" fillId="9" borderId="15" xfId="0" applyNumberFormat="1" applyFill="1" applyBorder="1" applyAlignment="1">
      <alignment vertical="center"/>
    </xf>
    <xf numFmtId="186" fontId="0" fillId="8" borderId="13" xfId="0" applyNumberFormat="1" applyFill="1" applyBorder="1" applyAlignment="1">
      <alignment vertical="center"/>
    </xf>
    <xf numFmtId="0" fontId="0" fillId="0" borderId="0" xfId="0" applyFont="1" applyAlignment="1">
      <alignment horizontal="left" indent="1"/>
    </xf>
    <xf numFmtId="0" fontId="80" fillId="4" borderId="0" xfId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77" fontId="23" fillId="0" borderId="0" xfId="2" applyNumberFormat="1" applyFont="1" applyAlignment="1">
      <alignment vertical="center"/>
    </xf>
    <xf numFmtId="0" fontId="2" fillId="25" borderId="0" xfId="0" applyFont="1" applyFill="1"/>
    <xf numFmtId="0" fontId="2" fillId="42" borderId="0" xfId="0" applyFont="1" applyFill="1" applyAlignment="1">
      <alignment horizontal="center"/>
    </xf>
    <xf numFmtId="0" fontId="81" fillId="31" borderId="0" xfId="0" applyFont="1" applyFill="1" applyAlignment="1">
      <alignment horizontal="center" vertical="center" wrapText="1"/>
    </xf>
    <xf numFmtId="0" fontId="82" fillId="0" borderId="0" xfId="0" applyFont="1"/>
    <xf numFmtId="0" fontId="23" fillId="43" borderId="0" xfId="0" applyFont="1" applyFill="1" applyAlignment="1">
      <alignment horizontal="center" vertical="center"/>
    </xf>
    <xf numFmtId="0" fontId="23" fillId="43" borderId="0" xfId="0" applyFont="1" applyFill="1" applyAlignment="1">
      <alignment horizontal="left" vertical="center"/>
    </xf>
    <xf numFmtId="0" fontId="0" fillId="43" borderId="0" xfId="0" applyFill="1"/>
    <xf numFmtId="0" fontId="25" fillId="0" borderId="0" xfId="0" applyFont="1" applyAlignment="1">
      <alignment horizontal="center"/>
    </xf>
    <xf numFmtId="0" fontId="83" fillId="0" borderId="0" xfId="5" applyFont="1">
      <alignment vertical="center"/>
    </xf>
    <xf numFmtId="0" fontId="22" fillId="44" borderId="0" xfId="5" applyFont="1" applyFill="1">
      <alignment vertical="center"/>
    </xf>
    <xf numFmtId="0" fontId="84" fillId="0" borderId="0" xfId="5" applyFont="1">
      <alignment vertical="center"/>
    </xf>
    <xf numFmtId="0" fontId="85" fillId="0" borderId="0" xfId="0" applyFont="1"/>
    <xf numFmtId="0" fontId="15" fillId="28" borderId="0" xfId="0" applyFont="1" applyFill="1" applyAlignment="1">
      <alignment horizontal="center"/>
    </xf>
    <xf numFmtId="0" fontId="4" fillId="13" borderId="0" xfId="0" applyFont="1" applyFill="1" applyAlignment="1">
      <alignment horizontal="center" vertical="center" wrapText="1"/>
    </xf>
    <xf numFmtId="0" fontId="5" fillId="13" borderId="0" xfId="0" applyFont="1" applyFill="1" applyAlignment="1">
      <alignment horizontal="center" vertical="center" wrapText="1"/>
    </xf>
    <xf numFmtId="0" fontId="15" fillId="16" borderId="0" xfId="0" applyFont="1" applyFill="1" applyAlignment="1">
      <alignment horizontal="center"/>
    </xf>
    <xf numFmtId="9" fontId="4" fillId="31" borderId="11" xfId="0" applyNumberFormat="1" applyFont="1" applyFill="1" applyBorder="1" applyAlignment="1">
      <alignment horizontal="center" vertical="center" wrapText="1"/>
    </xf>
    <xf numFmtId="0" fontId="4" fillId="13" borderId="1" xfId="8" applyFont="1" applyFill="1" applyBorder="1" applyAlignment="1">
      <alignment horizontal="center"/>
    </xf>
    <xf numFmtId="0" fontId="4" fillId="13" borderId="2" xfId="8" applyFont="1" applyFill="1" applyBorder="1" applyAlignment="1">
      <alignment horizontal="center"/>
    </xf>
    <xf numFmtId="0" fontId="2" fillId="0" borderId="31" xfId="1" applyFont="1" applyBorder="1" applyAlignment="1">
      <alignment horizontal="center"/>
    </xf>
    <xf numFmtId="0" fontId="2" fillId="0" borderId="32" xfId="1" applyFont="1" applyBorder="1" applyAlignment="1">
      <alignment horizontal="center"/>
    </xf>
    <xf numFmtId="0" fontId="18" fillId="0" borderId="31" xfId="8" applyFont="1" applyBorder="1" applyAlignment="1">
      <alignment horizontal="center" vertical="center"/>
    </xf>
    <xf numFmtId="0" fontId="18" fillId="0" borderId="32" xfId="8" applyFont="1" applyBorder="1" applyAlignment="1">
      <alignment horizontal="center" vertical="center"/>
    </xf>
    <xf numFmtId="0" fontId="54" fillId="0" borderId="0" xfId="8" applyFont="1" applyAlignment="1">
      <alignment horizontal="center"/>
    </xf>
    <xf numFmtId="0" fontId="33" fillId="22" borderId="0" xfId="1" applyFont="1" applyFill="1" applyAlignment="1">
      <alignment horizontal="center" vertical="center" wrapText="1"/>
    </xf>
    <xf numFmtId="177" fontId="0" fillId="0" borderId="0" xfId="2" applyNumberFormat="1" applyFont="1"/>
  </cellXfs>
  <cellStyles count="14">
    <cellStyle name="一般" xfId="0" builtinId="0"/>
    <cellStyle name="一般 2" xfId="4" xr:uid="{00000000-0005-0000-0000-000001000000}"/>
    <cellStyle name="一般 2 2" xfId="8" xr:uid="{00000000-0005-0000-0000-000002000000}"/>
    <cellStyle name="一般 3" xfId="5" xr:uid="{00000000-0005-0000-0000-000003000000}"/>
    <cellStyle name="一般 4" xfId="13" xr:uid="{45DC3B5E-6E06-484A-A91E-2D2372FAA4C8}"/>
    <cellStyle name="一般_範例一" xfId="1" xr:uid="{00000000-0005-0000-0000-000004000000}"/>
    <cellStyle name="千分位" xfId="2" builtinId="3"/>
    <cellStyle name="千分位[0] 2" xfId="6" xr:uid="{00000000-0005-0000-0000-000006000000}"/>
    <cellStyle name="百分比" xfId="3" builtinId="5"/>
    <cellStyle name="百分比 2" xfId="12" xr:uid="{83034D35-9A0B-4F21-B479-90F4A89F55BC}"/>
    <cellStyle name="貨幣 [0] 2" xfId="9" xr:uid="{00000000-0005-0000-0000-000008000000}"/>
    <cellStyle name="貨幣[0]_全球業績報表" xfId="10" xr:uid="{00000000-0005-0000-0000-000009000000}"/>
    <cellStyle name="超連結" xfId="7" builtinId="8"/>
    <cellStyle name="學習重點" xfId="11" xr:uid="{00000000-0005-0000-0000-00000B000000}"/>
  </cellStyles>
  <dxfs count="12">
    <dxf>
      <font>
        <color theme="0"/>
      </font>
    </dxf>
    <dxf>
      <font>
        <color theme="0"/>
      </font>
    </dxf>
    <dxf>
      <font>
        <color auto="1"/>
      </font>
      <fill>
        <patternFill>
          <bgColor theme="9" tint="0.79998168889431442"/>
        </patternFill>
      </fill>
    </dxf>
    <dxf>
      <font>
        <color rgb="FFFF0000"/>
      </font>
    </dxf>
    <dxf>
      <font>
        <color auto="1"/>
      </font>
      <fill>
        <patternFill>
          <bgColor theme="9" tint="0.79998168889431442"/>
        </patternFill>
      </fill>
    </dxf>
    <dxf>
      <font>
        <color rgb="FFFF0000"/>
      </font>
    </dxf>
    <dxf>
      <font>
        <color auto="1"/>
      </font>
      <fill>
        <patternFill>
          <bgColor theme="9" tint="0.79998168889431442"/>
        </patternFill>
      </fill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12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12"/>
        <name val="Times New Roman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</dxf>
    <dxf>
      <numFmt numFmtId="17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新細明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emf"/><Relationship Id="rId1" Type="http://schemas.openxmlformats.org/officeDocument/2006/relationships/image" Target="../media/image10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43815</xdr:colOff>
      <xdr:row>27</xdr:row>
      <xdr:rowOff>131445</xdr:rowOff>
    </xdr:from>
    <xdr:to>
      <xdr:col>27</xdr:col>
      <xdr:colOff>145547</xdr:colOff>
      <xdr:row>50</xdr:row>
      <xdr:rowOff>48028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6115" y="6036945"/>
          <a:ext cx="9807707" cy="4736233"/>
        </a:xfrm>
        <a:prstGeom prst="rect">
          <a:avLst/>
        </a:prstGeom>
      </xdr:spPr>
    </xdr:pic>
    <xdr:clientData/>
  </xdr:twoCellAnchor>
  <xdr:twoCellAnchor editAs="oneCell">
    <xdr:from>
      <xdr:col>23</xdr:col>
      <xdr:colOff>407670</xdr:colOff>
      <xdr:row>28</xdr:row>
      <xdr:rowOff>5715</xdr:rowOff>
    </xdr:from>
    <xdr:to>
      <xdr:col>32</xdr:col>
      <xdr:colOff>461516</xdr:colOff>
      <xdr:row>50</xdr:row>
      <xdr:rowOff>116607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28395" y="6120765"/>
          <a:ext cx="6473696" cy="4720992"/>
        </a:xfrm>
        <a:prstGeom prst="rect">
          <a:avLst/>
        </a:prstGeom>
      </xdr:spPr>
    </xdr:pic>
    <xdr:clientData/>
  </xdr:twoCellAnchor>
  <xdr:twoCellAnchor editAs="oneCell">
    <xdr:from>
      <xdr:col>17</xdr:col>
      <xdr:colOff>22860</xdr:colOff>
      <xdr:row>6</xdr:row>
      <xdr:rowOff>207645</xdr:rowOff>
    </xdr:from>
    <xdr:to>
      <xdr:col>17</xdr:col>
      <xdr:colOff>434340</xdr:colOff>
      <xdr:row>9</xdr:row>
      <xdr:rowOff>5715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056"/>
        <a:stretch/>
      </xdr:blipFill>
      <xdr:spPr bwMode="auto">
        <a:xfrm>
          <a:off x="9252585" y="1712595"/>
          <a:ext cx="41148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167640</xdr:colOff>
      <xdr:row>12</xdr:row>
      <xdr:rowOff>7620</xdr:rowOff>
    </xdr:from>
    <xdr:to>
      <xdr:col>16</xdr:col>
      <xdr:colOff>419100</xdr:colOff>
      <xdr:row>18</xdr:row>
      <xdr:rowOff>53340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000" b="-3067"/>
        <a:stretch/>
      </xdr:blipFill>
      <xdr:spPr bwMode="auto">
        <a:xfrm>
          <a:off x="8442960" y="2682240"/>
          <a:ext cx="251460" cy="128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542925</xdr:colOff>
      <xdr:row>10</xdr:row>
      <xdr:rowOff>171450</xdr:rowOff>
    </xdr:from>
    <xdr:to>
      <xdr:col>12</xdr:col>
      <xdr:colOff>85725</xdr:colOff>
      <xdr:row>14</xdr:row>
      <xdr:rowOff>85725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352925" y="2514600"/>
          <a:ext cx="2400300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=IF(</a:t>
          </a:r>
          <a:r>
            <a:rPr lang="en-US" altLang="zh-TW" sz="1100">
              <a:solidFill>
                <a:srgbClr val="FF0000"/>
              </a:solidFill>
            </a:rPr>
            <a:t>J2</a:t>
          </a:r>
          <a:r>
            <a:rPr lang="en-US" altLang="zh-TW" sz="1100"/>
            <a:t>&gt;0.9,"</a:t>
          </a:r>
          <a:r>
            <a:rPr lang="zh-TW" altLang="en-US" sz="1100"/>
            <a:t>錄取</a:t>
          </a:r>
          <a:r>
            <a:rPr lang="en-US" altLang="zh-TW" sz="1100"/>
            <a:t>","")</a:t>
          </a:r>
        </a:p>
        <a:p>
          <a:r>
            <a:rPr lang="zh-TW" altLang="en-US" sz="1100"/>
            <a:t>將 </a:t>
          </a:r>
          <a:r>
            <a:rPr lang="en-US" altLang="zh-TW" sz="1100"/>
            <a:t>j2</a:t>
          </a:r>
          <a:r>
            <a:rPr lang="zh-TW" altLang="en-US" sz="1100"/>
            <a:t> 改成</a:t>
          </a:r>
          <a:endParaRPr lang="en-US" altLang="zh-TW" sz="1100"/>
        </a:p>
        <a:p>
          <a:r>
            <a:rPr lang="en-US" altLang="zh-TW" sz="1100">
              <a:solidFill>
                <a:srgbClr val="FF0000"/>
              </a:solidFill>
            </a:rPr>
            <a:t>PERCENTRANK.INC($G$2:$G$41,G2)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9525</xdr:colOff>
      <xdr:row>4</xdr:row>
      <xdr:rowOff>0</xdr:rowOff>
    </xdr:from>
    <xdr:to>
      <xdr:col>33</xdr:col>
      <xdr:colOff>161925</xdr:colOff>
      <xdr:row>28</xdr:row>
      <xdr:rowOff>208798</xdr:rowOff>
    </xdr:to>
    <xdr:grpSp>
      <xdr:nvGrpSpPr>
        <xdr:cNvPr id="10" name="群組 9">
          <a:extLst>
            <a:ext uri="{FF2B5EF4-FFF2-40B4-BE49-F238E27FC236}">
              <a16:creationId xmlns:a16="http://schemas.microsoft.com/office/drawing/2014/main" id="{B4B253EC-3854-4ABC-8E12-3EC20D99216E}"/>
            </a:ext>
          </a:extLst>
        </xdr:cNvPr>
        <xdr:cNvGrpSpPr/>
      </xdr:nvGrpSpPr>
      <xdr:grpSpPr>
        <a:xfrm>
          <a:off x="14998065" y="1280160"/>
          <a:ext cx="3855720" cy="5146558"/>
          <a:chOff x="14668500" y="171450"/>
          <a:chExt cx="4686300" cy="6019048"/>
        </a:xfrm>
      </xdr:grpSpPr>
      <xdr:pic>
        <xdr:nvPicPr>
          <xdr:cNvPr id="9" name="圖片 8">
            <a:extLst>
              <a:ext uri="{FF2B5EF4-FFF2-40B4-BE49-F238E27FC236}">
                <a16:creationId xmlns:a16="http://schemas.microsoft.com/office/drawing/2014/main" id="{5FCA6C5C-B157-4992-87FC-BBDC59363D3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4668500" y="171450"/>
            <a:ext cx="3914286" cy="6019048"/>
          </a:xfrm>
          <a:prstGeom prst="rect">
            <a:avLst/>
          </a:prstGeom>
        </xdr:spPr>
      </xdr:pic>
      <xdr:pic>
        <xdr:nvPicPr>
          <xdr:cNvPr id="3" name="圖片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7573626" y="2746837"/>
            <a:ext cx="1781174" cy="229933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19</xdr:row>
      <xdr:rowOff>0</xdr:rowOff>
    </xdr:from>
    <xdr:to>
      <xdr:col>12</xdr:col>
      <xdr:colOff>689610</xdr:colOff>
      <xdr:row>24</xdr:row>
      <xdr:rowOff>9525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77225" y="3771900"/>
          <a:ext cx="1476375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9525</xdr:colOff>
      <xdr:row>32</xdr:row>
      <xdr:rowOff>19050</xdr:rowOff>
    </xdr:from>
    <xdr:to>
      <xdr:col>12</xdr:col>
      <xdr:colOff>575310</xdr:colOff>
      <xdr:row>37</xdr:row>
      <xdr:rowOff>28575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6553200"/>
          <a:ext cx="379095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47625</xdr:colOff>
      <xdr:row>21</xdr:row>
      <xdr:rowOff>66675</xdr:rowOff>
    </xdr:from>
    <xdr:to>
      <xdr:col>14</xdr:col>
      <xdr:colOff>237844</xdr:colOff>
      <xdr:row>23</xdr:row>
      <xdr:rowOff>123765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81850" y="4695825"/>
          <a:ext cx="2247619" cy="4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19</xdr:row>
      <xdr:rowOff>179070</xdr:rowOff>
    </xdr:from>
    <xdr:to>
      <xdr:col>5</xdr:col>
      <xdr:colOff>257175</xdr:colOff>
      <xdr:row>26</xdr:row>
      <xdr:rowOff>173355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00000000-0008-0000-0400-00000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1690" y="3950970"/>
          <a:ext cx="885825" cy="1289685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95250</xdr:colOff>
      <xdr:row>11</xdr:row>
      <xdr:rowOff>19050</xdr:rowOff>
    </xdr:from>
    <xdr:to>
      <xdr:col>12</xdr:col>
      <xdr:colOff>160020</xdr:colOff>
      <xdr:row>18</xdr:row>
      <xdr:rowOff>28575</xdr:rowOff>
    </xdr:to>
    <xdr:pic>
      <xdr:nvPicPr>
        <xdr:cNvPr id="6146" name="Picture 2">
          <a:extLst>
            <a:ext uri="{FF2B5EF4-FFF2-40B4-BE49-F238E27FC236}">
              <a16:creationId xmlns:a16="http://schemas.microsoft.com/office/drawing/2014/main" id="{00000000-0008-0000-0400-00000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0" y="2152650"/>
          <a:ext cx="2417445" cy="134302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10160</xdr:colOff>
      <xdr:row>22</xdr:row>
      <xdr:rowOff>73660</xdr:rowOff>
    </xdr:from>
    <xdr:ext cx="3326390" cy="339119"/>
    <xdr:pic>
      <xdr:nvPicPr>
        <xdr:cNvPr id="2" name="圖片 1">
          <a:extLst>
            <a:ext uri="{FF2B5EF4-FFF2-40B4-BE49-F238E27FC236}">
              <a16:creationId xmlns:a16="http://schemas.microsoft.com/office/drawing/2014/main" id="{ECC779DD-0088-44DB-A4F3-0E2B1D0BA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25485" y="4807585"/>
          <a:ext cx="3326390" cy="339119"/>
        </a:xfrm>
        <a:prstGeom prst="rect">
          <a:avLst/>
        </a:prstGeom>
      </xdr:spPr>
    </xdr:pic>
    <xdr:clientData/>
  </xdr:oneCellAnchor>
  <xdr:twoCellAnchor editAs="oneCell">
    <xdr:from>
      <xdr:col>1</xdr:col>
      <xdr:colOff>9525</xdr:colOff>
      <xdr:row>23</xdr:row>
      <xdr:rowOff>180975</xdr:rowOff>
    </xdr:from>
    <xdr:to>
      <xdr:col>4</xdr:col>
      <xdr:colOff>161606</xdr:colOff>
      <xdr:row>41</xdr:row>
      <xdr:rowOff>85265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6C71DA00-F344-4DA1-894F-C03C7B49F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825" y="5181600"/>
          <a:ext cx="2552381" cy="36761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99060</xdr:rowOff>
    </xdr:from>
    <xdr:to>
      <xdr:col>7</xdr:col>
      <xdr:colOff>601980</xdr:colOff>
      <xdr:row>25</xdr:row>
      <xdr:rowOff>129810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840"/>
        <a:stretch/>
      </xdr:blipFill>
      <xdr:spPr>
        <a:xfrm>
          <a:off x="0" y="2194560"/>
          <a:ext cx="7353300" cy="31168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05B&#20989;&#25976;&#30340;&#25033;&#29992;(&#21547;&#35299;&#31572;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1729;&#24037;&#35347;&#32244;/&#26597;&#35426;&#20989;&#2597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H05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2007-2010\007_&#21934;&#19968;&#26781;&#20214;&#21512;&#35336;&#34920;&#93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學生成績"/>
      <sheetName val="Sumif函數應用"/>
      <sheetName val="條件式加總"/>
      <sheetName val="SUMPRODUCT應用"/>
      <sheetName val="範例1"/>
      <sheetName val="範例2"/>
      <sheetName val="VLOOKUP"/>
      <sheetName val="HLOOKUP"/>
      <sheetName val="日期"/>
      <sheetName val="文字函數範例"/>
      <sheetName val="PMT"/>
      <sheetName val="FV"/>
      <sheetName val="PV"/>
    </sheetNames>
    <sheetDataSet>
      <sheetData sheetId="0"/>
      <sheetData sheetId="1"/>
      <sheetData sheetId="2">
        <row r="2">
          <cell r="B2" t="str">
            <v>陳金鋒</v>
          </cell>
          <cell r="C2" t="str">
            <v>國語歌曲</v>
          </cell>
          <cell r="D2" t="str">
            <v>高雄</v>
          </cell>
          <cell r="F2">
            <v>15</v>
          </cell>
          <cell r="G2">
            <v>4140</v>
          </cell>
        </row>
        <row r="3">
          <cell r="B3" t="str">
            <v>陳金鋒</v>
          </cell>
          <cell r="C3" t="str">
            <v>國語歌曲</v>
          </cell>
          <cell r="D3" t="str">
            <v>花東</v>
          </cell>
          <cell r="F3">
            <v>37</v>
          </cell>
          <cell r="G3">
            <v>10212</v>
          </cell>
        </row>
        <row r="4">
          <cell r="B4" t="str">
            <v>林智盛</v>
          </cell>
          <cell r="C4" t="str">
            <v>台語歌曲</v>
          </cell>
          <cell r="D4" t="str">
            <v>桃竹苗</v>
          </cell>
          <cell r="F4">
            <v>7</v>
          </cell>
          <cell r="G4">
            <v>2016</v>
          </cell>
        </row>
        <row r="5">
          <cell r="B5" t="str">
            <v>郭泓志</v>
          </cell>
          <cell r="C5" t="str">
            <v>古典音樂</v>
          </cell>
          <cell r="D5" t="str">
            <v>台中</v>
          </cell>
          <cell r="F5">
            <v>21</v>
          </cell>
          <cell r="G5">
            <v>4389</v>
          </cell>
        </row>
        <row r="6">
          <cell r="B6" t="str">
            <v>陳金鋒</v>
          </cell>
          <cell r="C6" t="str">
            <v>國語歌曲</v>
          </cell>
          <cell r="D6" t="str">
            <v>高雄</v>
          </cell>
          <cell r="F6">
            <v>11</v>
          </cell>
          <cell r="G6">
            <v>3036</v>
          </cell>
        </row>
        <row r="7">
          <cell r="B7" t="str">
            <v>林智盛</v>
          </cell>
          <cell r="C7" t="str">
            <v>台語歌曲</v>
          </cell>
          <cell r="D7" t="str">
            <v>台中</v>
          </cell>
          <cell r="F7">
            <v>14</v>
          </cell>
          <cell r="G7">
            <v>4032</v>
          </cell>
        </row>
        <row r="8">
          <cell r="B8" t="str">
            <v>陳金鋒</v>
          </cell>
          <cell r="C8" t="str">
            <v>國語歌曲</v>
          </cell>
          <cell r="D8" t="str">
            <v>台南</v>
          </cell>
          <cell r="F8">
            <v>35</v>
          </cell>
          <cell r="G8">
            <v>9660</v>
          </cell>
        </row>
        <row r="9">
          <cell r="B9" t="str">
            <v>陳金鋒</v>
          </cell>
          <cell r="C9" t="str">
            <v>台語歌曲</v>
          </cell>
          <cell r="D9" t="str">
            <v>花東</v>
          </cell>
          <cell r="F9">
            <v>14</v>
          </cell>
          <cell r="G9">
            <v>4032</v>
          </cell>
        </row>
        <row r="10">
          <cell r="B10" t="str">
            <v>郭泓志</v>
          </cell>
          <cell r="C10" t="str">
            <v>古典音樂</v>
          </cell>
          <cell r="D10" t="str">
            <v>花東</v>
          </cell>
          <cell r="F10">
            <v>18</v>
          </cell>
          <cell r="G10">
            <v>3762</v>
          </cell>
        </row>
        <row r="11">
          <cell r="B11" t="str">
            <v>王建民</v>
          </cell>
          <cell r="C11" t="str">
            <v>台語歌曲</v>
          </cell>
          <cell r="D11" t="str">
            <v>台中</v>
          </cell>
          <cell r="F11">
            <v>33</v>
          </cell>
          <cell r="G11">
            <v>9504</v>
          </cell>
        </row>
        <row r="12">
          <cell r="B12" t="str">
            <v>王建民</v>
          </cell>
          <cell r="C12" t="str">
            <v>台語歌曲</v>
          </cell>
          <cell r="D12" t="str">
            <v>台中</v>
          </cell>
          <cell r="F12">
            <v>16</v>
          </cell>
          <cell r="G12">
            <v>4608</v>
          </cell>
        </row>
        <row r="13">
          <cell r="B13" t="str">
            <v>陳金鋒</v>
          </cell>
          <cell r="C13" t="str">
            <v>搖滾歌曲</v>
          </cell>
          <cell r="D13" t="str">
            <v>桃竹苗</v>
          </cell>
          <cell r="F13">
            <v>37</v>
          </cell>
          <cell r="G13">
            <v>11285</v>
          </cell>
        </row>
        <row r="14">
          <cell r="B14" t="str">
            <v>陳金鋒</v>
          </cell>
          <cell r="C14" t="str">
            <v>古典音樂</v>
          </cell>
          <cell r="D14" t="str">
            <v>台南</v>
          </cell>
          <cell r="F14">
            <v>4</v>
          </cell>
          <cell r="G14">
            <v>836</v>
          </cell>
        </row>
        <row r="15">
          <cell r="B15" t="str">
            <v>郭泓志</v>
          </cell>
          <cell r="C15" t="str">
            <v>國語歌曲</v>
          </cell>
          <cell r="D15" t="str">
            <v>花東</v>
          </cell>
          <cell r="F15">
            <v>15</v>
          </cell>
          <cell r="G15">
            <v>4140</v>
          </cell>
        </row>
        <row r="16">
          <cell r="B16" t="str">
            <v>郭泓志</v>
          </cell>
          <cell r="C16" t="str">
            <v>台語歌曲</v>
          </cell>
          <cell r="D16" t="str">
            <v>桃竹苗</v>
          </cell>
          <cell r="F16">
            <v>4</v>
          </cell>
          <cell r="G16">
            <v>1152</v>
          </cell>
        </row>
        <row r="17">
          <cell r="B17" t="str">
            <v>林智盛</v>
          </cell>
          <cell r="C17" t="str">
            <v>古典音樂</v>
          </cell>
          <cell r="D17" t="str">
            <v>台中</v>
          </cell>
          <cell r="F17">
            <v>18</v>
          </cell>
          <cell r="G17">
            <v>3762</v>
          </cell>
        </row>
        <row r="18">
          <cell r="B18" t="str">
            <v>林智盛</v>
          </cell>
          <cell r="C18" t="str">
            <v>台語歌曲</v>
          </cell>
          <cell r="D18" t="str">
            <v>台南</v>
          </cell>
          <cell r="F18">
            <v>33</v>
          </cell>
          <cell r="G18">
            <v>9504</v>
          </cell>
        </row>
        <row r="19">
          <cell r="B19" t="str">
            <v>林智盛</v>
          </cell>
          <cell r="C19" t="str">
            <v>台語歌曲</v>
          </cell>
          <cell r="D19" t="str">
            <v>高雄</v>
          </cell>
          <cell r="F19">
            <v>21</v>
          </cell>
          <cell r="G19">
            <v>6048</v>
          </cell>
        </row>
        <row r="20">
          <cell r="B20" t="str">
            <v>郭泓志</v>
          </cell>
          <cell r="C20" t="str">
            <v>國語歌曲</v>
          </cell>
          <cell r="D20" t="str">
            <v>台南</v>
          </cell>
          <cell r="F20">
            <v>32</v>
          </cell>
          <cell r="G20">
            <v>8832</v>
          </cell>
        </row>
        <row r="21">
          <cell r="B21" t="str">
            <v>林智盛</v>
          </cell>
          <cell r="C21" t="str">
            <v>搖滾歌曲</v>
          </cell>
          <cell r="D21" t="str">
            <v>桃竹苗</v>
          </cell>
          <cell r="F21">
            <v>9</v>
          </cell>
          <cell r="G21">
            <v>2745</v>
          </cell>
        </row>
        <row r="22">
          <cell r="B22" t="str">
            <v>林智盛</v>
          </cell>
          <cell r="C22" t="str">
            <v>台語歌曲</v>
          </cell>
          <cell r="D22" t="str">
            <v>台北</v>
          </cell>
          <cell r="F22">
            <v>34</v>
          </cell>
          <cell r="G22">
            <v>9792</v>
          </cell>
        </row>
        <row r="23">
          <cell r="B23" t="str">
            <v>陳金鋒</v>
          </cell>
          <cell r="C23" t="str">
            <v>國語歌曲</v>
          </cell>
          <cell r="D23" t="str">
            <v>高雄</v>
          </cell>
          <cell r="F23">
            <v>25</v>
          </cell>
          <cell r="G23">
            <v>6900</v>
          </cell>
        </row>
        <row r="24">
          <cell r="B24" t="str">
            <v>陳金鋒</v>
          </cell>
          <cell r="C24" t="str">
            <v>搖滾歌曲</v>
          </cell>
          <cell r="D24" t="str">
            <v>高雄</v>
          </cell>
          <cell r="F24">
            <v>16</v>
          </cell>
          <cell r="G24">
            <v>4880</v>
          </cell>
        </row>
        <row r="25">
          <cell r="B25" t="str">
            <v>陳金鋒</v>
          </cell>
          <cell r="C25" t="str">
            <v>台語歌曲</v>
          </cell>
          <cell r="D25" t="str">
            <v>台中</v>
          </cell>
          <cell r="F25">
            <v>11</v>
          </cell>
          <cell r="G25">
            <v>3168</v>
          </cell>
        </row>
        <row r="26">
          <cell r="B26" t="str">
            <v>陳金鋒</v>
          </cell>
          <cell r="C26" t="str">
            <v>國語歌曲</v>
          </cell>
          <cell r="D26" t="str">
            <v>高雄</v>
          </cell>
          <cell r="F26">
            <v>13</v>
          </cell>
          <cell r="G26">
            <v>3588</v>
          </cell>
        </row>
        <row r="27">
          <cell r="B27" t="str">
            <v>王建民</v>
          </cell>
          <cell r="C27" t="str">
            <v>台語歌曲</v>
          </cell>
          <cell r="D27" t="str">
            <v>桃竹苗</v>
          </cell>
          <cell r="F27">
            <v>34</v>
          </cell>
          <cell r="G27">
            <v>9792</v>
          </cell>
        </row>
        <row r="28">
          <cell r="B28" t="str">
            <v>王建民</v>
          </cell>
          <cell r="C28" t="str">
            <v>古典音樂</v>
          </cell>
          <cell r="D28" t="str">
            <v>台北</v>
          </cell>
          <cell r="F28">
            <v>22</v>
          </cell>
          <cell r="G28">
            <v>4598</v>
          </cell>
        </row>
        <row r="29">
          <cell r="B29" t="str">
            <v>陳金鋒</v>
          </cell>
          <cell r="C29" t="str">
            <v>台語歌曲</v>
          </cell>
          <cell r="D29" t="str">
            <v>花東</v>
          </cell>
          <cell r="F29">
            <v>37</v>
          </cell>
          <cell r="G29">
            <v>10656</v>
          </cell>
        </row>
        <row r="30">
          <cell r="B30" t="str">
            <v>陳金鋒</v>
          </cell>
          <cell r="C30" t="str">
            <v>古典音樂</v>
          </cell>
          <cell r="D30" t="str">
            <v>台北</v>
          </cell>
          <cell r="F30">
            <v>31</v>
          </cell>
          <cell r="G30">
            <v>6479</v>
          </cell>
        </row>
        <row r="31">
          <cell r="B31" t="str">
            <v>林智盛</v>
          </cell>
          <cell r="C31" t="str">
            <v>國語歌曲</v>
          </cell>
          <cell r="D31" t="str">
            <v>花東</v>
          </cell>
          <cell r="F31">
            <v>14</v>
          </cell>
          <cell r="G31">
            <v>3864</v>
          </cell>
        </row>
        <row r="32">
          <cell r="B32" t="str">
            <v>郭泓志</v>
          </cell>
          <cell r="C32" t="str">
            <v>台語歌曲</v>
          </cell>
          <cell r="D32" t="str">
            <v>桃竹苗</v>
          </cell>
          <cell r="F32">
            <v>16</v>
          </cell>
          <cell r="G32">
            <v>4608</v>
          </cell>
        </row>
        <row r="33">
          <cell r="B33" t="str">
            <v>王建民</v>
          </cell>
          <cell r="C33" t="str">
            <v>國語歌曲</v>
          </cell>
          <cell r="D33" t="str">
            <v>桃竹苗</v>
          </cell>
          <cell r="F33">
            <v>5</v>
          </cell>
          <cell r="G33">
            <v>1380</v>
          </cell>
        </row>
        <row r="34">
          <cell r="B34" t="str">
            <v>林智盛</v>
          </cell>
          <cell r="C34" t="str">
            <v>台語歌曲</v>
          </cell>
          <cell r="D34" t="str">
            <v>花東</v>
          </cell>
          <cell r="F34">
            <v>25</v>
          </cell>
          <cell r="G34">
            <v>7200</v>
          </cell>
        </row>
        <row r="35">
          <cell r="B35" t="str">
            <v>陳金鋒</v>
          </cell>
          <cell r="C35" t="str">
            <v>古典音樂</v>
          </cell>
          <cell r="D35" t="str">
            <v>花東</v>
          </cell>
          <cell r="F35">
            <v>34</v>
          </cell>
          <cell r="G35">
            <v>7106</v>
          </cell>
        </row>
        <row r="36">
          <cell r="B36" t="str">
            <v>林智盛</v>
          </cell>
          <cell r="C36" t="str">
            <v>國語歌曲</v>
          </cell>
          <cell r="D36" t="str">
            <v>台南</v>
          </cell>
          <cell r="F36">
            <v>39</v>
          </cell>
          <cell r="G36">
            <v>10764</v>
          </cell>
        </row>
        <row r="37">
          <cell r="B37" t="str">
            <v>林智盛</v>
          </cell>
          <cell r="C37" t="str">
            <v>台語歌曲</v>
          </cell>
          <cell r="D37" t="str">
            <v>台南</v>
          </cell>
          <cell r="F37">
            <v>35</v>
          </cell>
          <cell r="G37">
            <v>10080</v>
          </cell>
        </row>
        <row r="38">
          <cell r="B38" t="str">
            <v>陳金鋒</v>
          </cell>
          <cell r="C38" t="str">
            <v>台語歌曲</v>
          </cell>
          <cell r="D38" t="str">
            <v>台中</v>
          </cell>
          <cell r="F38">
            <v>22</v>
          </cell>
          <cell r="G38">
            <v>6336</v>
          </cell>
        </row>
        <row r="39">
          <cell r="B39" t="str">
            <v>林智盛</v>
          </cell>
          <cell r="C39" t="str">
            <v>台語歌曲</v>
          </cell>
          <cell r="D39" t="str">
            <v>台南</v>
          </cell>
          <cell r="F39">
            <v>7</v>
          </cell>
          <cell r="G39">
            <v>2016</v>
          </cell>
        </row>
        <row r="40">
          <cell r="B40" t="str">
            <v>陳金鋒</v>
          </cell>
          <cell r="C40" t="str">
            <v>國語歌曲</v>
          </cell>
          <cell r="D40" t="str">
            <v>桃竹苗</v>
          </cell>
          <cell r="F40">
            <v>14</v>
          </cell>
          <cell r="G40">
            <v>3864</v>
          </cell>
        </row>
        <row r="41">
          <cell r="B41" t="str">
            <v>林智盛</v>
          </cell>
          <cell r="C41" t="str">
            <v>台語歌曲</v>
          </cell>
          <cell r="D41" t="str">
            <v>台中</v>
          </cell>
          <cell r="F41">
            <v>9</v>
          </cell>
          <cell r="G41">
            <v>2592</v>
          </cell>
        </row>
        <row r="42">
          <cell r="B42" t="str">
            <v>林智盛</v>
          </cell>
          <cell r="C42" t="str">
            <v>古典音樂</v>
          </cell>
          <cell r="D42" t="str">
            <v>桃竹苗</v>
          </cell>
          <cell r="F42">
            <v>29</v>
          </cell>
          <cell r="G42">
            <v>6061</v>
          </cell>
        </row>
        <row r="43">
          <cell r="B43" t="str">
            <v>郭泓志</v>
          </cell>
          <cell r="C43" t="str">
            <v>台語歌曲</v>
          </cell>
          <cell r="D43" t="str">
            <v>花東</v>
          </cell>
          <cell r="F43">
            <v>38</v>
          </cell>
          <cell r="G43">
            <v>10944</v>
          </cell>
        </row>
        <row r="44">
          <cell r="B44" t="str">
            <v>陳金鋒</v>
          </cell>
          <cell r="C44" t="str">
            <v>搖滾歌曲</v>
          </cell>
          <cell r="D44" t="str">
            <v>花東</v>
          </cell>
          <cell r="F44">
            <v>26</v>
          </cell>
          <cell r="G44">
            <v>7930</v>
          </cell>
        </row>
        <row r="45">
          <cell r="B45" t="str">
            <v>王建民</v>
          </cell>
          <cell r="C45" t="str">
            <v>古典音樂</v>
          </cell>
          <cell r="D45" t="str">
            <v>台中</v>
          </cell>
          <cell r="F45">
            <v>38</v>
          </cell>
          <cell r="G45">
            <v>7942</v>
          </cell>
        </row>
        <row r="46">
          <cell r="B46" t="str">
            <v>林智盛</v>
          </cell>
          <cell r="C46" t="str">
            <v>台語歌曲</v>
          </cell>
          <cell r="D46" t="str">
            <v>台北</v>
          </cell>
          <cell r="F46">
            <v>27</v>
          </cell>
          <cell r="G46">
            <v>7776</v>
          </cell>
        </row>
        <row r="47">
          <cell r="B47" t="str">
            <v>林智盛</v>
          </cell>
          <cell r="C47" t="str">
            <v>國語歌曲</v>
          </cell>
          <cell r="D47" t="str">
            <v>花東</v>
          </cell>
          <cell r="F47">
            <v>14</v>
          </cell>
          <cell r="G47">
            <v>3864</v>
          </cell>
        </row>
        <row r="48">
          <cell r="B48" t="str">
            <v>林智盛</v>
          </cell>
          <cell r="C48" t="str">
            <v>國語歌曲</v>
          </cell>
          <cell r="D48" t="str">
            <v>高雄</v>
          </cell>
          <cell r="F48">
            <v>9</v>
          </cell>
          <cell r="G48">
            <v>2484</v>
          </cell>
        </row>
        <row r="49">
          <cell r="B49" t="str">
            <v>林智盛</v>
          </cell>
          <cell r="C49" t="str">
            <v>搖滾歌曲</v>
          </cell>
          <cell r="D49" t="str">
            <v>台南</v>
          </cell>
          <cell r="F49">
            <v>4</v>
          </cell>
          <cell r="G49">
            <v>1220</v>
          </cell>
        </row>
        <row r="50">
          <cell r="B50" t="str">
            <v>陳金鋒</v>
          </cell>
          <cell r="C50" t="str">
            <v>古典音樂</v>
          </cell>
          <cell r="D50" t="str">
            <v>台北</v>
          </cell>
          <cell r="F50">
            <v>3</v>
          </cell>
          <cell r="G50">
            <v>627</v>
          </cell>
        </row>
        <row r="51">
          <cell r="B51" t="str">
            <v>林智盛</v>
          </cell>
          <cell r="C51" t="str">
            <v>台語歌曲</v>
          </cell>
          <cell r="D51" t="str">
            <v>桃竹苗</v>
          </cell>
          <cell r="F51">
            <v>18</v>
          </cell>
          <cell r="G51">
            <v>5184</v>
          </cell>
        </row>
        <row r="52">
          <cell r="B52" t="str">
            <v>陳金鋒</v>
          </cell>
          <cell r="C52" t="str">
            <v>台語歌曲</v>
          </cell>
          <cell r="D52" t="str">
            <v>台北</v>
          </cell>
          <cell r="F52">
            <v>28</v>
          </cell>
          <cell r="G52">
            <v>8064</v>
          </cell>
        </row>
        <row r="53">
          <cell r="B53" t="str">
            <v>陳金鋒</v>
          </cell>
          <cell r="C53" t="str">
            <v>國語歌曲</v>
          </cell>
          <cell r="D53" t="str">
            <v>台北</v>
          </cell>
          <cell r="F53">
            <v>25</v>
          </cell>
          <cell r="G53">
            <v>6900</v>
          </cell>
        </row>
        <row r="54">
          <cell r="B54" t="str">
            <v>王建民</v>
          </cell>
          <cell r="C54" t="str">
            <v>國語歌曲</v>
          </cell>
          <cell r="D54" t="str">
            <v>台南</v>
          </cell>
          <cell r="F54">
            <v>26</v>
          </cell>
          <cell r="G54">
            <v>7176</v>
          </cell>
        </row>
        <row r="55">
          <cell r="B55" t="str">
            <v>郭泓志</v>
          </cell>
          <cell r="C55" t="str">
            <v>古典音樂</v>
          </cell>
          <cell r="D55" t="str">
            <v>花東</v>
          </cell>
          <cell r="F55">
            <v>17</v>
          </cell>
          <cell r="G55">
            <v>3553</v>
          </cell>
        </row>
        <row r="56">
          <cell r="B56" t="str">
            <v>陳金鋒</v>
          </cell>
          <cell r="C56" t="str">
            <v>古典音樂</v>
          </cell>
          <cell r="D56" t="str">
            <v>桃竹苗</v>
          </cell>
          <cell r="F56">
            <v>7</v>
          </cell>
          <cell r="G56">
            <v>1463</v>
          </cell>
        </row>
        <row r="57">
          <cell r="B57" t="str">
            <v>林智盛</v>
          </cell>
          <cell r="C57" t="str">
            <v>國語歌曲</v>
          </cell>
          <cell r="D57" t="str">
            <v>花東</v>
          </cell>
          <cell r="F57">
            <v>6</v>
          </cell>
          <cell r="G57">
            <v>1656</v>
          </cell>
        </row>
        <row r="58">
          <cell r="B58" t="str">
            <v>陳金鋒</v>
          </cell>
          <cell r="C58" t="str">
            <v>國語歌曲</v>
          </cell>
          <cell r="D58" t="str">
            <v>桃竹苗</v>
          </cell>
          <cell r="F58">
            <v>22</v>
          </cell>
          <cell r="G58">
            <v>6072</v>
          </cell>
        </row>
        <row r="59">
          <cell r="B59" t="str">
            <v>郭泓志</v>
          </cell>
          <cell r="C59" t="str">
            <v>搖滾歌曲</v>
          </cell>
          <cell r="D59" t="str">
            <v>台南</v>
          </cell>
          <cell r="F59">
            <v>29</v>
          </cell>
          <cell r="G59">
            <v>8845</v>
          </cell>
        </row>
        <row r="60">
          <cell r="B60" t="str">
            <v>陳金鋒</v>
          </cell>
          <cell r="C60" t="str">
            <v>台語歌曲</v>
          </cell>
          <cell r="D60" t="str">
            <v>台北</v>
          </cell>
          <cell r="F60">
            <v>28</v>
          </cell>
          <cell r="G60">
            <v>8064</v>
          </cell>
        </row>
        <row r="61">
          <cell r="B61" t="str">
            <v>林智盛</v>
          </cell>
          <cell r="C61" t="str">
            <v>國語歌曲</v>
          </cell>
          <cell r="D61" t="str">
            <v>高雄</v>
          </cell>
          <cell r="F61">
            <v>37</v>
          </cell>
          <cell r="G61">
            <v>10212</v>
          </cell>
        </row>
        <row r="62">
          <cell r="B62" t="str">
            <v>郭泓志</v>
          </cell>
          <cell r="C62" t="str">
            <v>古典音樂</v>
          </cell>
          <cell r="D62" t="str">
            <v>桃竹苗</v>
          </cell>
          <cell r="F62">
            <v>14</v>
          </cell>
          <cell r="G62">
            <v>2926</v>
          </cell>
        </row>
        <row r="63">
          <cell r="B63" t="str">
            <v>王建民</v>
          </cell>
          <cell r="C63" t="str">
            <v>台語歌曲</v>
          </cell>
          <cell r="D63" t="str">
            <v>花東</v>
          </cell>
          <cell r="F63">
            <v>19</v>
          </cell>
          <cell r="G63">
            <v>5472</v>
          </cell>
        </row>
        <row r="64">
          <cell r="B64" t="str">
            <v>王建民</v>
          </cell>
          <cell r="C64" t="str">
            <v>國語歌曲</v>
          </cell>
          <cell r="D64" t="str">
            <v>高雄</v>
          </cell>
          <cell r="F64">
            <v>4</v>
          </cell>
          <cell r="G64">
            <v>1104</v>
          </cell>
        </row>
        <row r="65">
          <cell r="B65" t="str">
            <v>陳金鋒</v>
          </cell>
          <cell r="C65" t="str">
            <v>台語歌曲</v>
          </cell>
          <cell r="D65" t="str">
            <v>台中</v>
          </cell>
          <cell r="F65">
            <v>37</v>
          </cell>
          <cell r="G65">
            <v>10656</v>
          </cell>
        </row>
        <row r="66">
          <cell r="B66" t="str">
            <v>郭泓志</v>
          </cell>
          <cell r="C66" t="str">
            <v>國語歌曲</v>
          </cell>
          <cell r="D66" t="str">
            <v>高雄</v>
          </cell>
          <cell r="F66">
            <v>21</v>
          </cell>
          <cell r="G66">
            <v>5796</v>
          </cell>
        </row>
        <row r="67">
          <cell r="B67" t="str">
            <v>郭泓志</v>
          </cell>
          <cell r="C67" t="str">
            <v>國語歌曲</v>
          </cell>
          <cell r="D67" t="str">
            <v>花東</v>
          </cell>
          <cell r="F67">
            <v>14</v>
          </cell>
          <cell r="G67">
            <v>3864</v>
          </cell>
        </row>
        <row r="68">
          <cell r="B68" t="str">
            <v>陳金鋒</v>
          </cell>
          <cell r="C68" t="str">
            <v>國語歌曲</v>
          </cell>
          <cell r="D68" t="str">
            <v>桃竹苗</v>
          </cell>
          <cell r="F68">
            <v>33</v>
          </cell>
          <cell r="G68">
            <v>9108</v>
          </cell>
        </row>
        <row r="69">
          <cell r="B69" t="str">
            <v>王建民</v>
          </cell>
          <cell r="C69" t="str">
            <v>國語歌曲</v>
          </cell>
          <cell r="D69" t="str">
            <v>桃竹苗</v>
          </cell>
          <cell r="F69">
            <v>19</v>
          </cell>
          <cell r="G69">
            <v>5244</v>
          </cell>
        </row>
        <row r="70">
          <cell r="B70" t="str">
            <v>林智盛</v>
          </cell>
          <cell r="C70" t="str">
            <v>國語歌曲</v>
          </cell>
          <cell r="D70" t="str">
            <v>台中</v>
          </cell>
          <cell r="F70">
            <v>7</v>
          </cell>
          <cell r="G70">
            <v>1932</v>
          </cell>
        </row>
        <row r="71">
          <cell r="B71" t="str">
            <v>陳金鋒</v>
          </cell>
          <cell r="C71" t="str">
            <v>台語歌曲</v>
          </cell>
          <cell r="D71" t="str">
            <v>台中</v>
          </cell>
          <cell r="F71">
            <v>26</v>
          </cell>
          <cell r="G71">
            <v>7488</v>
          </cell>
        </row>
        <row r="72">
          <cell r="B72" t="str">
            <v>陳金鋒</v>
          </cell>
          <cell r="C72" t="str">
            <v>搖滾歌曲</v>
          </cell>
          <cell r="D72" t="str">
            <v>台北</v>
          </cell>
          <cell r="F72">
            <v>38</v>
          </cell>
          <cell r="G72">
            <v>11590</v>
          </cell>
        </row>
        <row r="73">
          <cell r="B73" t="str">
            <v>陳金鋒</v>
          </cell>
          <cell r="C73" t="str">
            <v>台語歌曲</v>
          </cell>
          <cell r="D73" t="str">
            <v>台南</v>
          </cell>
          <cell r="F73">
            <v>13</v>
          </cell>
          <cell r="G73">
            <v>3744</v>
          </cell>
        </row>
        <row r="74">
          <cell r="B74" t="str">
            <v>林智盛</v>
          </cell>
          <cell r="C74" t="str">
            <v>古典音樂</v>
          </cell>
          <cell r="D74" t="str">
            <v>高雄</v>
          </cell>
          <cell r="F74">
            <v>10</v>
          </cell>
          <cell r="G74">
            <v>2090</v>
          </cell>
        </row>
        <row r="75">
          <cell r="B75" t="str">
            <v>郭泓志</v>
          </cell>
          <cell r="C75" t="str">
            <v>國語歌曲</v>
          </cell>
          <cell r="D75" t="str">
            <v>高雄</v>
          </cell>
          <cell r="F75">
            <v>26</v>
          </cell>
          <cell r="G75">
            <v>7176</v>
          </cell>
        </row>
        <row r="76">
          <cell r="B76" t="str">
            <v>王建民</v>
          </cell>
          <cell r="C76" t="str">
            <v>台語歌曲</v>
          </cell>
          <cell r="D76" t="str">
            <v>台南</v>
          </cell>
          <cell r="F76">
            <v>36</v>
          </cell>
          <cell r="G76">
            <v>10368</v>
          </cell>
        </row>
        <row r="77">
          <cell r="B77" t="str">
            <v>郭泓志</v>
          </cell>
          <cell r="C77" t="str">
            <v>古典音樂</v>
          </cell>
          <cell r="D77" t="str">
            <v>花東</v>
          </cell>
          <cell r="F77">
            <v>13</v>
          </cell>
          <cell r="G77">
            <v>2717</v>
          </cell>
        </row>
        <row r="78">
          <cell r="B78" t="str">
            <v>陳金鋒</v>
          </cell>
          <cell r="C78" t="str">
            <v>台語歌曲</v>
          </cell>
          <cell r="D78" t="str">
            <v>台南</v>
          </cell>
          <cell r="F78">
            <v>40</v>
          </cell>
          <cell r="G78">
            <v>11520</v>
          </cell>
        </row>
        <row r="79">
          <cell r="B79" t="str">
            <v>郭泓志</v>
          </cell>
          <cell r="C79" t="str">
            <v>台語歌曲</v>
          </cell>
          <cell r="D79" t="str">
            <v>桃竹苗</v>
          </cell>
          <cell r="F79">
            <v>39</v>
          </cell>
          <cell r="G79">
            <v>11232</v>
          </cell>
        </row>
        <row r="80">
          <cell r="B80" t="str">
            <v>林智盛</v>
          </cell>
          <cell r="C80" t="str">
            <v>國語歌曲</v>
          </cell>
          <cell r="D80" t="str">
            <v>桃竹苗</v>
          </cell>
          <cell r="F80">
            <v>32</v>
          </cell>
          <cell r="G80">
            <v>8832</v>
          </cell>
        </row>
        <row r="81">
          <cell r="B81" t="str">
            <v>郭泓志</v>
          </cell>
          <cell r="C81" t="str">
            <v>搖滾歌曲</v>
          </cell>
          <cell r="D81" t="str">
            <v>台中</v>
          </cell>
          <cell r="F81">
            <v>15</v>
          </cell>
          <cell r="G81">
            <v>4575</v>
          </cell>
        </row>
        <row r="82">
          <cell r="B82" t="str">
            <v>林智盛</v>
          </cell>
          <cell r="C82" t="str">
            <v>國語歌曲</v>
          </cell>
          <cell r="D82" t="str">
            <v>花東</v>
          </cell>
          <cell r="F82">
            <v>31</v>
          </cell>
          <cell r="G82">
            <v>8556</v>
          </cell>
        </row>
        <row r="83">
          <cell r="B83" t="str">
            <v>林智盛</v>
          </cell>
          <cell r="C83" t="str">
            <v>國語歌曲</v>
          </cell>
          <cell r="D83" t="str">
            <v>花東</v>
          </cell>
          <cell r="F83">
            <v>18</v>
          </cell>
          <cell r="G83">
            <v>4968</v>
          </cell>
        </row>
        <row r="84">
          <cell r="B84" t="str">
            <v>林智盛</v>
          </cell>
          <cell r="C84" t="str">
            <v>古典音樂</v>
          </cell>
          <cell r="D84" t="str">
            <v>高雄</v>
          </cell>
          <cell r="F84">
            <v>18</v>
          </cell>
          <cell r="G84">
            <v>3762</v>
          </cell>
        </row>
        <row r="85">
          <cell r="B85" t="str">
            <v>林智盛</v>
          </cell>
          <cell r="C85" t="str">
            <v>古典音樂</v>
          </cell>
          <cell r="D85" t="str">
            <v>台北</v>
          </cell>
          <cell r="F85">
            <v>39</v>
          </cell>
          <cell r="G85">
            <v>8151</v>
          </cell>
        </row>
        <row r="86">
          <cell r="B86" t="str">
            <v>郭泓志</v>
          </cell>
          <cell r="C86" t="str">
            <v>古典音樂</v>
          </cell>
          <cell r="D86" t="str">
            <v>高雄</v>
          </cell>
          <cell r="F86">
            <v>28</v>
          </cell>
          <cell r="G86">
            <v>5852</v>
          </cell>
        </row>
        <row r="87">
          <cell r="B87" t="str">
            <v>林智盛</v>
          </cell>
          <cell r="C87" t="str">
            <v>古典音樂</v>
          </cell>
          <cell r="D87" t="str">
            <v>台南</v>
          </cell>
          <cell r="F87">
            <v>34</v>
          </cell>
          <cell r="G87">
            <v>7106</v>
          </cell>
        </row>
        <row r="88">
          <cell r="B88" t="str">
            <v>陳金鋒</v>
          </cell>
          <cell r="C88" t="str">
            <v>台語歌曲</v>
          </cell>
          <cell r="D88" t="str">
            <v>台北</v>
          </cell>
          <cell r="F88">
            <v>28</v>
          </cell>
          <cell r="G88">
            <v>8064</v>
          </cell>
        </row>
        <row r="89">
          <cell r="B89" t="str">
            <v>林智盛</v>
          </cell>
          <cell r="C89" t="str">
            <v>台語歌曲</v>
          </cell>
          <cell r="D89" t="str">
            <v>高雄</v>
          </cell>
          <cell r="F89">
            <v>20</v>
          </cell>
          <cell r="G89">
            <v>5760</v>
          </cell>
        </row>
        <row r="90">
          <cell r="B90" t="str">
            <v>郭泓志</v>
          </cell>
          <cell r="C90" t="str">
            <v>古典音樂</v>
          </cell>
          <cell r="D90" t="str">
            <v>高雄</v>
          </cell>
          <cell r="F90">
            <v>25</v>
          </cell>
          <cell r="G90">
            <v>5225</v>
          </cell>
        </row>
        <row r="91">
          <cell r="B91" t="str">
            <v>林智盛</v>
          </cell>
          <cell r="C91" t="str">
            <v>台語歌曲</v>
          </cell>
          <cell r="D91" t="str">
            <v>台南</v>
          </cell>
          <cell r="F91">
            <v>14</v>
          </cell>
          <cell r="G91">
            <v>4032</v>
          </cell>
        </row>
        <row r="92">
          <cell r="B92" t="str">
            <v>陳金鋒</v>
          </cell>
          <cell r="C92" t="str">
            <v>台語歌曲</v>
          </cell>
          <cell r="D92" t="str">
            <v>高雄</v>
          </cell>
          <cell r="F92">
            <v>16</v>
          </cell>
          <cell r="G92">
            <v>4608</v>
          </cell>
        </row>
        <row r="93">
          <cell r="B93" t="str">
            <v>陳金鋒</v>
          </cell>
          <cell r="C93" t="str">
            <v>台語歌曲</v>
          </cell>
          <cell r="D93" t="str">
            <v>台南</v>
          </cell>
          <cell r="F93">
            <v>18</v>
          </cell>
          <cell r="G93">
            <v>5184</v>
          </cell>
        </row>
        <row r="94">
          <cell r="B94" t="str">
            <v>陳金鋒</v>
          </cell>
          <cell r="C94" t="str">
            <v>搖滾歌曲</v>
          </cell>
          <cell r="D94" t="str">
            <v>台北</v>
          </cell>
          <cell r="F94">
            <v>24</v>
          </cell>
          <cell r="G94">
            <v>7320</v>
          </cell>
        </row>
        <row r="95">
          <cell r="B95" t="str">
            <v>林智盛</v>
          </cell>
          <cell r="C95" t="str">
            <v>古典音樂</v>
          </cell>
          <cell r="D95" t="str">
            <v>桃竹苗</v>
          </cell>
          <cell r="F95">
            <v>12</v>
          </cell>
          <cell r="G95">
            <v>2508</v>
          </cell>
        </row>
        <row r="96">
          <cell r="B96" t="str">
            <v>林智盛</v>
          </cell>
          <cell r="C96" t="str">
            <v>古典音樂</v>
          </cell>
          <cell r="D96" t="str">
            <v>台中</v>
          </cell>
          <cell r="F96">
            <v>3</v>
          </cell>
          <cell r="G96">
            <v>627</v>
          </cell>
        </row>
        <row r="97">
          <cell r="B97" t="str">
            <v>林智盛</v>
          </cell>
          <cell r="C97" t="str">
            <v>國語歌曲</v>
          </cell>
          <cell r="D97" t="str">
            <v>台南</v>
          </cell>
          <cell r="F97">
            <v>24</v>
          </cell>
          <cell r="G97">
            <v>6624</v>
          </cell>
        </row>
        <row r="98">
          <cell r="B98" t="str">
            <v>王建民</v>
          </cell>
          <cell r="C98" t="str">
            <v>搖滾歌曲</v>
          </cell>
          <cell r="D98" t="str">
            <v>花東</v>
          </cell>
          <cell r="F98">
            <v>12</v>
          </cell>
          <cell r="G98">
            <v>3660</v>
          </cell>
        </row>
        <row r="99">
          <cell r="B99" t="str">
            <v>王建民</v>
          </cell>
          <cell r="C99" t="str">
            <v>古典音樂</v>
          </cell>
          <cell r="D99" t="str">
            <v>高雄</v>
          </cell>
          <cell r="F99">
            <v>6</v>
          </cell>
          <cell r="G99">
            <v>1254</v>
          </cell>
        </row>
        <row r="100">
          <cell r="B100" t="str">
            <v>王建民</v>
          </cell>
          <cell r="C100" t="str">
            <v>台語歌曲</v>
          </cell>
          <cell r="D100" t="str">
            <v>台南</v>
          </cell>
          <cell r="F100">
            <v>34</v>
          </cell>
          <cell r="G100">
            <v>9792</v>
          </cell>
        </row>
        <row r="101">
          <cell r="B101" t="str">
            <v>陳金鋒</v>
          </cell>
          <cell r="C101" t="str">
            <v>台語歌曲</v>
          </cell>
          <cell r="D101" t="str">
            <v>桃竹苗</v>
          </cell>
          <cell r="F101">
            <v>20</v>
          </cell>
          <cell r="G101">
            <v>5760</v>
          </cell>
        </row>
      </sheetData>
      <sheetData sheetId="3"/>
      <sheetData sheetId="4">
        <row r="4">
          <cell r="H4" t="str">
            <v>手提包</v>
          </cell>
        </row>
        <row r="5">
          <cell r="H5" t="str">
            <v>隨身手拿包</v>
          </cell>
        </row>
        <row r="6">
          <cell r="H6" t="str">
            <v>托特包</v>
          </cell>
        </row>
        <row r="7">
          <cell r="H7" t="str">
            <v>萬用包</v>
          </cell>
        </row>
        <row r="8">
          <cell r="H8" t="str">
            <v>隨身萬用袋</v>
          </cell>
        </row>
        <row r="9">
          <cell r="H9" t="str">
            <v>皮夾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 (解答)"/>
      <sheetName val="VLOOKUP"/>
      <sheetName val="HLOOKUP應用 (解答)"/>
      <sheetName val="HLOOKUP"/>
      <sheetName val="Index"/>
      <sheetName val="Match"/>
      <sheetName val="綜合範例1"/>
      <sheetName val="綜合範例2"/>
      <sheetName val="練習"/>
      <sheetName val="練習 (解答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G4" t="str">
            <v>國文</v>
          </cell>
          <cell r="H4" t="str">
            <v>英文</v>
          </cell>
          <cell r="I4" t="str">
            <v>電腦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運算符號"/>
      <sheetName val="學生成績"/>
      <sheetName val="位址的表達"/>
      <sheetName val="公式與函數"/>
      <sheetName val="名稱 "/>
      <sheetName val="縣市清單"/>
      <sheetName val="公式稽核"/>
      <sheetName val="絕、相對位址練習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>
            <v>0.9</v>
          </cell>
        </row>
        <row r="3">
          <cell r="B3">
            <v>5.2</v>
          </cell>
        </row>
        <row r="4">
          <cell r="B4" t="str">
            <v>4OOO</v>
          </cell>
        </row>
        <row r="5">
          <cell r="B5">
            <v>20000</v>
          </cell>
        </row>
        <row r="7">
          <cell r="B7" t="e">
            <v>#VALUE!</v>
          </cell>
        </row>
        <row r="10">
          <cell r="B10">
            <v>300</v>
          </cell>
        </row>
      </sheetData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範例"/>
      <sheetName val="商品一覽"/>
    </sheetNames>
    <sheetDataSet>
      <sheetData sheetId="0"/>
      <sheetData sheetId="1">
        <row r="3">
          <cell r="B3" t="str">
            <v>手提包</v>
          </cell>
        </row>
        <row r="4">
          <cell r="B4" t="str">
            <v>隨身手拿包</v>
          </cell>
        </row>
        <row r="5">
          <cell r="B5" t="str">
            <v>托特包</v>
          </cell>
        </row>
        <row r="6">
          <cell r="B6" t="str">
            <v>萬用包</v>
          </cell>
        </row>
        <row r="7">
          <cell r="B7" t="str">
            <v>隨身萬用袋</v>
          </cell>
        </row>
        <row r="8">
          <cell r="B8" t="str">
            <v>皮夾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C13" totalsRowShown="0" headerRowDxfId="11">
  <autoFilter ref="A2:C13" xr:uid="{00000000-0009-0000-0100-000001000000}"/>
  <tableColumns count="3">
    <tableColumn id="1" xr3:uid="{00000000-0010-0000-0000-000001000000}" name="業務姓名" dataDxfId="10"/>
    <tableColumn id="2" xr3:uid="{00000000-0010-0000-0000-000002000000}" name="銷售額" dataDxfId="9" dataCellStyle="千分位"/>
    <tableColumn id="3" xr3:uid="{00000000-0010-0000-0000-000003000000}" name="獎金" dataDxfId="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AB41"/>
  <sheetViews>
    <sheetView showGridLines="0" workbookViewId="0">
      <pane ySplit="1" topLeftCell="A2" activePane="bottomLeft" state="frozen"/>
      <selection pane="bottomLeft" activeCell="I2" sqref="I2"/>
    </sheetView>
  </sheetViews>
  <sheetFormatPr defaultColWidth="9" defaultRowHeight="16.2"/>
  <cols>
    <col min="1" max="1" width="8.44140625" style="81" bestFit="1" customWidth="1"/>
    <col min="2" max="2" width="9.44140625" style="81" bestFit="1" customWidth="1"/>
    <col min="3" max="5" width="5.44140625" style="81" bestFit="1" customWidth="1"/>
    <col min="6" max="6" width="9.44140625" style="3" bestFit="1" customWidth="1"/>
    <col min="7" max="7" width="6" style="3" bestFit="1" customWidth="1"/>
    <col min="8" max="8" width="7.77734375" style="3" customWidth="1"/>
    <col min="9" max="9" width="7.6640625" style="3" bestFit="1" customWidth="1"/>
    <col min="10" max="10" width="8.6640625" style="3" bestFit="1" customWidth="1"/>
    <col min="11" max="11" width="7.6640625" style="3" bestFit="1" customWidth="1"/>
    <col min="12" max="12" width="5.88671875" style="3" bestFit="1" customWidth="1"/>
    <col min="13" max="13" width="4" style="3" customWidth="1"/>
    <col min="14" max="14" width="5.77734375" style="3" customWidth="1"/>
    <col min="15" max="15" width="6.44140625" style="3" customWidth="1"/>
    <col min="16" max="16" width="7.109375" style="3" bestFit="1" customWidth="1"/>
    <col min="17" max="17" width="10.21875" style="3" customWidth="1"/>
    <col min="18" max="18" width="9.77734375" style="3" customWidth="1"/>
    <col min="19" max="19" width="9.44140625" style="3" bestFit="1" customWidth="1"/>
    <col min="20" max="20" width="5.88671875" style="3" customWidth="1"/>
    <col min="21" max="21" width="10.33203125" style="3" customWidth="1"/>
    <col min="22" max="22" width="14" style="3" customWidth="1"/>
    <col min="23" max="23" width="9" style="3"/>
    <col min="24" max="24" width="9.44140625" style="3" bestFit="1" customWidth="1"/>
    <col min="25" max="26" width="9" style="3"/>
    <col min="27" max="27" width="11.77734375" style="3" customWidth="1"/>
    <col min="28" max="16384" width="9" style="3"/>
  </cols>
  <sheetData>
    <row r="1" spans="1:28" ht="48.6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250</v>
      </c>
      <c r="I1" s="2" t="s">
        <v>311</v>
      </c>
      <c r="J1" s="2" t="s">
        <v>312</v>
      </c>
      <c r="K1" s="2" t="s">
        <v>251</v>
      </c>
      <c r="L1" s="2" t="s">
        <v>313</v>
      </c>
      <c r="M1" s="22"/>
      <c r="N1" s="117" t="s">
        <v>248</v>
      </c>
      <c r="O1" s="118"/>
      <c r="P1" s="118"/>
      <c r="Q1" s="118"/>
      <c r="R1" s="118"/>
      <c r="S1" s="118"/>
    </row>
    <row r="2" spans="1:28" ht="19.8">
      <c r="A2" s="75">
        <v>8783001</v>
      </c>
      <c r="B2" s="76" t="s">
        <v>97</v>
      </c>
      <c r="C2" s="75">
        <v>94</v>
      </c>
      <c r="D2" s="76">
        <v>67</v>
      </c>
      <c r="E2" s="92">
        <v>96</v>
      </c>
      <c r="F2" s="95"/>
      <c r="G2" s="95">
        <f>SUM(C2:E2)</f>
        <v>257</v>
      </c>
      <c r="H2" s="95"/>
      <c r="I2" s="152"/>
      <c r="J2" s="152"/>
      <c r="K2" s="152"/>
      <c r="L2" s="152"/>
      <c r="N2" s="311" t="s">
        <v>208</v>
      </c>
      <c r="O2" s="311"/>
      <c r="P2" s="311"/>
      <c r="Q2" s="98" t="s">
        <v>41</v>
      </c>
      <c r="R2" s="98" t="s">
        <v>42</v>
      </c>
      <c r="S2" s="98" t="s">
        <v>43</v>
      </c>
      <c r="U2" s="188" t="s">
        <v>346</v>
      </c>
    </row>
    <row r="3" spans="1:28">
      <c r="A3" s="77">
        <v>8783002</v>
      </c>
      <c r="B3" s="78" t="s">
        <v>98</v>
      </c>
      <c r="C3" s="77">
        <v>97</v>
      </c>
      <c r="D3" s="78">
        <v>71</v>
      </c>
      <c r="E3" s="93">
        <v>52</v>
      </c>
      <c r="F3" s="95"/>
      <c r="G3" s="95">
        <f t="shared" ref="G3:G41" si="0">SUM(C3:E3)</f>
        <v>220</v>
      </c>
      <c r="H3" s="95"/>
      <c r="I3" s="152"/>
      <c r="J3" s="152"/>
      <c r="K3" s="152"/>
      <c r="L3" s="152"/>
      <c r="N3" s="96" t="s">
        <v>371</v>
      </c>
      <c r="O3" s="97"/>
      <c r="P3" s="97"/>
      <c r="Q3" s="95"/>
      <c r="R3" s="95"/>
      <c r="S3" s="95"/>
      <c r="U3" s="122" t="s">
        <v>345</v>
      </c>
      <c r="V3" t="s">
        <v>256</v>
      </c>
      <c r="AA3" s="122" t="s">
        <v>300</v>
      </c>
      <c r="AB3" t="s">
        <v>435</v>
      </c>
    </row>
    <row r="4" spans="1:28">
      <c r="A4" s="79">
        <v>8783003</v>
      </c>
      <c r="B4" s="80" t="s">
        <v>99</v>
      </c>
      <c r="C4" s="79">
        <v>69</v>
      </c>
      <c r="D4" s="80">
        <v>64</v>
      </c>
      <c r="E4" s="94">
        <v>58</v>
      </c>
      <c r="F4" s="95"/>
      <c r="G4" s="95">
        <f t="shared" si="0"/>
        <v>191</v>
      </c>
      <c r="H4" s="95"/>
      <c r="I4" s="152"/>
      <c r="J4" s="152"/>
      <c r="K4" s="152"/>
      <c r="L4" s="152"/>
      <c r="N4" s="96" t="s">
        <v>372</v>
      </c>
      <c r="O4" s="97"/>
      <c r="P4" s="97"/>
      <c r="Q4" s="95"/>
      <c r="R4" s="95"/>
      <c r="S4" s="95"/>
      <c r="U4" s="122" t="s">
        <v>345</v>
      </c>
      <c r="V4" t="s">
        <v>436</v>
      </c>
    </row>
    <row r="5" spans="1:28">
      <c r="A5" s="77">
        <v>8783004</v>
      </c>
      <c r="B5" s="78" t="s">
        <v>100</v>
      </c>
      <c r="C5" s="77">
        <v>56</v>
      </c>
      <c r="D5" s="78">
        <v>70</v>
      </c>
      <c r="E5" s="93">
        <v>66</v>
      </c>
      <c r="F5" s="95"/>
      <c r="G5" s="95">
        <f t="shared" si="0"/>
        <v>192</v>
      </c>
      <c r="H5" s="95"/>
      <c r="I5" s="152"/>
      <c r="J5" s="152"/>
      <c r="K5" s="152"/>
      <c r="L5" s="152"/>
      <c r="N5" s="96" t="s">
        <v>373</v>
      </c>
      <c r="O5" s="97"/>
      <c r="P5" s="97"/>
      <c r="Q5" s="95"/>
      <c r="R5" s="95"/>
      <c r="S5" s="95"/>
      <c r="U5" s="122" t="s">
        <v>345</v>
      </c>
      <c r="V5" t="s">
        <v>437</v>
      </c>
    </row>
    <row r="6" spans="1:28">
      <c r="A6" s="79">
        <v>8783005</v>
      </c>
      <c r="B6" s="80" t="s">
        <v>101</v>
      </c>
      <c r="C6" s="79">
        <v>81</v>
      </c>
      <c r="D6" s="80">
        <v>89</v>
      </c>
      <c r="E6" s="94">
        <v>56</v>
      </c>
      <c r="F6" s="95"/>
      <c r="G6" s="95">
        <f t="shared" si="0"/>
        <v>226</v>
      </c>
      <c r="H6" s="95"/>
      <c r="I6" s="152"/>
      <c r="J6" s="152"/>
      <c r="K6" s="152"/>
      <c r="L6" s="152"/>
      <c r="N6" s="96" t="s">
        <v>209</v>
      </c>
      <c r="O6" s="97"/>
      <c r="P6" s="97"/>
      <c r="Q6" s="95"/>
      <c r="R6" s="95"/>
      <c r="S6" s="95"/>
      <c r="V6" t="s">
        <v>347</v>
      </c>
    </row>
    <row r="7" spans="1:28">
      <c r="A7" s="77">
        <v>8783006</v>
      </c>
      <c r="B7" s="78" t="s">
        <v>10</v>
      </c>
      <c r="C7" s="77">
        <v>58</v>
      </c>
      <c r="D7" s="78">
        <v>67</v>
      </c>
      <c r="E7" s="93">
        <v>63</v>
      </c>
      <c r="F7" s="95"/>
      <c r="G7" s="95">
        <f t="shared" si="0"/>
        <v>188</v>
      </c>
      <c r="H7" s="95"/>
      <c r="I7" s="152"/>
      <c r="J7" s="152"/>
      <c r="K7" s="152"/>
      <c r="L7" s="152"/>
      <c r="R7" t="s">
        <v>314</v>
      </c>
      <c r="V7" s="189" t="s">
        <v>447</v>
      </c>
    </row>
    <row r="8" spans="1:28">
      <c r="A8" s="79">
        <v>8783007</v>
      </c>
      <c r="B8" s="80" t="s">
        <v>130</v>
      </c>
      <c r="C8" s="79">
        <v>96</v>
      </c>
      <c r="D8" s="80">
        <v>100</v>
      </c>
      <c r="E8" s="94">
        <v>81</v>
      </c>
      <c r="F8" s="95"/>
      <c r="G8" s="95">
        <f t="shared" si="0"/>
        <v>277</v>
      </c>
      <c r="H8" s="95"/>
      <c r="I8" s="152"/>
      <c r="J8" s="152"/>
      <c r="K8" s="152"/>
      <c r="L8" s="152"/>
      <c r="N8" s="100" t="s">
        <v>449</v>
      </c>
      <c r="O8" s="100"/>
      <c r="P8" s="100"/>
      <c r="Q8" s="74"/>
      <c r="U8" s="122">
        <v>1</v>
      </c>
      <c r="V8" s="110" t="s">
        <v>401</v>
      </c>
    </row>
    <row r="9" spans="1:28">
      <c r="A9" s="77">
        <v>8783008</v>
      </c>
      <c r="B9" s="78" t="s">
        <v>102</v>
      </c>
      <c r="C9" s="77">
        <v>50</v>
      </c>
      <c r="D9" s="78">
        <v>93</v>
      </c>
      <c r="E9" s="93">
        <v>72</v>
      </c>
      <c r="F9" s="95"/>
      <c r="G9" s="95">
        <f t="shared" si="0"/>
        <v>215</v>
      </c>
      <c r="H9" s="95"/>
      <c r="I9" s="152"/>
      <c r="J9" s="152"/>
      <c r="K9" s="152"/>
      <c r="L9" s="152"/>
      <c r="N9" s="101" t="s">
        <v>374</v>
      </c>
      <c r="O9" s="102"/>
      <c r="P9" s="101"/>
      <c r="Q9" s="99"/>
      <c r="S9"/>
      <c r="U9" s="122">
        <v>2</v>
      </c>
      <c r="V9" s="110" t="s">
        <v>249</v>
      </c>
    </row>
    <row r="10" spans="1:28">
      <c r="A10" s="79">
        <v>8783009</v>
      </c>
      <c r="B10" s="80" t="s">
        <v>103</v>
      </c>
      <c r="C10" s="79">
        <v>84</v>
      </c>
      <c r="D10" s="80">
        <v>89</v>
      </c>
      <c r="E10" s="94">
        <v>91</v>
      </c>
      <c r="F10" s="95"/>
      <c r="G10" s="95">
        <f t="shared" si="0"/>
        <v>264</v>
      </c>
      <c r="H10" s="95"/>
      <c r="I10" s="152"/>
      <c r="J10" s="152"/>
      <c r="K10" s="152"/>
      <c r="L10" s="152"/>
      <c r="U10" s="122">
        <v>3</v>
      </c>
      <c r="V10" s="110" t="s">
        <v>448</v>
      </c>
    </row>
    <row r="11" spans="1:28">
      <c r="A11" s="77">
        <v>8783010</v>
      </c>
      <c r="B11" s="78" t="s">
        <v>104</v>
      </c>
      <c r="C11" s="77">
        <v>77</v>
      </c>
      <c r="D11" s="78">
        <v>84</v>
      </c>
      <c r="E11" s="93">
        <v>89</v>
      </c>
      <c r="F11" s="95"/>
      <c r="G11" s="95">
        <f t="shared" si="0"/>
        <v>250</v>
      </c>
      <c r="H11" s="95"/>
      <c r="I11" s="152"/>
      <c r="J11" s="152"/>
      <c r="K11" s="152"/>
      <c r="L11" s="152"/>
      <c r="N11" s="118" t="s">
        <v>315</v>
      </c>
      <c r="S11" s="3" t="s">
        <v>446</v>
      </c>
      <c r="U11" s="122">
        <v>4</v>
      </c>
      <c r="V11" s="110" t="s">
        <v>255</v>
      </c>
    </row>
    <row r="12" spans="1:28">
      <c r="A12" s="79">
        <v>8783011</v>
      </c>
      <c r="B12" s="80" t="s">
        <v>105</v>
      </c>
      <c r="C12" s="79">
        <v>65</v>
      </c>
      <c r="D12" s="80">
        <v>52</v>
      </c>
      <c r="E12" s="94">
        <v>68</v>
      </c>
      <c r="F12" s="95"/>
      <c r="G12" s="95">
        <f t="shared" si="0"/>
        <v>185</v>
      </c>
      <c r="H12" s="95"/>
      <c r="I12" s="152"/>
      <c r="J12" s="152"/>
      <c r="K12" s="152"/>
      <c r="L12" s="152"/>
      <c r="O12" s="2" t="s">
        <v>46</v>
      </c>
      <c r="P12" s="2" t="s">
        <v>47</v>
      </c>
      <c r="S12" s="300">
        <v>0</v>
      </c>
      <c r="T12" s="299"/>
    </row>
    <row r="13" spans="1:28">
      <c r="A13" s="77">
        <v>8783012</v>
      </c>
      <c r="B13" s="78" t="s">
        <v>106</v>
      </c>
      <c r="C13" s="77">
        <v>72</v>
      </c>
      <c r="D13" s="78">
        <v>68</v>
      </c>
      <c r="E13" s="93">
        <v>84</v>
      </c>
      <c r="F13" s="95"/>
      <c r="G13" s="95">
        <f t="shared" si="0"/>
        <v>224</v>
      </c>
      <c r="H13" s="95"/>
      <c r="I13" s="152"/>
      <c r="J13" s="152"/>
      <c r="K13" s="152"/>
      <c r="L13" s="152"/>
      <c r="N13" s="115" t="s">
        <v>245</v>
      </c>
      <c r="O13" s="116">
        <v>59</v>
      </c>
      <c r="P13" s="153"/>
      <c r="S13" s="300">
        <v>59</v>
      </c>
      <c r="T13" s="299"/>
      <c r="V13" s="295" t="s">
        <v>438</v>
      </c>
    </row>
    <row r="14" spans="1:28">
      <c r="A14" s="79">
        <v>8783013</v>
      </c>
      <c r="B14" s="80" t="s">
        <v>107</v>
      </c>
      <c r="C14" s="79">
        <v>85</v>
      </c>
      <c r="D14" s="80">
        <v>58</v>
      </c>
      <c r="E14" s="94">
        <v>59</v>
      </c>
      <c r="F14" s="95"/>
      <c r="G14" s="95">
        <f t="shared" si="0"/>
        <v>202</v>
      </c>
      <c r="H14" s="95"/>
      <c r="I14" s="152"/>
      <c r="J14" s="152"/>
      <c r="K14" s="152"/>
      <c r="L14" s="152"/>
      <c r="N14" s="115" t="s">
        <v>246</v>
      </c>
      <c r="O14" s="116">
        <v>69</v>
      </c>
      <c r="P14" s="153"/>
      <c r="S14" s="300">
        <v>69</v>
      </c>
      <c r="T14" s="299"/>
      <c r="V14" s="201" t="s">
        <v>379</v>
      </c>
      <c r="W14" s="202" t="s">
        <v>377</v>
      </c>
      <c r="X14" s="202" t="s">
        <v>378</v>
      </c>
    </row>
    <row r="15" spans="1:28">
      <c r="A15" s="77">
        <v>8783014</v>
      </c>
      <c r="B15" s="78" t="s">
        <v>108</v>
      </c>
      <c r="C15" s="77">
        <v>87</v>
      </c>
      <c r="D15" s="78">
        <v>52</v>
      </c>
      <c r="E15" s="93">
        <v>65</v>
      </c>
      <c r="F15" s="95"/>
      <c r="G15" s="95">
        <f t="shared" si="0"/>
        <v>204</v>
      </c>
      <c r="H15" s="95"/>
      <c r="I15" s="152"/>
      <c r="J15" s="152"/>
      <c r="K15" s="152"/>
      <c r="L15" s="152"/>
      <c r="N15" s="115" t="s">
        <v>247</v>
      </c>
      <c r="O15" s="116">
        <v>79</v>
      </c>
      <c r="P15" s="153"/>
      <c r="S15" s="300">
        <v>79</v>
      </c>
      <c r="T15" s="299"/>
      <c r="V15" s="199">
        <v>0</v>
      </c>
      <c r="W15" s="200" t="e">
        <f>_xlfn.PERCENTILE.EXC($G$2:$G$41,V15)</f>
        <v>#NUM!</v>
      </c>
      <c r="X15" s="200">
        <f>_xlfn.PERCENTILE.INC($G$2:$G$41,V15)</f>
        <v>172</v>
      </c>
    </row>
    <row r="16" spans="1:28">
      <c r="A16" s="79">
        <v>8783015</v>
      </c>
      <c r="B16" s="80" t="s">
        <v>109</v>
      </c>
      <c r="C16" s="79">
        <v>91</v>
      </c>
      <c r="D16" s="80">
        <v>66</v>
      </c>
      <c r="E16" s="94">
        <v>66</v>
      </c>
      <c r="F16" s="95"/>
      <c r="G16" s="95">
        <f t="shared" si="0"/>
        <v>223</v>
      </c>
      <c r="H16" s="95"/>
      <c r="I16" s="152"/>
      <c r="J16" s="152"/>
      <c r="K16" s="152"/>
      <c r="L16" s="152"/>
      <c r="N16" s="115" t="s">
        <v>243</v>
      </c>
      <c r="O16" s="116">
        <v>89</v>
      </c>
      <c r="P16" s="153"/>
      <c r="S16" s="300">
        <v>89</v>
      </c>
      <c r="T16" s="299"/>
      <c r="V16" s="199">
        <v>0.1</v>
      </c>
      <c r="W16" s="200">
        <f t="shared" ref="W16:W25" si="1">_xlfn.PERCENTILE.EXC($G$2:$G$41,V16)</f>
        <v>186.2</v>
      </c>
      <c r="X16" s="200">
        <f t="shared" ref="X16:X25" si="2">_xlfn.PERCENTILE.INC($G$2:$G$41,V16)</f>
        <v>187.8</v>
      </c>
    </row>
    <row r="17" spans="1:24">
      <c r="A17" s="77">
        <v>8783016</v>
      </c>
      <c r="B17" s="78" t="s">
        <v>110</v>
      </c>
      <c r="C17" s="77">
        <v>71</v>
      </c>
      <c r="D17" s="78">
        <v>67</v>
      </c>
      <c r="E17" s="93">
        <v>69</v>
      </c>
      <c r="F17" s="95"/>
      <c r="G17" s="95">
        <f t="shared" si="0"/>
        <v>207</v>
      </c>
      <c r="H17" s="95"/>
      <c r="I17" s="152"/>
      <c r="J17" s="152"/>
      <c r="K17" s="152"/>
      <c r="L17" s="152"/>
      <c r="N17" s="115" t="s">
        <v>244</v>
      </c>
      <c r="O17" s="116">
        <v>99</v>
      </c>
      <c r="P17" s="153"/>
      <c r="S17" s="300">
        <v>99</v>
      </c>
      <c r="T17" s="299"/>
      <c r="V17" s="199">
        <v>0.2</v>
      </c>
      <c r="W17" s="200">
        <f t="shared" si="1"/>
        <v>195.60000000000002</v>
      </c>
      <c r="X17" s="200">
        <f t="shared" si="2"/>
        <v>200.4</v>
      </c>
    </row>
    <row r="18" spans="1:24">
      <c r="A18" s="79">
        <v>8783017</v>
      </c>
      <c r="B18" s="80" t="s">
        <v>111</v>
      </c>
      <c r="C18" s="79">
        <v>85</v>
      </c>
      <c r="D18" s="80">
        <v>88</v>
      </c>
      <c r="E18" s="94">
        <v>100</v>
      </c>
      <c r="F18" s="95"/>
      <c r="G18" s="95">
        <f t="shared" si="0"/>
        <v>273</v>
      </c>
      <c r="H18" s="95"/>
      <c r="I18" s="152"/>
      <c r="J18" s="152"/>
      <c r="K18" s="152"/>
      <c r="L18" s="152"/>
      <c r="N18" s="4"/>
      <c r="O18" s="116">
        <v>100</v>
      </c>
      <c r="P18" s="153"/>
      <c r="S18" s="300">
        <v>100</v>
      </c>
      <c r="T18" s="299"/>
      <c r="V18" s="199">
        <v>0.3</v>
      </c>
      <c r="W18" s="200">
        <f t="shared" si="1"/>
        <v>204.9</v>
      </c>
      <c r="X18" s="200">
        <f t="shared" si="2"/>
        <v>206.1</v>
      </c>
    </row>
    <row r="19" spans="1:24">
      <c r="A19" s="77">
        <v>8783018</v>
      </c>
      <c r="B19" s="78" t="s">
        <v>112</v>
      </c>
      <c r="C19" s="77">
        <v>94</v>
      </c>
      <c r="D19" s="78">
        <v>74</v>
      </c>
      <c r="E19" s="93">
        <v>81</v>
      </c>
      <c r="F19" s="95"/>
      <c r="G19" s="95">
        <f t="shared" si="0"/>
        <v>249</v>
      </c>
      <c r="H19" s="95"/>
      <c r="I19" s="152"/>
      <c r="J19" s="152"/>
      <c r="K19" s="152"/>
      <c r="L19" s="152"/>
      <c r="V19" s="199">
        <v>0.4</v>
      </c>
      <c r="W19" s="200">
        <f t="shared" si="1"/>
        <v>215</v>
      </c>
      <c r="X19" s="200">
        <f t="shared" si="2"/>
        <v>215</v>
      </c>
    </row>
    <row r="20" spans="1:24">
      <c r="A20" s="79">
        <v>8783019</v>
      </c>
      <c r="B20" s="80" t="s">
        <v>113</v>
      </c>
      <c r="C20" s="79">
        <v>92</v>
      </c>
      <c r="D20" s="80">
        <v>51</v>
      </c>
      <c r="E20" s="94">
        <v>85</v>
      </c>
      <c r="F20" s="95"/>
      <c r="G20" s="95">
        <f t="shared" si="0"/>
        <v>228</v>
      </c>
      <c r="H20" s="95"/>
      <c r="I20" s="152"/>
      <c r="J20" s="152"/>
      <c r="K20" s="152"/>
      <c r="L20" s="152"/>
      <c r="N20" s="176" t="s">
        <v>330</v>
      </c>
      <c r="S20" s="118"/>
      <c r="V20" s="199">
        <v>0.5</v>
      </c>
      <c r="W20" s="200">
        <f t="shared" si="1"/>
        <v>221.5</v>
      </c>
      <c r="X20" s="200">
        <f t="shared" si="2"/>
        <v>221.5</v>
      </c>
    </row>
    <row r="21" spans="1:24">
      <c r="A21" s="77">
        <v>8883160</v>
      </c>
      <c r="B21" s="78" t="s">
        <v>8</v>
      </c>
      <c r="C21" s="77">
        <v>89</v>
      </c>
      <c r="D21" s="78">
        <v>59</v>
      </c>
      <c r="E21" s="93">
        <v>94</v>
      </c>
      <c r="F21" s="95"/>
      <c r="G21" s="95">
        <f t="shared" si="0"/>
        <v>242</v>
      </c>
      <c r="H21" s="95"/>
      <c r="I21" s="152"/>
      <c r="J21" s="152"/>
      <c r="K21" s="152"/>
      <c r="L21" s="152"/>
      <c r="P21" s="175" t="s">
        <v>332</v>
      </c>
      <c r="Q21" s="177" t="s">
        <v>331</v>
      </c>
      <c r="V21" s="199">
        <v>0.6</v>
      </c>
      <c r="W21" s="200">
        <f t="shared" si="1"/>
        <v>230.39999999999998</v>
      </c>
      <c r="X21" s="200">
        <f t="shared" si="2"/>
        <v>229.6</v>
      </c>
    </row>
    <row r="22" spans="1:24">
      <c r="A22" s="79">
        <v>8883181</v>
      </c>
      <c r="B22" s="80" t="s">
        <v>131</v>
      </c>
      <c r="C22" s="79">
        <v>78</v>
      </c>
      <c r="D22" s="80">
        <v>80</v>
      </c>
      <c r="E22" s="94">
        <v>59</v>
      </c>
      <c r="F22" s="95"/>
      <c r="G22" s="95">
        <f t="shared" si="0"/>
        <v>217</v>
      </c>
      <c r="H22" s="95"/>
      <c r="I22" s="152"/>
      <c r="J22" s="152"/>
      <c r="K22" s="152"/>
      <c r="L22" s="152"/>
      <c r="N22" t="s">
        <v>392</v>
      </c>
      <c r="V22" s="199">
        <v>0.7</v>
      </c>
      <c r="W22" s="200">
        <f t="shared" si="1"/>
        <v>240.5</v>
      </c>
      <c r="X22" s="200">
        <f t="shared" si="2"/>
        <v>238.5</v>
      </c>
    </row>
    <row r="23" spans="1:24">
      <c r="A23" s="77">
        <v>8883217</v>
      </c>
      <c r="B23" s="78" t="s">
        <v>114</v>
      </c>
      <c r="C23" s="77">
        <v>61</v>
      </c>
      <c r="D23" s="78">
        <v>55</v>
      </c>
      <c r="E23" s="93">
        <v>59</v>
      </c>
      <c r="F23" s="95"/>
      <c r="G23" s="95">
        <f t="shared" si="0"/>
        <v>175</v>
      </c>
      <c r="H23" s="95"/>
      <c r="I23" s="152"/>
      <c r="J23" s="152"/>
      <c r="K23" s="152"/>
      <c r="L23" s="152"/>
      <c r="N23" s="3">
        <v>1</v>
      </c>
      <c r="O23" t="s">
        <v>389</v>
      </c>
      <c r="V23" s="199">
        <v>0.8</v>
      </c>
      <c r="W23" s="200">
        <f t="shared" si="1"/>
        <v>248.8</v>
      </c>
      <c r="X23" s="200">
        <f t="shared" si="2"/>
        <v>248.2</v>
      </c>
    </row>
    <row r="24" spans="1:24">
      <c r="A24" s="79">
        <v>8983121</v>
      </c>
      <c r="B24" s="80" t="s">
        <v>115</v>
      </c>
      <c r="C24" s="79">
        <v>58</v>
      </c>
      <c r="D24" s="80">
        <v>59</v>
      </c>
      <c r="E24" s="94">
        <v>55</v>
      </c>
      <c r="F24" s="95"/>
      <c r="G24" s="95">
        <f t="shared" si="0"/>
        <v>172</v>
      </c>
      <c r="H24" s="95"/>
      <c r="I24" s="152"/>
      <c r="J24" s="152"/>
      <c r="K24" s="152"/>
      <c r="L24" s="152"/>
      <c r="N24" s="3">
        <v>2</v>
      </c>
      <c r="O24" t="s">
        <v>390</v>
      </c>
      <c r="V24" s="199">
        <v>0.9</v>
      </c>
      <c r="W24" s="200">
        <f t="shared" si="1"/>
        <v>263.89999999999998</v>
      </c>
      <c r="X24" s="200">
        <f t="shared" si="2"/>
        <v>263.10000000000002</v>
      </c>
    </row>
    <row r="25" spans="1:24">
      <c r="A25" s="77">
        <v>8983122</v>
      </c>
      <c r="B25" s="78" t="s">
        <v>116</v>
      </c>
      <c r="C25" s="77">
        <v>87</v>
      </c>
      <c r="D25" s="78">
        <v>99</v>
      </c>
      <c r="E25" s="93">
        <v>49</v>
      </c>
      <c r="F25" s="95"/>
      <c r="G25" s="95">
        <f t="shared" si="0"/>
        <v>235</v>
      </c>
      <c r="H25" s="95"/>
      <c r="I25" s="152"/>
      <c r="J25" s="152"/>
      <c r="K25" s="152"/>
      <c r="L25" s="152"/>
      <c r="N25" s="3">
        <v>3</v>
      </c>
      <c r="O25" t="s">
        <v>391</v>
      </c>
      <c r="V25" s="199">
        <v>1</v>
      </c>
      <c r="W25" s="200" t="e">
        <f t="shared" si="1"/>
        <v>#NUM!</v>
      </c>
      <c r="X25" s="200">
        <f t="shared" si="2"/>
        <v>277</v>
      </c>
    </row>
    <row r="26" spans="1:24">
      <c r="A26" s="79">
        <v>8983123</v>
      </c>
      <c r="B26" s="80" t="s">
        <v>132</v>
      </c>
      <c r="C26" s="79">
        <v>97</v>
      </c>
      <c r="D26" s="80">
        <v>94</v>
      </c>
      <c r="E26" s="94">
        <v>80</v>
      </c>
      <c r="F26" s="95"/>
      <c r="G26" s="95">
        <f t="shared" si="0"/>
        <v>271</v>
      </c>
      <c r="H26" s="95"/>
      <c r="I26" s="152"/>
      <c r="J26" s="152"/>
      <c r="K26" s="152"/>
      <c r="L26" s="152"/>
      <c r="N26">
        <v>4</v>
      </c>
      <c r="O26" t="s">
        <v>395</v>
      </c>
    </row>
    <row r="27" spans="1:24">
      <c r="A27" s="77">
        <v>8983124</v>
      </c>
      <c r="B27" s="78" t="s">
        <v>117</v>
      </c>
      <c r="C27" s="77">
        <v>73</v>
      </c>
      <c r="D27" s="78">
        <v>74</v>
      </c>
      <c r="E27" s="93">
        <v>98</v>
      </c>
      <c r="F27" s="95"/>
      <c r="G27" s="95">
        <f t="shared" si="0"/>
        <v>245</v>
      </c>
      <c r="H27" s="95"/>
      <c r="I27" s="152"/>
      <c r="J27" s="152"/>
      <c r="K27" s="152"/>
      <c r="L27" s="152"/>
    </row>
    <row r="28" spans="1:24">
      <c r="A28" s="79">
        <v>8983125</v>
      </c>
      <c r="B28" s="80" t="s">
        <v>118</v>
      </c>
      <c r="C28" s="79">
        <v>94</v>
      </c>
      <c r="D28" s="80">
        <v>49</v>
      </c>
      <c r="E28" s="94">
        <v>89</v>
      </c>
      <c r="F28" s="95"/>
      <c r="G28" s="95">
        <f t="shared" si="0"/>
        <v>232</v>
      </c>
      <c r="H28" s="95"/>
      <c r="I28" s="152"/>
      <c r="J28" s="152"/>
      <c r="K28" s="152"/>
      <c r="L28" s="152"/>
    </row>
    <row r="29" spans="1:24">
      <c r="A29" s="77">
        <v>8983126</v>
      </c>
      <c r="B29" s="78" t="s">
        <v>119</v>
      </c>
      <c r="C29" s="77">
        <v>83</v>
      </c>
      <c r="D29" s="78">
        <v>70</v>
      </c>
      <c r="E29" s="93">
        <v>83</v>
      </c>
      <c r="F29" s="95"/>
      <c r="G29" s="95">
        <f t="shared" si="0"/>
        <v>236</v>
      </c>
      <c r="H29" s="95"/>
      <c r="I29" s="152"/>
      <c r="J29" s="152"/>
      <c r="K29" s="152"/>
      <c r="L29" s="152"/>
    </row>
    <row r="30" spans="1:24">
      <c r="A30" s="79">
        <v>8983127</v>
      </c>
      <c r="B30" s="80" t="s">
        <v>120</v>
      </c>
      <c r="C30" s="79">
        <v>52</v>
      </c>
      <c r="D30" s="80">
        <v>86</v>
      </c>
      <c r="E30" s="94">
        <v>72</v>
      </c>
      <c r="F30" s="95"/>
      <c r="G30" s="95">
        <f t="shared" si="0"/>
        <v>210</v>
      </c>
      <c r="H30" s="95"/>
      <c r="I30" s="152"/>
      <c r="J30" s="152"/>
      <c r="K30" s="152"/>
      <c r="L30" s="152"/>
    </row>
    <row r="31" spans="1:24">
      <c r="A31" s="77">
        <v>8983128</v>
      </c>
      <c r="B31" s="78" t="s">
        <v>121</v>
      </c>
      <c r="C31" s="77">
        <v>50</v>
      </c>
      <c r="D31" s="78">
        <v>89</v>
      </c>
      <c r="E31" s="93">
        <v>70</v>
      </c>
      <c r="F31" s="95"/>
      <c r="G31" s="95">
        <f t="shared" si="0"/>
        <v>209</v>
      </c>
      <c r="H31" s="95"/>
      <c r="I31" s="152"/>
      <c r="J31" s="152"/>
      <c r="K31" s="152"/>
      <c r="L31" s="152"/>
    </row>
    <row r="32" spans="1:24">
      <c r="A32" s="79">
        <v>8983130</v>
      </c>
      <c r="B32" s="80" t="s">
        <v>122</v>
      </c>
      <c r="C32" s="79">
        <v>69</v>
      </c>
      <c r="D32" s="80">
        <v>100</v>
      </c>
      <c r="E32" s="94">
        <v>94</v>
      </c>
      <c r="F32" s="95"/>
      <c r="G32" s="95">
        <f t="shared" si="0"/>
        <v>263</v>
      </c>
      <c r="H32" s="95"/>
      <c r="I32" s="152"/>
      <c r="J32" s="152"/>
      <c r="K32" s="152"/>
      <c r="L32" s="152"/>
    </row>
    <row r="33" spans="1:12">
      <c r="A33" s="77">
        <v>8983132</v>
      </c>
      <c r="B33" s="78" t="s">
        <v>123</v>
      </c>
      <c r="C33" s="77">
        <v>81</v>
      </c>
      <c r="D33" s="78">
        <v>85</v>
      </c>
      <c r="E33" s="93">
        <v>71</v>
      </c>
      <c r="F33" s="95"/>
      <c r="G33" s="95">
        <f t="shared" si="0"/>
        <v>237</v>
      </c>
      <c r="H33" s="95"/>
      <c r="I33" s="152"/>
      <c r="J33" s="152"/>
      <c r="K33" s="152"/>
      <c r="L33" s="152"/>
    </row>
    <row r="34" spans="1:12">
      <c r="A34" s="79">
        <v>8983135</v>
      </c>
      <c r="B34" s="80" t="s">
        <v>124</v>
      </c>
      <c r="C34" s="79">
        <v>49</v>
      </c>
      <c r="D34" s="80">
        <v>53</v>
      </c>
      <c r="E34" s="94">
        <v>92</v>
      </c>
      <c r="F34" s="95"/>
      <c r="G34" s="95">
        <f t="shared" si="0"/>
        <v>194</v>
      </c>
      <c r="H34" s="95"/>
      <c r="I34" s="152"/>
      <c r="J34" s="152"/>
      <c r="K34" s="152"/>
      <c r="L34" s="152"/>
    </row>
    <row r="35" spans="1:12">
      <c r="A35" s="77">
        <v>8983136</v>
      </c>
      <c r="B35" s="78" t="s">
        <v>125</v>
      </c>
      <c r="C35" s="77">
        <v>68</v>
      </c>
      <c r="D35" s="78">
        <v>58</v>
      </c>
      <c r="E35" s="93">
        <v>94</v>
      </c>
      <c r="F35" s="95"/>
      <c r="G35" s="95">
        <f t="shared" si="0"/>
        <v>220</v>
      </c>
      <c r="H35" s="95"/>
      <c r="I35" s="152"/>
      <c r="J35" s="152"/>
      <c r="K35" s="152"/>
      <c r="L35" s="152"/>
    </row>
    <row r="36" spans="1:12">
      <c r="A36" s="79">
        <v>8983137</v>
      </c>
      <c r="B36" s="80" t="s">
        <v>126</v>
      </c>
      <c r="C36" s="79">
        <v>97</v>
      </c>
      <c r="D36" s="80">
        <v>77</v>
      </c>
      <c r="E36" s="94">
        <v>74</v>
      </c>
      <c r="F36" s="95"/>
      <c r="G36" s="95">
        <f t="shared" si="0"/>
        <v>248</v>
      </c>
      <c r="H36" s="95"/>
      <c r="I36" s="152"/>
      <c r="J36" s="152"/>
      <c r="K36" s="152"/>
      <c r="L36" s="152"/>
    </row>
    <row r="37" spans="1:12">
      <c r="A37" s="77">
        <v>8983138</v>
      </c>
      <c r="B37" s="78" t="s">
        <v>5</v>
      </c>
      <c r="C37" s="77">
        <v>63</v>
      </c>
      <c r="D37" s="78">
        <v>61</v>
      </c>
      <c r="E37" s="93">
        <v>80</v>
      </c>
      <c r="F37" s="95"/>
      <c r="G37" s="95">
        <f t="shared" si="0"/>
        <v>204</v>
      </c>
      <c r="H37" s="95"/>
      <c r="I37" s="152"/>
      <c r="J37" s="152"/>
      <c r="K37" s="152"/>
      <c r="L37" s="152"/>
    </row>
    <row r="38" spans="1:12">
      <c r="A38" s="79">
        <v>8983140</v>
      </c>
      <c r="B38" s="80" t="s">
        <v>127</v>
      </c>
      <c r="C38" s="79">
        <v>97</v>
      </c>
      <c r="D38" s="80">
        <v>68</v>
      </c>
      <c r="E38" s="94">
        <v>83</v>
      </c>
      <c r="F38" s="95"/>
      <c r="G38" s="95">
        <f t="shared" si="0"/>
        <v>248</v>
      </c>
      <c r="H38" s="95"/>
      <c r="I38" s="152"/>
      <c r="J38" s="152"/>
      <c r="K38" s="152"/>
      <c r="L38" s="152"/>
    </row>
    <row r="39" spans="1:12">
      <c r="A39" s="77">
        <v>8983141</v>
      </c>
      <c r="B39" s="78" t="s">
        <v>128</v>
      </c>
      <c r="C39" s="77">
        <v>49</v>
      </c>
      <c r="D39" s="78">
        <v>69</v>
      </c>
      <c r="E39" s="93">
        <v>68</v>
      </c>
      <c r="F39" s="95"/>
      <c r="G39" s="95">
        <f t="shared" si="0"/>
        <v>186</v>
      </c>
      <c r="H39" s="95"/>
      <c r="I39" s="152"/>
      <c r="J39" s="152"/>
      <c r="K39" s="152"/>
      <c r="L39" s="152"/>
    </row>
    <row r="40" spans="1:12">
      <c r="A40" s="79">
        <v>8983142</v>
      </c>
      <c r="B40" s="80" t="s">
        <v>129</v>
      </c>
      <c r="C40" s="79">
        <v>51</v>
      </c>
      <c r="D40" s="80">
        <v>86</v>
      </c>
      <c r="E40" s="94">
        <v>66</v>
      </c>
      <c r="F40" s="95"/>
      <c r="G40" s="95">
        <f t="shared" si="0"/>
        <v>203</v>
      </c>
      <c r="H40" s="95"/>
      <c r="I40" s="152"/>
      <c r="J40" s="152"/>
      <c r="K40" s="152"/>
      <c r="L40" s="152"/>
    </row>
    <row r="41" spans="1:12">
      <c r="A41" s="77">
        <v>8983143</v>
      </c>
      <c r="B41" s="78" t="s">
        <v>9</v>
      </c>
      <c r="C41" s="77">
        <v>93</v>
      </c>
      <c r="D41" s="78">
        <v>56</v>
      </c>
      <c r="E41" s="93">
        <v>66</v>
      </c>
      <c r="F41" s="95"/>
      <c r="G41" s="95">
        <f t="shared" si="0"/>
        <v>215</v>
      </c>
      <c r="H41" s="95"/>
      <c r="I41" s="152"/>
      <c r="J41" s="152"/>
      <c r="K41" s="152"/>
      <c r="L41" s="152"/>
    </row>
  </sheetData>
  <mergeCells count="1">
    <mergeCell ref="N2:P2"/>
  </mergeCells>
  <phoneticPr fontId="3" type="noConversion"/>
  <conditionalFormatting sqref="G2:G41">
    <cfRule type="top10" dxfId="7" priority="5" bottom="1" rank="1"/>
    <cfRule type="top10" dxfId="6" priority="6" rank="1"/>
  </conditionalFormatting>
  <conditionalFormatting sqref="I2:I41">
    <cfRule type="top10" dxfId="5" priority="3" bottom="1" rank="1"/>
    <cfRule type="top10" dxfId="4" priority="4" rank="1"/>
  </conditionalFormatting>
  <conditionalFormatting sqref="J2:J41">
    <cfRule type="top10" dxfId="3" priority="1" bottom="1" rank="1"/>
    <cfRule type="top10" dxfId="2" priority="2" rank="1"/>
  </conditionalFormatting>
  <pageMargins left="0.75" right="0.75" top="1" bottom="1" header="0.5" footer="0.5"/>
  <pageSetup paperSize="9" orientation="portrait" horizontalDpi="360" verticalDpi="36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M22"/>
  <sheetViews>
    <sheetView showGridLines="0" workbookViewId="0">
      <selection activeCell="O25" sqref="O25"/>
    </sheetView>
  </sheetViews>
  <sheetFormatPr defaultColWidth="9" defaultRowHeight="16.2"/>
  <cols>
    <col min="1" max="1" width="10.44140625" style="1" customWidth="1"/>
    <col min="2" max="2" width="13.109375" style="1" customWidth="1"/>
    <col min="3" max="3" width="14.44140625" style="1" customWidth="1"/>
    <col min="4" max="4" width="17.33203125" customWidth="1"/>
    <col min="5" max="5" width="11.33203125" style="1" customWidth="1"/>
    <col min="6" max="6" width="3.77734375" style="1" customWidth="1"/>
    <col min="7" max="16384" width="9" style="1"/>
  </cols>
  <sheetData>
    <row r="1" spans="1:13">
      <c r="A1" s="312" t="s">
        <v>3</v>
      </c>
      <c r="B1" s="313"/>
      <c r="C1" s="313"/>
    </row>
    <row r="2" spans="1:13" ht="19.8">
      <c r="A2" s="22" t="s">
        <v>158</v>
      </c>
      <c r="B2" s="22" t="s">
        <v>0</v>
      </c>
      <c r="C2" s="22" t="s">
        <v>1</v>
      </c>
      <c r="D2" s="297" t="s">
        <v>445</v>
      </c>
      <c r="F2" s="188" t="s">
        <v>346</v>
      </c>
    </row>
    <row r="3" spans="1:13" ht="18">
      <c r="A3" s="26" t="s">
        <v>393</v>
      </c>
      <c r="B3" s="23">
        <v>200</v>
      </c>
      <c r="C3" s="24">
        <v>40</v>
      </c>
      <c r="G3" s="174" t="s">
        <v>329</v>
      </c>
    </row>
    <row r="4" spans="1:13" ht="19.2">
      <c r="A4" s="26" t="s">
        <v>115</v>
      </c>
      <c r="B4" s="23">
        <v>700</v>
      </c>
      <c r="C4" s="24">
        <v>140</v>
      </c>
      <c r="G4" s="169" t="s">
        <v>322</v>
      </c>
    </row>
    <row r="5" spans="1:13" ht="19.2">
      <c r="A5" s="26" t="s">
        <v>116</v>
      </c>
      <c r="B5" s="23">
        <v>1000</v>
      </c>
      <c r="C5" s="24">
        <v>200</v>
      </c>
      <c r="G5" s="170" t="s">
        <v>327</v>
      </c>
    </row>
    <row r="6" spans="1:13">
      <c r="A6" s="26" t="s">
        <v>132</v>
      </c>
      <c r="B6" s="23">
        <v>900</v>
      </c>
      <c r="C6" s="24">
        <v>180</v>
      </c>
      <c r="G6" s="173" t="s">
        <v>326</v>
      </c>
    </row>
    <row r="7" spans="1:13">
      <c r="A7" s="26" t="s">
        <v>117</v>
      </c>
      <c r="B7" s="23">
        <v>400</v>
      </c>
      <c r="C7" s="24">
        <v>80</v>
      </c>
    </row>
    <row r="8" spans="1:13" ht="19.2">
      <c r="A8" s="26" t="s">
        <v>157</v>
      </c>
      <c r="B8" s="23">
        <v>600</v>
      </c>
      <c r="C8" s="24">
        <v>120</v>
      </c>
      <c r="G8" s="171" t="s">
        <v>328</v>
      </c>
    </row>
    <row r="9" spans="1:13" customFormat="1" ht="19.2">
      <c r="A9" s="26" t="s">
        <v>119</v>
      </c>
      <c r="B9" s="23">
        <v>700</v>
      </c>
      <c r="C9" s="24">
        <v>120</v>
      </c>
      <c r="G9" s="172" t="s">
        <v>323</v>
      </c>
      <c r="H9" s="1"/>
      <c r="I9" s="1"/>
      <c r="J9" s="195" t="s">
        <v>364</v>
      </c>
      <c r="K9" s="1"/>
      <c r="L9" s="1"/>
      <c r="M9" s="1"/>
    </row>
    <row r="10" spans="1:13" customFormat="1" ht="19.2">
      <c r="A10" s="26" t="s">
        <v>120</v>
      </c>
      <c r="B10" s="23">
        <v>300</v>
      </c>
      <c r="C10" s="24">
        <v>60</v>
      </c>
      <c r="G10" s="172" t="s">
        <v>324</v>
      </c>
      <c r="J10" s="170" t="s">
        <v>362</v>
      </c>
    </row>
    <row r="11" spans="1:13" ht="19.2">
      <c r="A11" s="26" t="s">
        <v>121</v>
      </c>
      <c r="B11" s="23">
        <v>1200</v>
      </c>
      <c r="C11" s="24">
        <v>500</v>
      </c>
      <c r="G11" s="172" t="s">
        <v>325</v>
      </c>
      <c r="H11" s="172"/>
      <c r="I11" s="172"/>
      <c r="J11" s="195" t="s">
        <v>363</v>
      </c>
      <c r="K11"/>
      <c r="L11"/>
      <c r="M11"/>
    </row>
    <row r="12" spans="1:13">
      <c r="A12" s="26" t="s">
        <v>122</v>
      </c>
      <c r="B12" s="23">
        <v>600</v>
      </c>
      <c r="C12" s="24">
        <v>140</v>
      </c>
    </row>
    <row r="13" spans="1:13">
      <c r="A13" s="26" t="s">
        <v>114</v>
      </c>
      <c r="B13" s="25">
        <v>700</v>
      </c>
      <c r="C13" s="24">
        <v>300</v>
      </c>
      <c r="G13" s="197" t="s">
        <v>365</v>
      </c>
    </row>
    <row r="14" spans="1:13">
      <c r="G14" s="1" t="s">
        <v>366</v>
      </c>
      <c r="I14" s="196" t="s">
        <v>368</v>
      </c>
    </row>
    <row r="15" spans="1:13">
      <c r="G15" s="1" t="s">
        <v>367</v>
      </c>
      <c r="I15" s="196" t="s">
        <v>369</v>
      </c>
    </row>
    <row r="16" spans="1:13">
      <c r="A16" s="27" t="s">
        <v>4</v>
      </c>
      <c r="B16" s="28"/>
      <c r="C16" s="29"/>
      <c r="E16" s="48"/>
    </row>
    <row r="17" spans="1:13">
      <c r="A17" s="30" t="s">
        <v>159</v>
      </c>
      <c r="B17" s="31"/>
      <c r="C17" s="32"/>
      <c r="E17" s="48"/>
      <c r="G17" s="203" t="s">
        <v>380</v>
      </c>
      <c r="H17" s="196" t="s">
        <v>385</v>
      </c>
      <c r="L17" s="205"/>
    </row>
    <row r="18" spans="1:13">
      <c r="A18" s="27" t="s">
        <v>160</v>
      </c>
      <c r="B18" s="27"/>
      <c r="C18" s="27"/>
      <c r="D18" s="27"/>
      <c r="E18" s="48"/>
    </row>
    <row r="19" spans="1:13">
      <c r="G19" s="197" t="s">
        <v>384</v>
      </c>
    </row>
    <row r="20" spans="1:13">
      <c r="G20" s="173" t="s">
        <v>386</v>
      </c>
      <c r="I20" s="1" t="s">
        <v>387</v>
      </c>
      <c r="L20" s="204" t="s">
        <v>394</v>
      </c>
    </row>
    <row r="21" spans="1:13">
      <c r="G21" s="173" t="s">
        <v>381</v>
      </c>
      <c r="I21" s="1" t="s">
        <v>383</v>
      </c>
      <c r="M21" s="310" t="s">
        <v>469</v>
      </c>
    </row>
    <row r="22" spans="1:13">
      <c r="G22" s="173" t="s">
        <v>382</v>
      </c>
      <c r="I22" s="1" t="s">
        <v>388</v>
      </c>
    </row>
  </sheetData>
  <mergeCells count="1">
    <mergeCell ref="A1:C1"/>
  </mergeCells>
  <phoneticPr fontId="3" type="noConversion"/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/>
  <dimension ref="A1:N101"/>
  <sheetViews>
    <sheetView showGridLines="0" topLeftCell="A7" workbookViewId="0">
      <selection activeCell="I11" sqref="I11"/>
    </sheetView>
  </sheetViews>
  <sheetFormatPr defaultColWidth="18.88671875" defaultRowHeight="16.2"/>
  <cols>
    <col min="1" max="1" width="10.6640625" style="50" bestFit="1" customWidth="1"/>
    <col min="2" max="2" width="10.77734375" style="49" bestFit="1" customWidth="1"/>
    <col min="3" max="3" width="10.44140625" style="49" bestFit="1" customWidth="1"/>
    <col min="4" max="5" width="8.44140625" style="49" bestFit="1" customWidth="1"/>
    <col min="6" max="6" width="10.77734375" style="49" bestFit="1" customWidth="1"/>
    <col min="7" max="7" width="8.44140625" style="49" bestFit="1" customWidth="1"/>
    <col min="8" max="9" width="11.109375" style="49" customWidth="1"/>
    <col min="10" max="13" width="10.109375" style="49" customWidth="1"/>
    <col min="14" max="16384" width="18.88671875" style="49"/>
  </cols>
  <sheetData>
    <row r="1" spans="1:14" ht="19.8">
      <c r="A1" s="51" t="s">
        <v>147</v>
      </c>
      <c r="B1" s="52" t="s">
        <v>148</v>
      </c>
      <c r="C1" s="52" t="s">
        <v>175</v>
      </c>
      <c r="D1" s="52" t="s">
        <v>174</v>
      </c>
      <c r="E1" s="52" t="s">
        <v>149</v>
      </c>
      <c r="F1" s="52" t="s">
        <v>150</v>
      </c>
      <c r="G1" s="53" t="s">
        <v>173</v>
      </c>
      <c r="I1" s="188" t="s">
        <v>346</v>
      </c>
    </row>
    <row r="2" spans="1:14">
      <c r="A2" s="54">
        <v>39083</v>
      </c>
      <c r="B2" s="55" t="s">
        <v>181</v>
      </c>
      <c r="C2" s="55" t="s">
        <v>168</v>
      </c>
      <c r="D2" s="55" t="s">
        <v>164</v>
      </c>
      <c r="E2" s="55">
        <v>276</v>
      </c>
      <c r="F2" s="55">
        <v>15</v>
      </c>
      <c r="G2" s="56">
        <v>4140</v>
      </c>
      <c r="I2" s="162" t="s">
        <v>300</v>
      </c>
      <c r="J2" s="49" t="s">
        <v>450</v>
      </c>
    </row>
    <row r="3" spans="1:14">
      <c r="A3" s="57">
        <v>39088</v>
      </c>
      <c r="B3" s="58" t="s">
        <v>181</v>
      </c>
      <c r="C3" s="58" t="s">
        <v>168</v>
      </c>
      <c r="D3" s="58" t="s">
        <v>166</v>
      </c>
      <c r="E3" s="58">
        <v>276</v>
      </c>
      <c r="F3" s="58">
        <v>37</v>
      </c>
      <c r="G3" s="59">
        <v>10212</v>
      </c>
      <c r="I3" s="162" t="s">
        <v>300</v>
      </c>
      <c r="J3" s="49" t="s">
        <v>265</v>
      </c>
    </row>
    <row r="4" spans="1:14">
      <c r="A4" s="54">
        <v>39089</v>
      </c>
      <c r="B4" s="55" t="s">
        <v>182</v>
      </c>
      <c r="C4" s="55" t="s">
        <v>162</v>
      </c>
      <c r="D4" s="55" t="s">
        <v>161</v>
      </c>
      <c r="E4" s="55">
        <v>288</v>
      </c>
      <c r="F4" s="55">
        <v>7</v>
      </c>
      <c r="G4" s="56">
        <v>2016</v>
      </c>
      <c r="I4" s="162" t="s">
        <v>300</v>
      </c>
      <c r="J4" s="49" t="s">
        <v>172</v>
      </c>
    </row>
    <row r="5" spans="1:14">
      <c r="A5" s="57">
        <v>39091</v>
      </c>
      <c r="B5" s="58" t="s">
        <v>183</v>
      </c>
      <c r="C5" s="58" t="s">
        <v>165</v>
      </c>
      <c r="D5" s="58" t="s">
        <v>169</v>
      </c>
      <c r="E5" s="58">
        <v>209</v>
      </c>
      <c r="F5" s="58">
        <v>21</v>
      </c>
      <c r="G5" s="59">
        <v>4389</v>
      </c>
      <c r="I5" s="162" t="s">
        <v>300</v>
      </c>
      <c r="J5" s="49" t="s">
        <v>171</v>
      </c>
    </row>
    <row r="6" spans="1:14">
      <c r="A6" s="54">
        <v>39093</v>
      </c>
      <c r="B6" s="55" t="s">
        <v>184</v>
      </c>
      <c r="C6" s="55" t="s">
        <v>168</v>
      </c>
      <c r="D6" s="55" t="s">
        <v>164</v>
      </c>
      <c r="E6" s="55">
        <v>276</v>
      </c>
      <c r="F6" s="55">
        <v>11</v>
      </c>
      <c r="G6" s="56">
        <v>3036</v>
      </c>
      <c r="I6" s="162" t="s">
        <v>300</v>
      </c>
      <c r="J6" s="49" t="s">
        <v>176</v>
      </c>
    </row>
    <row r="7" spans="1:14">
      <c r="A7" s="57">
        <v>39093</v>
      </c>
      <c r="B7" s="58" t="s">
        <v>185</v>
      </c>
      <c r="C7" s="58" t="s">
        <v>162</v>
      </c>
      <c r="D7" s="58" t="s">
        <v>169</v>
      </c>
      <c r="E7" s="58">
        <v>288</v>
      </c>
      <c r="F7" s="58">
        <v>14</v>
      </c>
      <c r="G7" s="59">
        <v>4032</v>
      </c>
      <c r="I7" s="162" t="s">
        <v>300</v>
      </c>
      <c r="J7" s="49" t="s">
        <v>177</v>
      </c>
    </row>
    <row r="8" spans="1:14">
      <c r="A8" s="54">
        <v>39096</v>
      </c>
      <c r="B8" s="55" t="s">
        <v>184</v>
      </c>
      <c r="C8" s="55" t="s">
        <v>168</v>
      </c>
      <c r="D8" s="55" t="s">
        <v>163</v>
      </c>
      <c r="E8" s="55">
        <v>276</v>
      </c>
      <c r="F8" s="55">
        <v>35</v>
      </c>
      <c r="G8" s="56">
        <v>9660</v>
      </c>
      <c r="I8" s="162"/>
      <c r="N8" s="161" t="s">
        <v>370</v>
      </c>
    </row>
    <row r="9" spans="1:14">
      <c r="A9" s="57">
        <v>39099</v>
      </c>
      <c r="B9" s="58" t="s">
        <v>184</v>
      </c>
      <c r="C9" s="58" t="s">
        <v>162</v>
      </c>
      <c r="D9" s="58" t="s">
        <v>166</v>
      </c>
      <c r="E9" s="58">
        <v>288</v>
      </c>
      <c r="F9" s="58">
        <v>14</v>
      </c>
      <c r="G9" s="59">
        <v>4032</v>
      </c>
      <c r="I9" s="207">
        <f>SUMIFS(小計,B2:B101,"郭泓志")</f>
        <v>99588</v>
      </c>
      <c r="J9" s="49" t="s">
        <v>178</v>
      </c>
      <c r="L9" s="49" t="str">
        <f ca="1">_xlfn.FORMULATEXT(I9)</f>
        <v>=SUMIFS(小計,B2:B101,"郭泓志")</v>
      </c>
    </row>
    <row r="10" spans="1:14">
      <c r="A10" s="54">
        <v>39100</v>
      </c>
      <c r="B10" s="55" t="s">
        <v>183</v>
      </c>
      <c r="C10" s="55" t="s">
        <v>165</v>
      </c>
      <c r="D10" s="55" t="s">
        <v>166</v>
      </c>
      <c r="E10" s="55">
        <v>209</v>
      </c>
      <c r="F10" s="55">
        <v>18</v>
      </c>
      <c r="G10" s="56">
        <v>3762</v>
      </c>
      <c r="I10" s="207">
        <f>SUMIFS(小計,B2:B101,B5)</f>
        <v>99588</v>
      </c>
      <c r="K10" s="162" t="s">
        <v>319</v>
      </c>
      <c r="L10" s="198" t="str">
        <f ca="1">_xlfn.FORMULATEXT(I10)</f>
        <v>=SUMIFS(小計,B2:B101,B5)</v>
      </c>
    </row>
    <row r="11" spans="1:14">
      <c r="A11" s="57">
        <v>39101</v>
      </c>
      <c r="B11" s="58" t="s">
        <v>186</v>
      </c>
      <c r="C11" s="58" t="s">
        <v>162</v>
      </c>
      <c r="D11" s="58" t="s">
        <v>169</v>
      </c>
      <c r="E11" s="58">
        <v>288</v>
      </c>
      <c r="F11" s="58">
        <v>33</v>
      </c>
      <c r="G11" s="59">
        <v>9504</v>
      </c>
      <c r="I11" s="207">
        <f>SUMIFS(銷售量,產品,"國語歌曲",地區,"高雄")</f>
        <v>161</v>
      </c>
      <c r="J11" s="49" t="s">
        <v>179</v>
      </c>
      <c r="M11" s="63">
        <f>SUMPRODUCT((C2:C101="國語歌曲")*(D2:D101="高雄")*F2:F101)</f>
        <v>161</v>
      </c>
      <c r="N11" s="63"/>
    </row>
    <row r="12" spans="1:14">
      <c r="A12" s="54">
        <v>39104</v>
      </c>
      <c r="B12" s="55" t="s">
        <v>186</v>
      </c>
      <c r="C12" s="55" t="s">
        <v>162</v>
      </c>
      <c r="D12" s="55" t="s">
        <v>169</v>
      </c>
      <c r="E12" s="55">
        <v>288</v>
      </c>
      <c r="F12" s="55">
        <v>16</v>
      </c>
      <c r="G12" s="56">
        <v>4608</v>
      </c>
      <c r="I12" s="207"/>
      <c r="J12" s="49" t="s">
        <v>180</v>
      </c>
    </row>
    <row r="13" spans="1:14">
      <c r="A13" s="57">
        <v>39105</v>
      </c>
      <c r="B13" s="58" t="s">
        <v>184</v>
      </c>
      <c r="C13" s="58" t="s">
        <v>167</v>
      </c>
      <c r="D13" s="58" t="s">
        <v>161</v>
      </c>
      <c r="E13" s="58">
        <v>305</v>
      </c>
      <c r="F13" s="58">
        <v>37</v>
      </c>
      <c r="G13" s="59">
        <v>11285</v>
      </c>
    </row>
    <row r="14" spans="1:14">
      <c r="A14" s="54">
        <v>39107</v>
      </c>
      <c r="B14" s="55" t="s">
        <v>184</v>
      </c>
      <c r="C14" s="55" t="s">
        <v>165</v>
      </c>
      <c r="D14" s="55" t="s">
        <v>163</v>
      </c>
      <c r="E14" s="55">
        <v>209</v>
      </c>
      <c r="F14" s="55">
        <v>4</v>
      </c>
      <c r="G14" s="56">
        <v>836</v>
      </c>
      <c r="I14" s="206" t="s">
        <v>396</v>
      </c>
    </row>
    <row r="15" spans="1:14">
      <c r="A15" s="57">
        <v>39119</v>
      </c>
      <c r="B15" s="58" t="s">
        <v>183</v>
      </c>
      <c r="C15" s="58" t="s">
        <v>168</v>
      </c>
      <c r="D15" s="58" t="s">
        <v>166</v>
      </c>
      <c r="E15" s="58">
        <v>276</v>
      </c>
      <c r="F15" s="58">
        <v>15</v>
      </c>
      <c r="G15" s="59">
        <v>4140</v>
      </c>
      <c r="I15" s="49">
        <f>SUMIFS(小計,B2:B101,"郭泓志")</f>
        <v>99588</v>
      </c>
      <c r="J15" s="49" t="str">
        <f ca="1">_xlfn.FORMULATEXT(I15)</f>
        <v>=SUMIFS(小計,B2:B101,"郭泓志")</v>
      </c>
    </row>
    <row r="16" spans="1:14">
      <c r="A16" s="54">
        <v>39123</v>
      </c>
      <c r="B16" s="55" t="s">
        <v>183</v>
      </c>
      <c r="C16" s="55" t="s">
        <v>162</v>
      </c>
      <c r="D16" s="55" t="s">
        <v>161</v>
      </c>
      <c r="E16" s="55">
        <v>288</v>
      </c>
      <c r="F16" s="55">
        <v>4</v>
      </c>
      <c r="G16" s="56">
        <v>1152</v>
      </c>
      <c r="I16" s="49" cm="1">
        <f t="array" ref="I16">SUMPRODUCT((B2:B101="郭泓志")*G2:G101)</f>
        <v>99588</v>
      </c>
      <c r="J16" s="49" t="str">
        <f ca="1">_xlfn.FORMULATEXT(I16)</f>
        <v>=SUMPRODUCT((B2:B101="郭泓志")*G2:G101)</v>
      </c>
    </row>
    <row r="17" spans="1:13">
      <c r="A17" s="57">
        <v>39126</v>
      </c>
      <c r="B17" s="58" t="s">
        <v>185</v>
      </c>
      <c r="C17" s="58" t="s">
        <v>165</v>
      </c>
      <c r="D17" s="58" t="s">
        <v>169</v>
      </c>
      <c r="E17" s="58">
        <v>209</v>
      </c>
      <c r="F17" s="58">
        <v>18</v>
      </c>
      <c r="G17" s="59">
        <v>3762</v>
      </c>
      <c r="I17" s="49">
        <f t="array" ref="I17">SUM(IF(B2:B101="郭泓志",G2:G101,0))</f>
        <v>99588</v>
      </c>
      <c r="J17" s="49" t="str">
        <f ca="1">_xlfn.FORMULATEXT(I17)</f>
        <v>{=SUM(IF(B2:B101="郭泓志",G2:G101,0))}</v>
      </c>
    </row>
    <row r="18" spans="1:13">
      <c r="A18" s="54">
        <v>39131</v>
      </c>
      <c r="B18" s="55" t="s">
        <v>185</v>
      </c>
      <c r="C18" s="55" t="s">
        <v>162</v>
      </c>
      <c r="D18" s="55" t="s">
        <v>163</v>
      </c>
      <c r="E18" s="55">
        <v>288</v>
      </c>
      <c r="F18" s="55">
        <v>33</v>
      </c>
      <c r="G18" s="56">
        <v>9504</v>
      </c>
      <c r="K18" s="63">
        <f>SUMPRODUCT((B2:B101="郭泓志")*(C2:C101="國語歌曲")*(D2:D101="高雄")*G2:G101)</f>
        <v>12972</v>
      </c>
    </row>
    <row r="19" spans="1:13">
      <c r="A19" s="57">
        <v>39139</v>
      </c>
      <c r="B19" s="58" t="s">
        <v>185</v>
      </c>
      <c r="C19" s="58" t="s">
        <v>162</v>
      </c>
      <c r="D19" s="58" t="s">
        <v>164</v>
      </c>
      <c r="E19" s="58">
        <v>288</v>
      </c>
      <c r="F19" s="58">
        <v>21</v>
      </c>
      <c r="G19" s="59">
        <v>6048</v>
      </c>
    </row>
    <row r="20" spans="1:13">
      <c r="A20" s="54">
        <v>39139</v>
      </c>
      <c r="B20" s="55" t="s">
        <v>183</v>
      </c>
      <c r="C20" s="55" t="s">
        <v>168</v>
      </c>
      <c r="D20" s="55" t="s">
        <v>163</v>
      </c>
      <c r="E20" s="55">
        <v>276</v>
      </c>
      <c r="F20" s="55">
        <v>32</v>
      </c>
      <c r="G20" s="56">
        <v>8832</v>
      </c>
      <c r="I20" s="163" t="s">
        <v>148</v>
      </c>
      <c r="J20" s="164" t="s">
        <v>320</v>
      </c>
    </row>
    <row r="21" spans="1:13">
      <c r="A21" s="57">
        <v>39140</v>
      </c>
      <c r="B21" s="58" t="s">
        <v>185</v>
      </c>
      <c r="C21" s="58" t="s">
        <v>167</v>
      </c>
      <c r="D21" s="58" t="s">
        <v>161</v>
      </c>
      <c r="E21" s="58">
        <v>305</v>
      </c>
      <c r="F21" s="58">
        <v>9</v>
      </c>
      <c r="G21" s="59">
        <v>2745</v>
      </c>
      <c r="I21" s="165" t="s">
        <v>151</v>
      </c>
      <c r="J21" s="164"/>
    </row>
    <row r="22" spans="1:13">
      <c r="A22" s="54">
        <v>39141</v>
      </c>
      <c r="B22" s="55" t="s">
        <v>185</v>
      </c>
      <c r="C22" s="55" t="s">
        <v>162</v>
      </c>
      <c r="D22" s="55" t="s">
        <v>170</v>
      </c>
      <c r="E22" s="55">
        <v>288</v>
      </c>
      <c r="F22" s="55">
        <v>34</v>
      </c>
      <c r="G22" s="56">
        <v>9792</v>
      </c>
      <c r="I22" s="165" t="s">
        <v>152</v>
      </c>
      <c r="J22" s="164"/>
    </row>
    <row r="23" spans="1:13">
      <c r="A23" s="57">
        <v>39144</v>
      </c>
      <c r="B23" s="58" t="s">
        <v>184</v>
      </c>
      <c r="C23" s="58" t="s">
        <v>168</v>
      </c>
      <c r="D23" s="58" t="s">
        <v>164</v>
      </c>
      <c r="E23" s="58">
        <v>276</v>
      </c>
      <c r="F23" s="58">
        <v>25</v>
      </c>
      <c r="G23" s="59">
        <v>6900</v>
      </c>
      <c r="I23" s="165" t="s">
        <v>153</v>
      </c>
      <c r="J23" s="164"/>
    </row>
    <row r="24" spans="1:13">
      <c r="A24" s="54">
        <v>39158</v>
      </c>
      <c r="B24" s="55" t="s">
        <v>184</v>
      </c>
      <c r="C24" s="55" t="s">
        <v>167</v>
      </c>
      <c r="D24" s="55" t="s">
        <v>164</v>
      </c>
      <c r="E24" s="55">
        <v>305</v>
      </c>
      <c r="F24" s="55">
        <v>16</v>
      </c>
      <c r="G24" s="56">
        <v>4880</v>
      </c>
      <c r="I24" s="165" t="s">
        <v>186</v>
      </c>
      <c r="J24" s="164"/>
    </row>
    <row r="25" spans="1:13">
      <c r="A25" s="57">
        <v>39163</v>
      </c>
      <c r="B25" s="58" t="s">
        <v>184</v>
      </c>
      <c r="C25" s="58" t="s">
        <v>162</v>
      </c>
      <c r="D25" s="58" t="s">
        <v>169</v>
      </c>
      <c r="E25" s="58">
        <v>288</v>
      </c>
      <c r="F25" s="58">
        <v>11</v>
      </c>
      <c r="G25" s="59">
        <v>3168</v>
      </c>
    </row>
    <row r="26" spans="1:13">
      <c r="A26" s="54">
        <v>39165</v>
      </c>
      <c r="B26" s="55" t="s">
        <v>184</v>
      </c>
      <c r="C26" s="55" t="s">
        <v>168</v>
      </c>
      <c r="D26" s="55" t="s">
        <v>164</v>
      </c>
      <c r="E26" s="55">
        <v>276</v>
      </c>
      <c r="F26" s="55">
        <v>13</v>
      </c>
      <c r="G26" s="56">
        <v>3588</v>
      </c>
    </row>
    <row r="27" spans="1:13">
      <c r="A27" s="57">
        <v>39172</v>
      </c>
      <c r="B27" s="58" t="s">
        <v>186</v>
      </c>
      <c r="C27" s="58" t="s">
        <v>162</v>
      </c>
      <c r="D27" s="58" t="s">
        <v>161</v>
      </c>
      <c r="E27" s="58">
        <v>288</v>
      </c>
      <c r="F27" s="58">
        <v>34</v>
      </c>
      <c r="G27" s="59">
        <v>9792</v>
      </c>
      <c r="I27" s="168" t="s">
        <v>321</v>
      </c>
      <c r="J27" s="166" t="s">
        <v>164</v>
      </c>
      <c r="K27" s="166" t="s">
        <v>166</v>
      </c>
      <c r="L27" s="166" t="s">
        <v>169</v>
      </c>
      <c r="M27" s="166" t="s">
        <v>164</v>
      </c>
    </row>
    <row r="28" spans="1:13">
      <c r="A28" s="54">
        <v>39175</v>
      </c>
      <c r="B28" s="55" t="s">
        <v>186</v>
      </c>
      <c r="C28" s="55" t="s">
        <v>165</v>
      </c>
      <c r="D28" s="55" t="s">
        <v>170</v>
      </c>
      <c r="E28" s="55">
        <v>209</v>
      </c>
      <c r="F28" s="55">
        <v>22</v>
      </c>
      <c r="G28" s="56">
        <v>4598</v>
      </c>
      <c r="I28" s="167" t="s">
        <v>151</v>
      </c>
      <c r="J28" s="178"/>
      <c r="K28" s="178"/>
      <c r="L28" s="178"/>
      <c r="M28" s="178"/>
    </row>
    <row r="29" spans="1:13">
      <c r="A29" s="57">
        <v>39178</v>
      </c>
      <c r="B29" s="58" t="s">
        <v>184</v>
      </c>
      <c r="C29" s="58" t="s">
        <v>162</v>
      </c>
      <c r="D29" s="58" t="s">
        <v>166</v>
      </c>
      <c r="E29" s="58">
        <v>288</v>
      </c>
      <c r="F29" s="58">
        <v>37</v>
      </c>
      <c r="G29" s="59">
        <v>10656</v>
      </c>
      <c r="I29" s="167" t="s">
        <v>152</v>
      </c>
      <c r="J29" s="178"/>
      <c r="K29" s="178"/>
      <c r="L29" s="178"/>
      <c r="M29" s="178"/>
    </row>
    <row r="30" spans="1:13">
      <c r="A30" s="54">
        <v>39181</v>
      </c>
      <c r="B30" s="55" t="s">
        <v>184</v>
      </c>
      <c r="C30" s="55" t="s">
        <v>165</v>
      </c>
      <c r="D30" s="55" t="s">
        <v>170</v>
      </c>
      <c r="E30" s="55">
        <v>209</v>
      </c>
      <c r="F30" s="55">
        <v>31</v>
      </c>
      <c r="G30" s="56">
        <v>6479</v>
      </c>
      <c r="I30" s="167" t="s">
        <v>153</v>
      </c>
      <c r="J30" s="178"/>
      <c r="K30" s="178"/>
      <c r="L30" s="178"/>
      <c r="M30" s="178"/>
    </row>
    <row r="31" spans="1:13">
      <c r="A31" s="57">
        <v>39188</v>
      </c>
      <c r="B31" s="58" t="s">
        <v>185</v>
      </c>
      <c r="C31" s="58" t="s">
        <v>168</v>
      </c>
      <c r="D31" s="58" t="s">
        <v>166</v>
      </c>
      <c r="E31" s="58">
        <v>276</v>
      </c>
      <c r="F31" s="58">
        <v>14</v>
      </c>
      <c r="G31" s="59">
        <v>3864</v>
      </c>
      <c r="I31" s="167" t="s">
        <v>186</v>
      </c>
      <c r="J31" s="178"/>
      <c r="K31" s="178"/>
      <c r="L31" s="178"/>
      <c r="M31" s="178"/>
    </row>
    <row r="32" spans="1:13">
      <c r="A32" s="54">
        <v>39190</v>
      </c>
      <c r="B32" s="55" t="s">
        <v>183</v>
      </c>
      <c r="C32" s="55" t="s">
        <v>162</v>
      </c>
      <c r="D32" s="55" t="s">
        <v>161</v>
      </c>
      <c r="E32" s="55">
        <v>288</v>
      </c>
      <c r="F32" s="55">
        <v>16</v>
      </c>
      <c r="G32" s="56">
        <v>4608</v>
      </c>
    </row>
    <row r="33" spans="1:7">
      <c r="A33" s="57">
        <v>39195</v>
      </c>
      <c r="B33" s="58" t="s">
        <v>186</v>
      </c>
      <c r="C33" s="58" t="s">
        <v>168</v>
      </c>
      <c r="D33" s="58" t="s">
        <v>161</v>
      </c>
      <c r="E33" s="58">
        <v>276</v>
      </c>
      <c r="F33" s="58">
        <v>5</v>
      </c>
      <c r="G33" s="59">
        <v>1380</v>
      </c>
    </row>
    <row r="34" spans="1:7">
      <c r="A34" s="54">
        <v>39198</v>
      </c>
      <c r="B34" s="55" t="s">
        <v>185</v>
      </c>
      <c r="C34" s="55" t="s">
        <v>162</v>
      </c>
      <c r="D34" s="55" t="s">
        <v>166</v>
      </c>
      <c r="E34" s="55">
        <v>288</v>
      </c>
      <c r="F34" s="55">
        <v>25</v>
      </c>
      <c r="G34" s="56">
        <v>7200</v>
      </c>
    </row>
    <row r="35" spans="1:7">
      <c r="A35" s="57">
        <v>39208</v>
      </c>
      <c r="B35" s="58" t="s">
        <v>184</v>
      </c>
      <c r="C35" s="58" t="s">
        <v>165</v>
      </c>
      <c r="D35" s="58" t="s">
        <v>166</v>
      </c>
      <c r="E35" s="58">
        <v>209</v>
      </c>
      <c r="F35" s="58">
        <v>34</v>
      </c>
      <c r="G35" s="59">
        <v>7106</v>
      </c>
    </row>
    <row r="36" spans="1:7">
      <c r="A36" s="54">
        <v>39208</v>
      </c>
      <c r="B36" s="55" t="s">
        <v>185</v>
      </c>
      <c r="C36" s="55" t="s">
        <v>168</v>
      </c>
      <c r="D36" s="55" t="s">
        <v>163</v>
      </c>
      <c r="E36" s="55">
        <v>276</v>
      </c>
      <c r="F36" s="55">
        <v>39</v>
      </c>
      <c r="G36" s="56">
        <v>10764</v>
      </c>
    </row>
    <row r="37" spans="1:7">
      <c r="A37" s="57">
        <v>39212</v>
      </c>
      <c r="B37" s="58" t="s">
        <v>185</v>
      </c>
      <c r="C37" s="58" t="s">
        <v>162</v>
      </c>
      <c r="D37" s="58" t="s">
        <v>163</v>
      </c>
      <c r="E37" s="58">
        <v>288</v>
      </c>
      <c r="F37" s="58">
        <v>35</v>
      </c>
      <c r="G37" s="59">
        <v>10080</v>
      </c>
    </row>
    <row r="38" spans="1:7">
      <c r="A38" s="54">
        <v>39219</v>
      </c>
      <c r="B38" s="55" t="s">
        <v>184</v>
      </c>
      <c r="C38" s="55" t="s">
        <v>162</v>
      </c>
      <c r="D38" s="55" t="s">
        <v>169</v>
      </c>
      <c r="E38" s="55">
        <v>288</v>
      </c>
      <c r="F38" s="55">
        <v>22</v>
      </c>
      <c r="G38" s="56">
        <v>6336</v>
      </c>
    </row>
    <row r="39" spans="1:7">
      <c r="A39" s="57">
        <v>39222</v>
      </c>
      <c r="B39" s="58" t="s">
        <v>185</v>
      </c>
      <c r="C39" s="58" t="s">
        <v>162</v>
      </c>
      <c r="D39" s="58" t="s">
        <v>163</v>
      </c>
      <c r="E39" s="58">
        <v>288</v>
      </c>
      <c r="F39" s="58">
        <v>7</v>
      </c>
      <c r="G39" s="59">
        <v>2016</v>
      </c>
    </row>
    <row r="40" spans="1:7">
      <c r="A40" s="54">
        <v>39223</v>
      </c>
      <c r="B40" s="55" t="s">
        <v>184</v>
      </c>
      <c r="C40" s="55" t="s">
        <v>168</v>
      </c>
      <c r="D40" s="55" t="s">
        <v>161</v>
      </c>
      <c r="E40" s="55">
        <v>276</v>
      </c>
      <c r="F40" s="55">
        <v>14</v>
      </c>
      <c r="G40" s="56">
        <v>3864</v>
      </c>
    </row>
    <row r="41" spans="1:7">
      <c r="A41" s="57">
        <v>39223</v>
      </c>
      <c r="B41" s="58" t="s">
        <v>185</v>
      </c>
      <c r="C41" s="58" t="s">
        <v>162</v>
      </c>
      <c r="D41" s="58" t="s">
        <v>169</v>
      </c>
      <c r="E41" s="58">
        <v>288</v>
      </c>
      <c r="F41" s="58">
        <v>9</v>
      </c>
      <c r="G41" s="59">
        <v>2592</v>
      </c>
    </row>
    <row r="42" spans="1:7">
      <c r="A42" s="54">
        <v>39229</v>
      </c>
      <c r="B42" s="55" t="s">
        <v>185</v>
      </c>
      <c r="C42" s="55" t="s">
        <v>165</v>
      </c>
      <c r="D42" s="55" t="s">
        <v>161</v>
      </c>
      <c r="E42" s="55">
        <v>209</v>
      </c>
      <c r="F42" s="55">
        <v>29</v>
      </c>
      <c r="G42" s="56">
        <v>6061</v>
      </c>
    </row>
    <row r="43" spans="1:7">
      <c r="A43" s="57">
        <v>39229</v>
      </c>
      <c r="B43" s="58" t="s">
        <v>183</v>
      </c>
      <c r="C43" s="58" t="s">
        <v>162</v>
      </c>
      <c r="D43" s="58" t="s">
        <v>166</v>
      </c>
      <c r="E43" s="58">
        <v>288</v>
      </c>
      <c r="F43" s="58">
        <v>38</v>
      </c>
      <c r="G43" s="59">
        <v>10944</v>
      </c>
    </row>
    <row r="44" spans="1:7">
      <c r="A44" s="54">
        <v>39232</v>
      </c>
      <c r="B44" s="55" t="s">
        <v>184</v>
      </c>
      <c r="C44" s="55" t="s">
        <v>167</v>
      </c>
      <c r="D44" s="55" t="s">
        <v>166</v>
      </c>
      <c r="E44" s="55">
        <v>305</v>
      </c>
      <c r="F44" s="55">
        <v>26</v>
      </c>
      <c r="G44" s="56">
        <v>7930</v>
      </c>
    </row>
    <row r="45" spans="1:7">
      <c r="A45" s="57">
        <v>39235</v>
      </c>
      <c r="B45" s="58" t="s">
        <v>186</v>
      </c>
      <c r="C45" s="58" t="s">
        <v>165</v>
      </c>
      <c r="D45" s="58" t="s">
        <v>169</v>
      </c>
      <c r="E45" s="58">
        <v>209</v>
      </c>
      <c r="F45" s="58">
        <v>38</v>
      </c>
      <c r="G45" s="59">
        <v>7942</v>
      </c>
    </row>
    <row r="46" spans="1:7">
      <c r="A46" s="54">
        <v>39235</v>
      </c>
      <c r="B46" s="55" t="s">
        <v>185</v>
      </c>
      <c r="C46" s="55" t="s">
        <v>162</v>
      </c>
      <c r="D46" s="55" t="s">
        <v>170</v>
      </c>
      <c r="E46" s="55">
        <v>288</v>
      </c>
      <c r="F46" s="55">
        <v>27</v>
      </c>
      <c r="G46" s="56">
        <v>7776</v>
      </c>
    </row>
    <row r="47" spans="1:7">
      <c r="A47" s="57">
        <v>39247</v>
      </c>
      <c r="B47" s="58" t="s">
        <v>185</v>
      </c>
      <c r="C47" s="58" t="s">
        <v>168</v>
      </c>
      <c r="D47" s="58" t="s">
        <v>166</v>
      </c>
      <c r="E47" s="58">
        <v>276</v>
      </c>
      <c r="F47" s="58">
        <v>14</v>
      </c>
      <c r="G47" s="59">
        <v>3864</v>
      </c>
    </row>
    <row r="48" spans="1:7">
      <c r="A48" s="54">
        <v>39247</v>
      </c>
      <c r="B48" s="55" t="s">
        <v>185</v>
      </c>
      <c r="C48" s="55" t="s">
        <v>168</v>
      </c>
      <c r="D48" s="55" t="s">
        <v>164</v>
      </c>
      <c r="E48" s="55">
        <v>276</v>
      </c>
      <c r="F48" s="55">
        <v>9</v>
      </c>
      <c r="G48" s="56">
        <v>2484</v>
      </c>
    </row>
    <row r="49" spans="1:7">
      <c r="A49" s="57">
        <v>39248</v>
      </c>
      <c r="B49" s="58" t="s">
        <v>185</v>
      </c>
      <c r="C49" s="58" t="s">
        <v>167</v>
      </c>
      <c r="D49" s="58" t="s">
        <v>163</v>
      </c>
      <c r="E49" s="58">
        <v>305</v>
      </c>
      <c r="F49" s="58">
        <v>4</v>
      </c>
      <c r="G49" s="59">
        <v>1220</v>
      </c>
    </row>
    <row r="50" spans="1:7">
      <c r="A50" s="54">
        <v>39253</v>
      </c>
      <c r="B50" s="55" t="s">
        <v>184</v>
      </c>
      <c r="C50" s="55" t="s">
        <v>165</v>
      </c>
      <c r="D50" s="55" t="s">
        <v>170</v>
      </c>
      <c r="E50" s="55">
        <v>209</v>
      </c>
      <c r="F50" s="55">
        <v>3</v>
      </c>
      <c r="G50" s="56">
        <v>627</v>
      </c>
    </row>
    <row r="51" spans="1:7">
      <c r="A51" s="57">
        <v>39253</v>
      </c>
      <c r="B51" s="58" t="s">
        <v>185</v>
      </c>
      <c r="C51" s="58" t="s">
        <v>162</v>
      </c>
      <c r="D51" s="58" t="s">
        <v>161</v>
      </c>
      <c r="E51" s="58">
        <v>288</v>
      </c>
      <c r="F51" s="58">
        <v>18</v>
      </c>
      <c r="G51" s="59">
        <v>5184</v>
      </c>
    </row>
    <row r="52" spans="1:7">
      <c r="A52" s="54">
        <v>39254</v>
      </c>
      <c r="B52" s="55" t="s">
        <v>184</v>
      </c>
      <c r="C52" s="55" t="s">
        <v>162</v>
      </c>
      <c r="D52" s="55" t="s">
        <v>170</v>
      </c>
      <c r="E52" s="55">
        <v>288</v>
      </c>
      <c r="F52" s="55">
        <v>28</v>
      </c>
      <c r="G52" s="56">
        <v>8064</v>
      </c>
    </row>
    <row r="53" spans="1:7">
      <c r="A53" s="57">
        <v>39257</v>
      </c>
      <c r="B53" s="58" t="s">
        <v>184</v>
      </c>
      <c r="C53" s="58" t="s">
        <v>168</v>
      </c>
      <c r="D53" s="58" t="s">
        <v>170</v>
      </c>
      <c r="E53" s="58">
        <v>276</v>
      </c>
      <c r="F53" s="58">
        <v>25</v>
      </c>
      <c r="G53" s="59">
        <v>6900</v>
      </c>
    </row>
    <row r="54" spans="1:7">
      <c r="A54" s="54">
        <v>39258</v>
      </c>
      <c r="B54" s="55" t="s">
        <v>186</v>
      </c>
      <c r="C54" s="55" t="s">
        <v>168</v>
      </c>
      <c r="D54" s="55" t="s">
        <v>163</v>
      </c>
      <c r="E54" s="55">
        <v>276</v>
      </c>
      <c r="F54" s="55">
        <v>26</v>
      </c>
      <c r="G54" s="56">
        <v>7176</v>
      </c>
    </row>
    <row r="55" spans="1:7">
      <c r="A55" s="57">
        <v>39258</v>
      </c>
      <c r="B55" s="58" t="s">
        <v>183</v>
      </c>
      <c r="C55" s="58" t="s">
        <v>165</v>
      </c>
      <c r="D55" s="58" t="s">
        <v>166</v>
      </c>
      <c r="E55" s="58">
        <v>209</v>
      </c>
      <c r="F55" s="58">
        <v>17</v>
      </c>
      <c r="G55" s="59">
        <v>3553</v>
      </c>
    </row>
    <row r="56" spans="1:7">
      <c r="A56" s="54">
        <v>39264</v>
      </c>
      <c r="B56" s="55" t="s">
        <v>184</v>
      </c>
      <c r="C56" s="55" t="s">
        <v>165</v>
      </c>
      <c r="D56" s="55" t="s">
        <v>161</v>
      </c>
      <c r="E56" s="55">
        <v>209</v>
      </c>
      <c r="F56" s="55">
        <v>7</v>
      </c>
      <c r="G56" s="56">
        <v>1463</v>
      </c>
    </row>
    <row r="57" spans="1:7">
      <c r="A57" s="57">
        <v>39268</v>
      </c>
      <c r="B57" s="58" t="s">
        <v>185</v>
      </c>
      <c r="C57" s="58" t="s">
        <v>168</v>
      </c>
      <c r="D57" s="58" t="s">
        <v>166</v>
      </c>
      <c r="E57" s="58">
        <v>276</v>
      </c>
      <c r="F57" s="58">
        <v>6</v>
      </c>
      <c r="G57" s="59">
        <v>1656</v>
      </c>
    </row>
    <row r="58" spans="1:7">
      <c r="A58" s="54">
        <v>39269</v>
      </c>
      <c r="B58" s="55" t="s">
        <v>184</v>
      </c>
      <c r="C58" s="55" t="s">
        <v>168</v>
      </c>
      <c r="D58" s="55" t="s">
        <v>161</v>
      </c>
      <c r="E58" s="55">
        <v>276</v>
      </c>
      <c r="F58" s="55">
        <v>22</v>
      </c>
      <c r="G58" s="56">
        <v>6072</v>
      </c>
    </row>
    <row r="59" spans="1:7">
      <c r="A59" s="57">
        <v>39270</v>
      </c>
      <c r="B59" s="58" t="s">
        <v>183</v>
      </c>
      <c r="C59" s="58" t="s">
        <v>167</v>
      </c>
      <c r="D59" s="58" t="s">
        <v>163</v>
      </c>
      <c r="E59" s="58">
        <v>305</v>
      </c>
      <c r="F59" s="58">
        <v>29</v>
      </c>
      <c r="G59" s="59">
        <v>8845</v>
      </c>
    </row>
    <row r="60" spans="1:7">
      <c r="A60" s="54">
        <v>39287</v>
      </c>
      <c r="B60" s="55" t="s">
        <v>184</v>
      </c>
      <c r="C60" s="55" t="s">
        <v>162</v>
      </c>
      <c r="D60" s="55" t="s">
        <v>170</v>
      </c>
      <c r="E60" s="55">
        <v>288</v>
      </c>
      <c r="F60" s="55">
        <v>28</v>
      </c>
      <c r="G60" s="56">
        <v>8064</v>
      </c>
    </row>
    <row r="61" spans="1:7">
      <c r="A61" s="57">
        <v>39290</v>
      </c>
      <c r="B61" s="58" t="s">
        <v>185</v>
      </c>
      <c r="C61" s="58" t="s">
        <v>168</v>
      </c>
      <c r="D61" s="58" t="s">
        <v>164</v>
      </c>
      <c r="E61" s="58">
        <v>276</v>
      </c>
      <c r="F61" s="58">
        <v>37</v>
      </c>
      <c r="G61" s="59">
        <v>10212</v>
      </c>
    </row>
    <row r="62" spans="1:7">
      <c r="A62" s="54">
        <v>39292</v>
      </c>
      <c r="B62" s="55" t="s">
        <v>183</v>
      </c>
      <c r="C62" s="55" t="s">
        <v>165</v>
      </c>
      <c r="D62" s="55" t="s">
        <v>161</v>
      </c>
      <c r="E62" s="55">
        <v>209</v>
      </c>
      <c r="F62" s="55">
        <v>14</v>
      </c>
      <c r="G62" s="56">
        <v>2926</v>
      </c>
    </row>
    <row r="63" spans="1:7">
      <c r="A63" s="57">
        <v>39293</v>
      </c>
      <c r="B63" s="58" t="s">
        <v>186</v>
      </c>
      <c r="C63" s="58" t="s">
        <v>162</v>
      </c>
      <c r="D63" s="58" t="s">
        <v>166</v>
      </c>
      <c r="E63" s="58">
        <v>288</v>
      </c>
      <c r="F63" s="58">
        <v>19</v>
      </c>
      <c r="G63" s="59">
        <v>5472</v>
      </c>
    </row>
    <row r="64" spans="1:7">
      <c r="A64" s="54">
        <v>39310</v>
      </c>
      <c r="B64" s="55" t="s">
        <v>186</v>
      </c>
      <c r="C64" s="55" t="s">
        <v>168</v>
      </c>
      <c r="D64" s="55" t="s">
        <v>164</v>
      </c>
      <c r="E64" s="55">
        <v>276</v>
      </c>
      <c r="F64" s="55">
        <v>4</v>
      </c>
      <c r="G64" s="56">
        <v>1104</v>
      </c>
    </row>
    <row r="65" spans="1:7">
      <c r="A65" s="57">
        <v>39310</v>
      </c>
      <c r="B65" s="58" t="s">
        <v>184</v>
      </c>
      <c r="C65" s="58" t="s">
        <v>162</v>
      </c>
      <c r="D65" s="58" t="s">
        <v>169</v>
      </c>
      <c r="E65" s="58">
        <v>288</v>
      </c>
      <c r="F65" s="58">
        <v>37</v>
      </c>
      <c r="G65" s="59">
        <v>10656</v>
      </c>
    </row>
    <row r="66" spans="1:7">
      <c r="A66" s="54">
        <v>39311</v>
      </c>
      <c r="B66" s="55" t="s">
        <v>183</v>
      </c>
      <c r="C66" s="55" t="s">
        <v>168</v>
      </c>
      <c r="D66" s="55" t="s">
        <v>164</v>
      </c>
      <c r="E66" s="55">
        <v>276</v>
      </c>
      <c r="F66" s="55">
        <v>21</v>
      </c>
      <c r="G66" s="56">
        <v>5796</v>
      </c>
    </row>
    <row r="67" spans="1:7">
      <c r="A67" s="57">
        <v>39319</v>
      </c>
      <c r="B67" s="58" t="s">
        <v>183</v>
      </c>
      <c r="C67" s="58" t="s">
        <v>168</v>
      </c>
      <c r="D67" s="58" t="s">
        <v>166</v>
      </c>
      <c r="E67" s="58">
        <v>276</v>
      </c>
      <c r="F67" s="58">
        <v>14</v>
      </c>
      <c r="G67" s="59">
        <v>3864</v>
      </c>
    </row>
    <row r="68" spans="1:7">
      <c r="A68" s="54">
        <v>39327</v>
      </c>
      <c r="B68" s="55" t="s">
        <v>184</v>
      </c>
      <c r="C68" s="55" t="s">
        <v>168</v>
      </c>
      <c r="D68" s="55" t="s">
        <v>161</v>
      </c>
      <c r="E68" s="55">
        <v>276</v>
      </c>
      <c r="F68" s="55">
        <v>33</v>
      </c>
      <c r="G68" s="56">
        <v>9108</v>
      </c>
    </row>
    <row r="69" spans="1:7">
      <c r="A69" s="57">
        <v>39330</v>
      </c>
      <c r="B69" s="58" t="s">
        <v>186</v>
      </c>
      <c r="C69" s="58" t="s">
        <v>168</v>
      </c>
      <c r="D69" s="58" t="s">
        <v>161</v>
      </c>
      <c r="E69" s="58">
        <v>276</v>
      </c>
      <c r="F69" s="58">
        <v>19</v>
      </c>
      <c r="G69" s="59">
        <v>5244</v>
      </c>
    </row>
    <row r="70" spans="1:7">
      <c r="A70" s="54">
        <v>39333</v>
      </c>
      <c r="B70" s="55" t="s">
        <v>185</v>
      </c>
      <c r="C70" s="55" t="s">
        <v>168</v>
      </c>
      <c r="D70" s="55" t="s">
        <v>169</v>
      </c>
      <c r="E70" s="55">
        <v>276</v>
      </c>
      <c r="F70" s="55">
        <v>7</v>
      </c>
      <c r="G70" s="56">
        <v>1932</v>
      </c>
    </row>
    <row r="71" spans="1:7">
      <c r="A71" s="57">
        <v>39338</v>
      </c>
      <c r="B71" s="58" t="s">
        <v>184</v>
      </c>
      <c r="C71" s="58" t="s">
        <v>162</v>
      </c>
      <c r="D71" s="58" t="s">
        <v>169</v>
      </c>
      <c r="E71" s="58">
        <v>288</v>
      </c>
      <c r="F71" s="58">
        <v>26</v>
      </c>
      <c r="G71" s="59">
        <v>7488</v>
      </c>
    </row>
    <row r="72" spans="1:7">
      <c r="A72" s="54">
        <v>39339</v>
      </c>
      <c r="B72" s="55" t="s">
        <v>184</v>
      </c>
      <c r="C72" s="55" t="s">
        <v>167</v>
      </c>
      <c r="D72" s="55" t="s">
        <v>170</v>
      </c>
      <c r="E72" s="55">
        <v>305</v>
      </c>
      <c r="F72" s="55">
        <v>38</v>
      </c>
      <c r="G72" s="56">
        <v>11590</v>
      </c>
    </row>
    <row r="73" spans="1:7">
      <c r="A73" s="57">
        <v>39347</v>
      </c>
      <c r="B73" s="58" t="s">
        <v>184</v>
      </c>
      <c r="C73" s="58" t="s">
        <v>162</v>
      </c>
      <c r="D73" s="58" t="s">
        <v>163</v>
      </c>
      <c r="E73" s="58">
        <v>288</v>
      </c>
      <c r="F73" s="58">
        <v>13</v>
      </c>
      <c r="G73" s="59">
        <v>3744</v>
      </c>
    </row>
    <row r="74" spans="1:7">
      <c r="A74" s="54">
        <v>39349</v>
      </c>
      <c r="B74" s="55" t="s">
        <v>185</v>
      </c>
      <c r="C74" s="55" t="s">
        <v>165</v>
      </c>
      <c r="D74" s="55" t="s">
        <v>164</v>
      </c>
      <c r="E74" s="55">
        <v>209</v>
      </c>
      <c r="F74" s="55">
        <v>10</v>
      </c>
      <c r="G74" s="56">
        <v>2090</v>
      </c>
    </row>
    <row r="75" spans="1:7">
      <c r="A75" s="57">
        <v>39351</v>
      </c>
      <c r="B75" s="58" t="s">
        <v>183</v>
      </c>
      <c r="C75" s="58" t="s">
        <v>168</v>
      </c>
      <c r="D75" s="58" t="s">
        <v>164</v>
      </c>
      <c r="E75" s="58">
        <v>276</v>
      </c>
      <c r="F75" s="58">
        <v>26</v>
      </c>
      <c r="G75" s="59">
        <v>7176</v>
      </c>
    </row>
    <row r="76" spans="1:7">
      <c r="A76" s="54">
        <v>39356</v>
      </c>
      <c r="B76" s="55" t="s">
        <v>186</v>
      </c>
      <c r="C76" s="55" t="s">
        <v>162</v>
      </c>
      <c r="D76" s="55" t="s">
        <v>163</v>
      </c>
      <c r="E76" s="55">
        <v>288</v>
      </c>
      <c r="F76" s="55">
        <v>36</v>
      </c>
      <c r="G76" s="56">
        <v>10368</v>
      </c>
    </row>
    <row r="77" spans="1:7">
      <c r="A77" s="57">
        <v>39367</v>
      </c>
      <c r="B77" s="58" t="s">
        <v>183</v>
      </c>
      <c r="C77" s="58" t="s">
        <v>165</v>
      </c>
      <c r="D77" s="58" t="s">
        <v>166</v>
      </c>
      <c r="E77" s="58">
        <v>209</v>
      </c>
      <c r="F77" s="58">
        <v>13</v>
      </c>
      <c r="G77" s="59">
        <v>2717</v>
      </c>
    </row>
    <row r="78" spans="1:7">
      <c r="A78" s="54">
        <v>39375</v>
      </c>
      <c r="B78" s="55" t="s">
        <v>184</v>
      </c>
      <c r="C78" s="55" t="s">
        <v>162</v>
      </c>
      <c r="D78" s="55" t="s">
        <v>163</v>
      </c>
      <c r="E78" s="55">
        <v>288</v>
      </c>
      <c r="F78" s="55">
        <v>40</v>
      </c>
      <c r="G78" s="56">
        <v>11520</v>
      </c>
    </row>
    <row r="79" spans="1:7">
      <c r="A79" s="57">
        <v>39379</v>
      </c>
      <c r="B79" s="58" t="s">
        <v>183</v>
      </c>
      <c r="C79" s="58" t="s">
        <v>162</v>
      </c>
      <c r="D79" s="58" t="s">
        <v>161</v>
      </c>
      <c r="E79" s="58">
        <v>288</v>
      </c>
      <c r="F79" s="58">
        <v>39</v>
      </c>
      <c r="G79" s="59">
        <v>11232</v>
      </c>
    </row>
    <row r="80" spans="1:7">
      <c r="A80" s="54">
        <v>39385</v>
      </c>
      <c r="B80" s="55" t="s">
        <v>185</v>
      </c>
      <c r="C80" s="55" t="s">
        <v>168</v>
      </c>
      <c r="D80" s="55" t="s">
        <v>161</v>
      </c>
      <c r="E80" s="55">
        <v>276</v>
      </c>
      <c r="F80" s="55">
        <v>32</v>
      </c>
      <c r="G80" s="56">
        <v>8832</v>
      </c>
    </row>
    <row r="81" spans="1:7">
      <c r="A81" s="57">
        <v>39385</v>
      </c>
      <c r="B81" s="58" t="s">
        <v>183</v>
      </c>
      <c r="C81" s="58" t="s">
        <v>167</v>
      </c>
      <c r="D81" s="58" t="s">
        <v>169</v>
      </c>
      <c r="E81" s="58">
        <v>305</v>
      </c>
      <c r="F81" s="58">
        <v>15</v>
      </c>
      <c r="G81" s="59">
        <v>4575</v>
      </c>
    </row>
    <row r="82" spans="1:7">
      <c r="A82" s="54">
        <v>39386</v>
      </c>
      <c r="B82" s="55" t="s">
        <v>185</v>
      </c>
      <c r="C82" s="55" t="s">
        <v>168</v>
      </c>
      <c r="D82" s="55" t="s">
        <v>166</v>
      </c>
      <c r="E82" s="55">
        <v>276</v>
      </c>
      <c r="F82" s="55">
        <v>31</v>
      </c>
      <c r="G82" s="56">
        <v>8556</v>
      </c>
    </row>
    <row r="83" spans="1:7">
      <c r="A83" s="57">
        <v>39389</v>
      </c>
      <c r="B83" s="58" t="s">
        <v>185</v>
      </c>
      <c r="C83" s="58" t="s">
        <v>168</v>
      </c>
      <c r="D83" s="58" t="s">
        <v>166</v>
      </c>
      <c r="E83" s="58">
        <v>276</v>
      </c>
      <c r="F83" s="58">
        <v>18</v>
      </c>
      <c r="G83" s="59">
        <v>4968</v>
      </c>
    </row>
    <row r="84" spans="1:7">
      <c r="A84" s="54">
        <v>39391</v>
      </c>
      <c r="B84" s="55" t="s">
        <v>185</v>
      </c>
      <c r="C84" s="55" t="s">
        <v>165</v>
      </c>
      <c r="D84" s="55" t="s">
        <v>164</v>
      </c>
      <c r="E84" s="55">
        <v>209</v>
      </c>
      <c r="F84" s="55">
        <v>18</v>
      </c>
      <c r="G84" s="56">
        <v>3762</v>
      </c>
    </row>
    <row r="85" spans="1:7">
      <c r="A85" s="57">
        <v>39393</v>
      </c>
      <c r="B85" s="58" t="s">
        <v>185</v>
      </c>
      <c r="C85" s="58" t="s">
        <v>165</v>
      </c>
      <c r="D85" s="58" t="s">
        <v>170</v>
      </c>
      <c r="E85" s="58">
        <v>209</v>
      </c>
      <c r="F85" s="58">
        <v>39</v>
      </c>
      <c r="G85" s="59">
        <v>8151</v>
      </c>
    </row>
    <row r="86" spans="1:7">
      <c r="A86" s="54">
        <v>39395</v>
      </c>
      <c r="B86" s="55" t="s">
        <v>183</v>
      </c>
      <c r="C86" s="55" t="s">
        <v>165</v>
      </c>
      <c r="D86" s="55" t="s">
        <v>164</v>
      </c>
      <c r="E86" s="55">
        <v>209</v>
      </c>
      <c r="F86" s="55">
        <v>28</v>
      </c>
      <c r="G86" s="56">
        <v>5852</v>
      </c>
    </row>
    <row r="87" spans="1:7">
      <c r="A87" s="57">
        <v>39400</v>
      </c>
      <c r="B87" s="58" t="s">
        <v>185</v>
      </c>
      <c r="C87" s="58" t="s">
        <v>165</v>
      </c>
      <c r="D87" s="58" t="s">
        <v>163</v>
      </c>
      <c r="E87" s="58">
        <v>209</v>
      </c>
      <c r="F87" s="58">
        <v>34</v>
      </c>
      <c r="G87" s="59">
        <v>7106</v>
      </c>
    </row>
    <row r="88" spans="1:7">
      <c r="A88" s="54">
        <v>39408</v>
      </c>
      <c r="B88" s="55" t="s">
        <v>184</v>
      </c>
      <c r="C88" s="55" t="s">
        <v>162</v>
      </c>
      <c r="D88" s="55" t="s">
        <v>170</v>
      </c>
      <c r="E88" s="55">
        <v>288</v>
      </c>
      <c r="F88" s="55">
        <v>28</v>
      </c>
      <c r="G88" s="56">
        <v>8064</v>
      </c>
    </row>
    <row r="89" spans="1:7">
      <c r="A89" s="57">
        <v>39410</v>
      </c>
      <c r="B89" s="58" t="s">
        <v>185</v>
      </c>
      <c r="C89" s="58" t="s">
        <v>162</v>
      </c>
      <c r="D89" s="58" t="s">
        <v>164</v>
      </c>
      <c r="E89" s="58">
        <v>288</v>
      </c>
      <c r="F89" s="58">
        <v>20</v>
      </c>
      <c r="G89" s="59">
        <v>5760</v>
      </c>
    </row>
    <row r="90" spans="1:7">
      <c r="A90" s="54">
        <v>39417</v>
      </c>
      <c r="B90" s="55" t="s">
        <v>183</v>
      </c>
      <c r="C90" s="55" t="s">
        <v>165</v>
      </c>
      <c r="D90" s="55" t="s">
        <v>164</v>
      </c>
      <c r="E90" s="55">
        <v>209</v>
      </c>
      <c r="F90" s="55">
        <v>25</v>
      </c>
      <c r="G90" s="56">
        <v>5225</v>
      </c>
    </row>
    <row r="91" spans="1:7">
      <c r="A91" s="57">
        <v>39422</v>
      </c>
      <c r="B91" s="58" t="s">
        <v>185</v>
      </c>
      <c r="C91" s="58" t="s">
        <v>162</v>
      </c>
      <c r="D91" s="58" t="s">
        <v>163</v>
      </c>
      <c r="E91" s="58">
        <v>288</v>
      </c>
      <c r="F91" s="58">
        <v>14</v>
      </c>
      <c r="G91" s="59">
        <v>4032</v>
      </c>
    </row>
    <row r="92" spans="1:7">
      <c r="A92" s="54">
        <v>39427</v>
      </c>
      <c r="B92" s="55" t="s">
        <v>184</v>
      </c>
      <c r="C92" s="55" t="s">
        <v>162</v>
      </c>
      <c r="D92" s="55" t="s">
        <v>164</v>
      </c>
      <c r="E92" s="55">
        <v>288</v>
      </c>
      <c r="F92" s="55">
        <v>16</v>
      </c>
      <c r="G92" s="56">
        <v>4608</v>
      </c>
    </row>
    <row r="93" spans="1:7">
      <c r="A93" s="57">
        <v>39428</v>
      </c>
      <c r="B93" s="58" t="s">
        <v>184</v>
      </c>
      <c r="C93" s="58" t="s">
        <v>162</v>
      </c>
      <c r="D93" s="58" t="s">
        <v>163</v>
      </c>
      <c r="E93" s="58">
        <v>288</v>
      </c>
      <c r="F93" s="58">
        <v>18</v>
      </c>
      <c r="G93" s="59">
        <v>5184</v>
      </c>
    </row>
    <row r="94" spans="1:7">
      <c r="A94" s="54">
        <v>39431</v>
      </c>
      <c r="B94" s="55" t="s">
        <v>184</v>
      </c>
      <c r="C94" s="55" t="s">
        <v>167</v>
      </c>
      <c r="D94" s="55" t="s">
        <v>170</v>
      </c>
      <c r="E94" s="55">
        <v>305</v>
      </c>
      <c r="F94" s="55">
        <v>24</v>
      </c>
      <c r="G94" s="56">
        <v>7320</v>
      </c>
    </row>
    <row r="95" spans="1:7">
      <c r="A95" s="57">
        <v>39431</v>
      </c>
      <c r="B95" s="58" t="s">
        <v>185</v>
      </c>
      <c r="C95" s="58" t="s">
        <v>165</v>
      </c>
      <c r="D95" s="58" t="s">
        <v>161</v>
      </c>
      <c r="E95" s="58">
        <v>209</v>
      </c>
      <c r="F95" s="58">
        <v>12</v>
      </c>
      <c r="G95" s="59">
        <v>2508</v>
      </c>
    </row>
    <row r="96" spans="1:7">
      <c r="A96" s="54">
        <v>39432</v>
      </c>
      <c r="B96" s="55" t="s">
        <v>185</v>
      </c>
      <c r="C96" s="55" t="s">
        <v>165</v>
      </c>
      <c r="D96" s="55" t="s">
        <v>169</v>
      </c>
      <c r="E96" s="55">
        <v>209</v>
      </c>
      <c r="F96" s="55">
        <v>3</v>
      </c>
      <c r="G96" s="56">
        <v>627</v>
      </c>
    </row>
    <row r="97" spans="1:7">
      <c r="A97" s="57">
        <v>39432</v>
      </c>
      <c r="B97" s="58" t="s">
        <v>185</v>
      </c>
      <c r="C97" s="58" t="s">
        <v>168</v>
      </c>
      <c r="D97" s="58" t="s">
        <v>163</v>
      </c>
      <c r="E97" s="58">
        <v>276</v>
      </c>
      <c r="F97" s="58">
        <v>24</v>
      </c>
      <c r="G97" s="59">
        <v>6624</v>
      </c>
    </row>
    <row r="98" spans="1:7">
      <c r="A98" s="54">
        <v>39434</v>
      </c>
      <c r="B98" s="55" t="s">
        <v>186</v>
      </c>
      <c r="C98" s="55" t="s">
        <v>167</v>
      </c>
      <c r="D98" s="55" t="s">
        <v>166</v>
      </c>
      <c r="E98" s="55">
        <v>305</v>
      </c>
      <c r="F98" s="55">
        <v>12</v>
      </c>
      <c r="G98" s="56">
        <v>3660</v>
      </c>
    </row>
    <row r="99" spans="1:7">
      <c r="A99" s="57">
        <v>39439</v>
      </c>
      <c r="B99" s="58" t="s">
        <v>186</v>
      </c>
      <c r="C99" s="58" t="s">
        <v>165</v>
      </c>
      <c r="D99" s="58" t="s">
        <v>164</v>
      </c>
      <c r="E99" s="58">
        <v>209</v>
      </c>
      <c r="F99" s="58">
        <v>6</v>
      </c>
      <c r="G99" s="59">
        <v>1254</v>
      </c>
    </row>
    <row r="100" spans="1:7">
      <c r="A100" s="54">
        <v>39447</v>
      </c>
      <c r="B100" s="55" t="s">
        <v>186</v>
      </c>
      <c r="C100" s="55" t="s">
        <v>162</v>
      </c>
      <c r="D100" s="55" t="s">
        <v>163</v>
      </c>
      <c r="E100" s="55">
        <v>288</v>
      </c>
      <c r="F100" s="55">
        <v>34</v>
      </c>
      <c r="G100" s="56">
        <v>9792</v>
      </c>
    </row>
    <row r="101" spans="1:7">
      <c r="A101" s="60">
        <v>39447</v>
      </c>
      <c r="B101" s="61" t="s">
        <v>184</v>
      </c>
      <c r="C101" s="61" t="s">
        <v>162</v>
      </c>
      <c r="D101" s="61" t="s">
        <v>161</v>
      </c>
      <c r="E101" s="61">
        <v>288</v>
      </c>
      <c r="F101" s="61">
        <v>20</v>
      </c>
      <c r="G101" s="62">
        <v>5760</v>
      </c>
    </row>
  </sheetData>
  <phoneticPr fontId="3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5"/>
  <dimension ref="A1:P24"/>
  <sheetViews>
    <sheetView showGridLines="0" workbookViewId="0">
      <selection activeCell="I10" sqref="I10:I11"/>
    </sheetView>
  </sheetViews>
  <sheetFormatPr defaultRowHeight="16.2"/>
  <cols>
    <col min="1" max="1" width="7.44140625" bestFit="1" customWidth="1"/>
    <col min="2" max="3" width="10.44140625" bestFit="1" customWidth="1"/>
    <col min="4" max="4" width="6" bestFit="1" customWidth="1"/>
    <col min="5" max="7" width="8.21875" bestFit="1" customWidth="1"/>
    <col min="8" max="8" width="9.44140625" bestFit="1" customWidth="1"/>
    <col min="9" max="9" width="6.88671875" customWidth="1"/>
    <col min="10" max="10" width="10.6640625" customWidth="1"/>
    <col min="16" max="16" width="11.6640625" customWidth="1"/>
  </cols>
  <sheetData>
    <row r="1" spans="1:16" ht="16.8" thickBot="1">
      <c r="A1" s="120"/>
      <c r="B1" s="119" t="s">
        <v>57</v>
      </c>
      <c r="C1" s="119">
        <v>0.15</v>
      </c>
      <c r="D1" s="119">
        <v>0.15</v>
      </c>
      <c r="E1" s="119">
        <v>0.1</v>
      </c>
      <c r="F1" s="119">
        <v>0.1</v>
      </c>
      <c r="G1" s="119">
        <v>0.25</v>
      </c>
      <c r="H1" s="119">
        <v>0.25</v>
      </c>
      <c r="I1" s="315" t="s">
        <v>45</v>
      </c>
      <c r="J1" s="315"/>
      <c r="L1" s="39" t="s">
        <v>147</v>
      </c>
      <c r="M1" s="40" t="s">
        <v>148</v>
      </c>
      <c r="N1" s="40" t="s">
        <v>149</v>
      </c>
      <c r="O1" s="40" t="s">
        <v>150</v>
      </c>
      <c r="P1" s="40" t="s">
        <v>154</v>
      </c>
    </row>
    <row r="2" spans="1:16" ht="16.8" thickTop="1">
      <c r="A2" s="120" t="s">
        <v>56</v>
      </c>
      <c r="B2" s="120" t="s">
        <v>40</v>
      </c>
      <c r="C2" s="120" t="s">
        <v>58</v>
      </c>
      <c r="D2" s="120" t="s">
        <v>59</v>
      </c>
      <c r="E2" s="120" t="s">
        <v>60</v>
      </c>
      <c r="F2" s="120" t="s">
        <v>61</v>
      </c>
      <c r="G2" s="120" t="s">
        <v>62</v>
      </c>
      <c r="H2" s="120" t="s">
        <v>63</v>
      </c>
      <c r="I2" s="301" t="s">
        <v>252</v>
      </c>
      <c r="J2" s="301" t="s">
        <v>253</v>
      </c>
      <c r="L2" s="41">
        <v>39083</v>
      </c>
      <c r="M2" s="42" t="s">
        <v>151</v>
      </c>
      <c r="N2" s="42">
        <v>276</v>
      </c>
      <c r="O2" s="42">
        <v>15</v>
      </c>
      <c r="P2" s="45">
        <v>0.9</v>
      </c>
    </row>
    <row r="3" spans="1:16">
      <c r="A3" s="33">
        <v>833001</v>
      </c>
      <c r="B3" s="34" t="s">
        <v>2</v>
      </c>
      <c r="C3" s="37">
        <v>70</v>
      </c>
      <c r="D3" s="37">
        <v>45</v>
      </c>
      <c r="E3" s="37">
        <v>100</v>
      </c>
      <c r="F3" s="37">
        <v>78</v>
      </c>
      <c r="G3" s="37">
        <v>97</v>
      </c>
      <c r="H3" s="37">
        <v>93</v>
      </c>
      <c r="I3" s="187"/>
      <c r="J3" s="187"/>
      <c r="L3" s="43">
        <v>39088</v>
      </c>
      <c r="M3" s="44" t="s">
        <v>151</v>
      </c>
      <c r="N3" s="44">
        <v>276</v>
      </c>
      <c r="O3" s="44">
        <v>37</v>
      </c>
      <c r="P3" s="46">
        <v>0.8</v>
      </c>
    </row>
    <row r="4" spans="1:16">
      <c r="A4" s="35">
        <v>833002</v>
      </c>
      <c r="B4" s="36" t="s">
        <v>144</v>
      </c>
      <c r="C4" s="38">
        <v>97</v>
      </c>
      <c r="D4" s="38">
        <v>58</v>
      </c>
      <c r="E4" s="38">
        <v>84</v>
      </c>
      <c r="F4" s="38">
        <v>65</v>
      </c>
      <c r="G4" s="38">
        <v>56</v>
      </c>
      <c r="H4" s="38">
        <v>89</v>
      </c>
      <c r="I4" s="208"/>
      <c r="J4" s="208"/>
      <c r="L4" s="41">
        <v>39089</v>
      </c>
      <c r="M4" s="42" t="s">
        <v>152</v>
      </c>
      <c r="N4" s="42">
        <v>288</v>
      </c>
      <c r="O4" s="42">
        <v>7</v>
      </c>
      <c r="P4" s="45">
        <v>0.85</v>
      </c>
    </row>
    <row r="5" spans="1:16">
      <c r="A5" s="33">
        <v>833003</v>
      </c>
      <c r="B5" s="34" t="s">
        <v>145</v>
      </c>
      <c r="C5" s="37">
        <v>59</v>
      </c>
      <c r="D5" s="37">
        <v>82</v>
      </c>
      <c r="E5" s="37">
        <v>74</v>
      </c>
      <c r="F5" s="37">
        <v>45</v>
      </c>
      <c r="G5" s="37">
        <v>51</v>
      </c>
      <c r="H5" s="37">
        <v>51</v>
      </c>
      <c r="I5" s="187"/>
      <c r="J5" s="187"/>
      <c r="L5" s="43">
        <v>39091</v>
      </c>
      <c r="M5" s="44" t="s">
        <v>153</v>
      </c>
      <c r="N5" s="44">
        <v>209</v>
      </c>
      <c r="O5" s="44">
        <v>21</v>
      </c>
      <c r="P5" s="46">
        <v>0.8</v>
      </c>
    </row>
    <row r="6" spans="1:16">
      <c r="A6" s="35">
        <v>833004</v>
      </c>
      <c r="B6" s="36" t="s">
        <v>146</v>
      </c>
      <c r="C6" s="38">
        <v>95</v>
      </c>
      <c r="D6" s="38">
        <v>83</v>
      </c>
      <c r="E6" s="38">
        <v>83</v>
      </c>
      <c r="F6" s="38">
        <v>72</v>
      </c>
      <c r="G6" s="38">
        <v>71</v>
      </c>
      <c r="H6" s="38">
        <v>76</v>
      </c>
      <c r="I6" s="208"/>
      <c r="J6" s="208"/>
      <c r="L6" s="41">
        <v>39093</v>
      </c>
      <c r="M6" s="42" t="s">
        <v>151</v>
      </c>
      <c r="N6" s="42">
        <v>276</v>
      </c>
      <c r="O6" s="42">
        <v>11</v>
      </c>
      <c r="P6" s="45">
        <v>0.75</v>
      </c>
    </row>
    <row r="7" spans="1:16">
      <c r="A7" s="33">
        <v>833005</v>
      </c>
      <c r="B7" s="34" t="s">
        <v>64</v>
      </c>
      <c r="C7" s="37">
        <v>85</v>
      </c>
      <c r="D7" s="37">
        <v>98</v>
      </c>
      <c r="E7" s="37">
        <v>95</v>
      </c>
      <c r="F7" s="37">
        <v>58</v>
      </c>
      <c r="G7" s="37">
        <v>53</v>
      </c>
      <c r="H7" s="37">
        <v>98</v>
      </c>
      <c r="I7" s="187"/>
      <c r="J7" s="187"/>
      <c r="L7" s="43">
        <v>39093</v>
      </c>
      <c r="M7" s="44" t="s">
        <v>152</v>
      </c>
      <c r="N7" s="44">
        <v>288</v>
      </c>
      <c r="O7" s="44">
        <v>14</v>
      </c>
      <c r="P7" s="46">
        <v>0.9</v>
      </c>
    </row>
    <row r="8" spans="1:16">
      <c r="L8" s="41">
        <v>39096</v>
      </c>
      <c r="M8" s="42" t="s">
        <v>151</v>
      </c>
      <c r="N8" s="42">
        <v>276</v>
      </c>
      <c r="O8" s="42">
        <v>35</v>
      </c>
      <c r="P8" s="45">
        <v>0.8</v>
      </c>
    </row>
    <row r="9" spans="1:16">
      <c r="L9" s="43">
        <v>39099</v>
      </c>
      <c r="M9" s="44" t="s">
        <v>151</v>
      </c>
      <c r="N9" s="44">
        <v>288</v>
      </c>
      <c r="O9" s="44">
        <v>14</v>
      </c>
      <c r="P9" s="46">
        <v>0.85</v>
      </c>
    </row>
    <row r="10" spans="1:16">
      <c r="L10" s="41">
        <v>39100</v>
      </c>
      <c r="M10" s="42" t="s">
        <v>153</v>
      </c>
      <c r="N10" s="42">
        <v>209</v>
      </c>
      <c r="O10" s="42">
        <v>18</v>
      </c>
      <c r="P10" s="45">
        <v>0.8</v>
      </c>
    </row>
    <row r="12" spans="1:16">
      <c r="N12" s="314" t="s">
        <v>155</v>
      </c>
      <c r="O12" s="314"/>
      <c r="P12" s="47"/>
    </row>
    <row r="13" spans="1:16">
      <c r="E13" s="185" t="s">
        <v>59</v>
      </c>
      <c r="F13" s="186">
        <v>0.15</v>
      </c>
    </row>
    <row r="14" spans="1:16">
      <c r="E14" s="185" t="s">
        <v>60</v>
      </c>
      <c r="F14" s="186">
        <v>0.1</v>
      </c>
    </row>
    <row r="15" spans="1:16">
      <c r="E15" s="185" t="s">
        <v>61</v>
      </c>
      <c r="F15" s="186">
        <v>0.1</v>
      </c>
    </row>
    <row r="16" spans="1:16">
      <c r="E16" s="185" t="s">
        <v>62</v>
      </c>
      <c r="F16" s="186">
        <v>0.25</v>
      </c>
    </row>
    <row r="17" spans="5:12">
      <c r="E17" s="185" t="s">
        <v>63</v>
      </c>
      <c r="F17" s="186">
        <v>0.25</v>
      </c>
    </row>
    <row r="19" spans="5:12" ht="32.4">
      <c r="E19" s="120" t="s">
        <v>59</v>
      </c>
      <c r="F19" s="120" t="s">
        <v>60</v>
      </c>
      <c r="G19" s="120" t="s">
        <v>61</v>
      </c>
      <c r="H19" s="120" t="s">
        <v>62</v>
      </c>
      <c r="I19" s="120" t="s">
        <v>63</v>
      </c>
      <c r="J19" s="120" t="s">
        <v>343</v>
      </c>
      <c r="L19" s="188" t="s">
        <v>346</v>
      </c>
    </row>
    <row r="20" spans="5:12">
      <c r="E20" s="37">
        <v>45</v>
      </c>
      <c r="F20" s="37">
        <v>100</v>
      </c>
      <c r="G20" s="37">
        <v>78</v>
      </c>
      <c r="H20" s="37">
        <v>97</v>
      </c>
      <c r="I20" s="37">
        <v>93</v>
      </c>
      <c r="J20" s="187"/>
      <c r="L20" s="176" t="s">
        <v>375</v>
      </c>
    </row>
    <row r="21" spans="5:12">
      <c r="E21" s="38">
        <v>58</v>
      </c>
      <c r="F21" s="38">
        <v>84</v>
      </c>
      <c r="G21" s="38">
        <v>65</v>
      </c>
      <c r="H21" s="38">
        <v>56</v>
      </c>
      <c r="I21" s="38">
        <v>89</v>
      </c>
      <c r="J21" s="208"/>
      <c r="L21" s="176" t="s">
        <v>344</v>
      </c>
    </row>
    <row r="22" spans="5:12">
      <c r="E22" s="37">
        <v>82</v>
      </c>
      <c r="F22" s="37">
        <v>74</v>
      </c>
      <c r="G22" s="37">
        <v>45</v>
      </c>
      <c r="H22" s="37">
        <v>51</v>
      </c>
      <c r="I22" s="37">
        <v>51</v>
      </c>
      <c r="J22" s="187"/>
    </row>
    <row r="23" spans="5:12">
      <c r="E23" s="38">
        <v>83</v>
      </c>
      <c r="F23" s="38">
        <v>83</v>
      </c>
      <c r="G23" s="38">
        <v>72</v>
      </c>
      <c r="H23" s="38">
        <v>71</v>
      </c>
      <c r="I23" s="38">
        <v>76</v>
      </c>
      <c r="J23" s="208"/>
    </row>
    <row r="24" spans="5:12">
      <c r="E24" s="37">
        <v>98</v>
      </c>
      <c r="F24" s="37">
        <v>95</v>
      </c>
      <c r="G24" s="37">
        <v>58</v>
      </c>
      <c r="H24" s="37">
        <v>53</v>
      </c>
      <c r="I24" s="37">
        <v>98</v>
      </c>
      <c r="J24" s="187"/>
    </row>
  </sheetData>
  <mergeCells count="2">
    <mergeCell ref="N12:O12"/>
    <mergeCell ref="I1:J1"/>
  </mergeCells>
  <phoneticPr fontId="3" type="noConversion"/>
  <pageMargins left="0.75" right="0.75" top="1" bottom="1" header="0.5" footer="0.5"/>
  <pageSetup paperSize="9" orientation="portrait" horizontalDpi="360" verticalDpi="36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4"/>
  <dimension ref="A1:Z44"/>
  <sheetViews>
    <sheetView showGridLines="0" tabSelected="1" topLeftCell="A10" workbookViewId="0">
      <selection activeCell="S28" sqref="S28"/>
    </sheetView>
  </sheetViews>
  <sheetFormatPr defaultColWidth="7.88671875" defaultRowHeight="14.4"/>
  <cols>
    <col min="1" max="1" width="1.88671875" style="64" customWidth="1"/>
    <col min="2" max="2" width="11.44140625" style="66" customWidth="1"/>
    <col min="3" max="3" width="9.6640625" style="64" bestFit="1" customWidth="1"/>
    <col min="4" max="4" width="11.21875" style="64" bestFit="1" customWidth="1"/>
    <col min="5" max="5" width="5.44140625" style="64" bestFit="1" customWidth="1"/>
    <col min="6" max="6" width="10.33203125" style="64" bestFit="1" customWidth="1"/>
    <col min="7" max="7" width="3.88671875" style="64" customWidth="1"/>
    <col min="8" max="8" width="11.6640625" style="64" bestFit="1" customWidth="1"/>
    <col min="9" max="9" width="11.109375" style="64" customWidth="1"/>
    <col min="10" max="10" width="12" style="64" bestFit="1" customWidth="1"/>
    <col min="11" max="11" width="11.88671875" style="64" customWidth="1"/>
    <col min="12" max="12" width="19.109375" style="64" customWidth="1"/>
    <col min="13" max="13" width="13.21875" style="64" customWidth="1"/>
    <col min="14" max="14" width="8.88671875" style="64" customWidth="1"/>
    <col min="15" max="15" width="10.6640625" style="64" customWidth="1"/>
    <col min="16" max="16" width="7.88671875" style="64"/>
    <col min="17" max="17" width="9.6640625" style="64" bestFit="1" customWidth="1"/>
    <col min="18" max="18" width="11.21875" style="64" customWidth="1"/>
    <col min="19" max="21" width="7.88671875" style="64"/>
    <col min="22" max="25" width="5.44140625" style="64" hidden="1" customWidth="1"/>
    <col min="26" max="26" width="10.21875" style="64" hidden="1" customWidth="1"/>
    <col min="27" max="16384" width="7.88671875" style="64"/>
  </cols>
  <sheetData>
    <row r="1" spans="1:26" ht="22.5" customHeight="1">
      <c r="A1" s="190"/>
      <c r="B1" s="192" t="s">
        <v>356</v>
      </c>
      <c r="C1" s="190"/>
      <c r="D1" s="190"/>
      <c r="E1" s="190"/>
      <c r="F1" s="190"/>
      <c r="G1" s="191"/>
      <c r="H1" s="191" t="s">
        <v>198</v>
      </c>
      <c r="I1" s="190"/>
      <c r="J1" s="190"/>
      <c r="K1" s="191" t="s">
        <v>199</v>
      </c>
    </row>
    <row r="2" spans="1:26" ht="10.5" customHeight="1"/>
    <row r="3" spans="1:26">
      <c r="B3" s="73" t="s">
        <v>187</v>
      </c>
      <c r="C3" s="73" t="s">
        <v>200</v>
      </c>
      <c r="D3" s="73" t="s">
        <v>188</v>
      </c>
      <c r="E3" s="73" t="s">
        <v>189</v>
      </c>
      <c r="F3" s="73" t="s">
        <v>190</v>
      </c>
      <c r="H3" s="73" t="s">
        <v>188</v>
      </c>
      <c r="I3" s="73" t="s">
        <v>191</v>
      </c>
      <c r="K3" s="73" t="s">
        <v>191</v>
      </c>
    </row>
    <row r="4" spans="1:26">
      <c r="B4" s="68">
        <v>39904</v>
      </c>
      <c r="C4" s="72" t="s">
        <v>201</v>
      </c>
      <c r="D4" s="64" t="s">
        <v>192</v>
      </c>
      <c r="E4" s="64">
        <v>5</v>
      </c>
      <c r="F4" s="69">
        <v>262500</v>
      </c>
      <c r="H4" s="70" t="s">
        <v>192</v>
      </c>
      <c r="I4" s="71">
        <f>SUMIF($D$4:$D$17,H4,$F$4:$F$17)</f>
        <v>2310000</v>
      </c>
      <c r="K4" s="71">
        <f>SUMIFS($F$4:$F$17,$D$4:$D$17,H4)</f>
        <v>2310000</v>
      </c>
      <c r="O4" s="91" t="s">
        <v>258</v>
      </c>
    </row>
    <row r="5" spans="1:26">
      <c r="B5" s="68">
        <v>39904</v>
      </c>
      <c r="C5" s="72" t="s">
        <v>202</v>
      </c>
      <c r="D5" s="64" t="s">
        <v>193</v>
      </c>
      <c r="E5" s="64">
        <v>14</v>
      </c>
      <c r="F5" s="69">
        <v>294000</v>
      </c>
      <c r="H5" s="70" t="s">
        <v>194</v>
      </c>
      <c r="I5" s="71">
        <f t="shared" ref="I5:I9" si="0">SUMIF($D$4:$D$17,H5,$F$4:$F$17)</f>
        <v>441000</v>
      </c>
      <c r="K5" s="71">
        <f t="shared" ref="K5:K9" si="1">SUMIFS($F$4:$F$17,$D$4:$D$17,H5)</f>
        <v>441000</v>
      </c>
    </row>
    <row r="6" spans="1:26">
      <c r="B6" s="68">
        <v>39904</v>
      </c>
      <c r="C6" s="72" t="s">
        <v>202</v>
      </c>
      <c r="D6" s="64" t="s">
        <v>195</v>
      </c>
      <c r="E6" s="64">
        <v>9</v>
      </c>
      <c r="F6" s="69">
        <v>31500</v>
      </c>
      <c r="H6" s="70" t="s">
        <v>193</v>
      </c>
      <c r="I6" s="71">
        <f t="shared" si="0"/>
        <v>1050000</v>
      </c>
      <c r="K6" s="71">
        <f t="shared" si="1"/>
        <v>1050000</v>
      </c>
    </row>
    <row r="7" spans="1:26">
      <c r="B7" s="68">
        <v>39904</v>
      </c>
      <c r="C7" s="72" t="s">
        <v>201</v>
      </c>
      <c r="D7" s="64" t="s">
        <v>196</v>
      </c>
      <c r="E7" s="64">
        <v>12</v>
      </c>
      <c r="F7" s="69">
        <v>63000</v>
      </c>
      <c r="H7" s="70" t="s">
        <v>197</v>
      </c>
      <c r="I7" s="71">
        <f t="shared" si="0"/>
        <v>205800</v>
      </c>
      <c r="K7" s="71">
        <f t="shared" si="1"/>
        <v>205800</v>
      </c>
    </row>
    <row r="8" spans="1:26">
      <c r="B8" s="68">
        <v>39905</v>
      </c>
      <c r="C8" s="72" t="s">
        <v>201</v>
      </c>
      <c r="D8" s="64" t="s">
        <v>192</v>
      </c>
      <c r="E8" s="64">
        <v>3</v>
      </c>
      <c r="F8" s="69">
        <v>157500</v>
      </c>
      <c r="H8" s="70" t="s">
        <v>195</v>
      </c>
      <c r="I8" s="71">
        <f t="shared" si="0"/>
        <v>199500</v>
      </c>
      <c r="K8" s="71">
        <f t="shared" si="1"/>
        <v>199500</v>
      </c>
    </row>
    <row r="9" spans="1:26">
      <c r="B9" s="68">
        <v>39905</v>
      </c>
      <c r="C9" s="72" t="s">
        <v>202</v>
      </c>
      <c r="D9" s="64" t="s">
        <v>194</v>
      </c>
      <c r="E9" s="64">
        <v>2</v>
      </c>
      <c r="F9" s="69">
        <v>63000</v>
      </c>
      <c r="H9" s="70" t="s">
        <v>196</v>
      </c>
      <c r="I9" s="71">
        <f t="shared" si="0"/>
        <v>404250</v>
      </c>
      <c r="K9" s="71">
        <f t="shared" si="1"/>
        <v>404250</v>
      </c>
    </row>
    <row r="10" spans="1:26">
      <c r="B10" s="68">
        <v>39905</v>
      </c>
      <c r="C10" s="72" t="s">
        <v>201</v>
      </c>
      <c r="D10" s="64" t="s">
        <v>195</v>
      </c>
      <c r="E10" s="64">
        <v>7</v>
      </c>
      <c r="F10" s="69">
        <v>24500</v>
      </c>
    </row>
    <row r="11" spans="1:26">
      <c r="B11" s="68">
        <v>39905</v>
      </c>
      <c r="C11" s="72" t="s">
        <v>201</v>
      </c>
      <c r="D11" s="64" t="s">
        <v>196</v>
      </c>
      <c r="E11" s="64">
        <v>9</v>
      </c>
      <c r="F11" s="69">
        <v>47250</v>
      </c>
      <c r="H11" s="65" t="s">
        <v>205</v>
      </c>
      <c r="I11" s="65" t="s">
        <v>199</v>
      </c>
    </row>
    <row r="12" spans="1:26">
      <c r="B12" s="68">
        <v>39906</v>
      </c>
      <c r="C12" s="72" t="s">
        <v>201</v>
      </c>
      <c r="D12" s="64" t="s">
        <v>192</v>
      </c>
      <c r="E12" s="64">
        <v>36</v>
      </c>
      <c r="F12" s="69">
        <v>1890000</v>
      </c>
      <c r="H12" s="73"/>
      <c r="I12" s="73" t="s">
        <v>202</v>
      </c>
      <c r="J12" s="73" t="s">
        <v>351</v>
      </c>
      <c r="V12" s="150">
        <f t="shared" ref="V12:V25" si="2">IF(D4=$H$22,1,0)</f>
        <v>1</v>
      </c>
      <c r="W12" s="150" t="s">
        <v>300</v>
      </c>
      <c r="X12" s="150">
        <f t="shared" ref="X12:X25" si="3">IF(C4=$I$21,1,0)</f>
        <v>0</v>
      </c>
      <c r="Y12" s="150" t="s">
        <v>300</v>
      </c>
      <c r="Z12" s="149">
        <f t="shared" ref="Z12:Z25" si="4">F4</f>
        <v>262500</v>
      </c>
    </row>
    <row r="13" spans="1:26">
      <c r="B13" s="68">
        <v>39906</v>
      </c>
      <c r="C13" s="72" t="s">
        <v>202</v>
      </c>
      <c r="D13" s="64" t="s">
        <v>194</v>
      </c>
      <c r="E13" s="64">
        <v>12</v>
      </c>
      <c r="F13" s="69">
        <v>378000</v>
      </c>
      <c r="H13" s="73" t="s">
        <v>352</v>
      </c>
      <c r="I13" s="71">
        <f>SUMIFS($F$4:$F$17,$D$4:$D$17,$H13,$C$4:$C$17,I$12)</f>
        <v>0</v>
      </c>
      <c r="J13" s="71">
        <f>SUMIFS($F$4:$F$17,$D$4:$D$17,$H13,$C$4:$C$17,J$12)</f>
        <v>2310000</v>
      </c>
      <c r="M13" s="91" t="s">
        <v>217</v>
      </c>
      <c r="V13" s="150">
        <f t="shared" si="2"/>
        <v>0</v>
      </c>
      <c r="W13" s="150" t="s">
        <v>300</v>
      </c>
      <c r="X13" s="150">
        <f t="shared" si="3"/>
        <v>1</v>
      </c>
      <c r="Y13" s="150" t="s">
        <v>300</v>
      </c>
      <c r="Z13" s="149">
        <f t="shared" si="4"/>
        <v>294000</v>
      </c>
    </row>
    <row r="14" spans="1:26">
      <c r="B14" s="68">
        <v>39906</v>
      </c>
      <c r="C14" s="72" t="s">
        <v>202</v>
      </c>
      <c r="D14" s="64" t="s">
        <v>193</v>
      </c>
      <c r="E14" s="64">
        <v>36</v>
      </c>
      <c r="F14" s="69">
        <v>756000</v>
      </c>
      <c r="H14" s="73" t="s">
        <v>348</v>
      </c>
      <c r="I14" s="71">
        <f t="shared" ref="I14:J18" si="5">SUMIFS($F$4:$F$17,$D$4:$D$17,$H14,$C$4:$C$17,I$12)</f>
        <v>441000</v>
      </c>
      <c r="J14" s="71">
        <f t="shared" si="5"/>
        <v>0</v>
      </c>
      <c r="V14" s="150">
        <f t="shared" si="2"/>
        <v>0</v>
      </c>
      <c r="W14" s="150" t="s">
        <v>300</v>
      </c>
      <c r="X14" s="150">
        <f t="shared" si="3"/>
        <v>1</v>
      </c>
      <c r="Y14" s="150" t="s">
        <v>300</v>
      </c>
      <c r="Z14" s="149">
        <f t="shared" si="4"/>
        <v>31500</v>
      </c>
    </row>
    <row r="15" spans="1:26">
      <c r="B15" s="68">
        <v>39906</v>
      </c>
      <c r="C15" s="72" t="s">
        <v>201</v>
      </c>
      <c r="D15" s="64" t="s">
        <v>197</v>
      </c>
      <c r="E15" s="64">
        <v>21</v>
      </c>
      <c r="F15" s="69">
        <v>205800</v>
      </c>
      <c r="H15" s="73" t="s">
        <v>353</v>
      </c>
      <c r="I15" s="71">
        <f t="shared" si="5"/>
        <v>1050000</v>
      </c>
      <c r="J15" s="71">
        <f t="shared" si="5"/>
        <v>0</v>
      </c>
      <c r="V15" s="150">
        <f t="shared" si="2"/>
        <v>0</v>
      </c>
      <c r="W15" s="150" t="s">
        <v>300</v>
      </c>
      <c r="X15" s="150">
        <f t="shared" si="3"/>
        <v>0</v>
      </c>
      <c r="Y15" s="150" t="s">
        <v>300</v>
      </c>
      <c r="Z15" s="149">
        <f t="shared" si="4"/>
        <v>63000</v>
      </c>
    </row>
    <row r="16" spans="1:26">
      <c r="B16" s="68">
        <v>39906</v>
      </c>
      <c r="C16" s="72" t="s">
        <v>201</v>
      </c>
      <c r="D16" s="64" t="s">
        <v>195</v>
      </c>
      <c r="E16" s="64">
        <v>41</v>
      </c>
      <c r="F16" s="69">
        <v>143500</v>
      </c>
      <c r="H16" s="73" t="s">
        <v>354</v>
      </c>
      <c r="I16" s="71">
        <f t="shared" si="5"/>
        <v>0</v>
      </c>
      <c r="J16" s="71">
        <f t="shared" si="5"/>
        <v>205800</v>
      </c>
      <c r="V16" s="150">
        <f t="shared" si="2"/>
        <v>1</v>
      </c>
      <c r="W16" s="150" t="s">
        <v>300</v>
      </c>
      <c r="X16" s="150">
        <f t="shared" si="3"/>
        <v>0</v>
      </c>
      <c r="Y16" s="150" t="s">
        <v>300</v>
      </c>
      <c r="Z16" s="149">
        <f t="shared" si="4"/>
        <v>157500</v>
      </c>
    </row>
    <row r="17" spans="2:26">
      <c r="B17" s="68">
        <v>39906</v>
      </c>
      <c r="C17" s="72" t="s">
        <v>202</v>
      </c>
      <c r="D17" s="64" t="s">
        <v>196</v>
      </c>
      <c r="E17" s="64">
        <v>56</v>
      </c>
      <c r="F17" s="69">
        <v>294000</v>
      </c>
      <c r="H17" s="73" t="s">
        <v>350</v>
      </c>
      <c r="I17" s="71">
        <f t="shared" si="5"/>
        <v>31500</v>
      </c>
      <c r="J17" s="71">
        <f t="shared" si="5"/>
        <v>168000</v>
      </c>
      <c r="V17" s="150">
        <f t="shared" si="2"/>
        <v>0</v>
      </c>
      <c r="W17" s="150" t="s">
        <v>300</v>
      </c>
      <c r="X17" s="150">
        <f t="shared" si="3"/>
        <v>1</v>
      </c>
      <c r="Y17" s="150" t="s">
        <v>300</v>
      </c>
      <c r="Z17" s="149">
        <f t="shared" si="4"/>
        <v>63000</v>
      </c>
    </row>
    <row r="18" spans="2:26">
      <c r="H18" s="73" t="s">
        <v>203</v>
      </c>
      <c r="I18" s="71">
        <f t="shared" si="5"/>
        <v>294000</v>
      </c>
      <c r="J18" s="71">
        <f t="shared" si="5"/>
        <v>110250</v>
      </c>
      <c r="V18" s="150">
        <f t="shared" si="2"/>
        <v>0</v>
      </c>
      <c r="W18" s="150" t="s">
        <v>300</v>
      </c>
      <c r="X18" s="150">
        <f t="shared" si="3"/>
        <v>0</v>
      </c>
      <c r="Y18" s="150" t="s">
        <v>300</v>
      </c>
      <c r="Z18" s="149">
        <f t="shared" si="4"/>
        <v>24500</v>
      </c>
    </row>
    <row r="19" spans="2:26" ht="34.5" customHeight="1">
      <c r="B19" s="193" t="s">
        <v>465</v>
      </c>
      <c r="V19" s="150">
        <f t="shared" si="2"/>
        <v>0</v>
      </c>
      <c r="W19" s="150" t="s">
        <v>300</v>
      </c>
      <c r="X19" s="150">
        <f t="shared" si="3"/>
        <v>0</v>
      </c>
      <c r="Y19" s="150" t="s">
        <v>300</v>
      </c>
      <c r="Z19" s="149">
        <f t="shared" si="4"/>
        <v>47250</v>
      </c>
    </row>
    <row r="20" spans="2:26" ht="15.6">
      <c r="H20" s="65" t="s">
        <v>204</v>
      </c>
      <c r="I20" s="65" t="s">
        <v>206</v>
      </c>
      <c r="L20" s="194" t="s">
        <v>361</v>
      </c>
      <c r="R20" s="309" t="s">
        <v>466</v>
      </c>
      <c r="V20" s="150">
        <f t="shared" si="2"/>
        <v>1</v>
      </c>
      <c r="W20" s="150" t="s">
        <v>300</v>
      </c>
      <c r="X20" s="150">
        <f t="shared" si="3"/>
        <v>0</v>
      </c>
      <c r="Y20" s="150" t="s">
        <v>300</v>
      </c>
      <c r="Z20" s="149">
        <f t="shared" si="4"/>
        <v>1890000</v>
      </c>
    </row>
    <row r="21" spans="2:26">
      <c r="B21" s="67"/>
      <c r="C21" s="67" t="s">
        <v>191</v>
      </c>
      <c r="H21" s="67"/>
      <c r="I21" s="67" t="s">
        <v>202</v>
      </c>
      <c r="J21" s="67" t="s">
        <v>201</v>
      </c>
      <c r="L21" s="179" t="s">
        <v>357</v>
      </c>
      <c r="R21" s="307" t="s">
        <v>467</v>
      </c>
      <c r="V21" s="150">
        <f t="shared" si="2"/>
        <v>0</v>
      </c>
      <c r="W21" s="150" t="s">
        <v>300</v>
      </c>
      <c r="X21" s="150">
        <f t="shared" si="3"/>
        <v>1</v>
      </c>
      <c r="Y21" s="150" t="s">
        <v>300</v>
      </c>
      <c r="Z21" s="149">
        <f t="shared" si="4"/>
        <v>378000</v>
      </c>
    </row>
    <row r="22" spans="2:26">
      <c r="B22" s="67" t="s">
        <v>352</v>
      </c>
      <c r="C22" s="71"/>
      <c r="H22" s="67" t="s">
        <v>352</v>
      </c>
      <c r="I22" s="71"/>
      <c r="J22" s="71"/>
      <c r="L22" s="67" t="s">
        <v>355</v>
      </c>
      <c r="M22" s="298">
        <f>SUMPRODUCT(((D4:D17="手提包")+(D4:D17="萬用包"))*F4:F17)</f>
        <v>2515800</v>
      </c>
      <c r="R22" s="308"/>
      <c r="V22" s="150">
        <f t="shared" si="2"/>
        <v>0</v>
      </c>
      <c r="W22" s="150" t="s">
        <v>300</v>
      </c>
      <c r="X22" s="150">
        <f t="shared" si="3"/>
        <v>1</v>
      </c>
      <c r="Y22" s="150" t="s">
        <v>300</v>
      </c>
      <c r="Z22" s="149">
        <f t="shared" si="4"/>
        <v>756000</v>
      </c>
    </row>
    <row r="23" spans="2:26">
      <c r="B23" s="67" t="s">
        <v>348</v>
      </c>
      <c r="C23" s="71"/>
      <c r="H23" s="67" t="s">
        <v>348</v>
      </c>
      <c r="I23" s="71"/>
      <c r="J23" s="71"/>
      <c r="V23" s="150">
        <f t="shared" si="2"/>
        <v>0</v>
      </c>
      <c r="W23" s="150" t="s">
        <v>300</v>
      </c>
      <c r="X23" s="150">
        <f t="shared" si="3"/>
        <v>0</v>
      </c>
      <c r="Y23" s="150" t="s">
        <v>300</v>
      </c>
      <c r="Z23" s="149">
        <f t="shared" si="4"/>
        <v>205800</v>
      </c>
    </row>
    <row r="24" spans="2:26">
      <c r="B24" s="67" t="s">
        <v>353</v>
      </c>
      <c r="C24" s="71"/>
      <c r="H24" s="67" t="s">
        <v>353</v>
      </c>
      <c r="I24" s="71"/>
      <c r="J24" s="71"/>
      <c r="L24" s="64" t="str">
        <f ca="1">_xlfn.FORMULATEXT(M22)</f>
        <v>=SUMPRODUCT(((D4:D17="手提包")+(D4:D17="萬用包"))*F4:F17)</v>
      </c>
      <c r="R24" s="307" t="s">
        <v>468</v>
      </c>
      <c r="V24" s="150">
        <f t="shared" si="2"/>
        <v>0</v>
      </c>
      <c r="W24" s="150" t="s">
        <v>300</v>
      </c>
      <c r="X24" s="150">
        <f t="shared" si="3"/>
        <v>0</v>
      </c>
      <c r="Y24" s="150" t="s">
        <v>300</v>
      </c>
      <c r="Z24" s="149">
        <f t="shared" si="4"/>
        <v>143500</v>
      </c>
    </row>
    <row r="25" spans="2:26">
      <c r="B25" s="67" t="s">
        <v>349</v>
      </c>
      <c r="C25" s="71"/>
      <c r="H25" s="67" t="s">
        <v>349</v>
      </c>
      <c r="I25" s="71"/>
      <c r="J25" s="71"/>
      <c r="R25" s="308"/>
      <c r="V25" s="150">
        <f t="shared" si="2"/>
        <v>0</v>
      </c>
      <c r="W25" s="150" t="s">
        <v>300</v>
      </c>
      <c r="X25" s="150">
        <f t="shared" si="3"/>
        <v>1</v>
      </c>
      <c r="Y25" s="150" t="s">
        <v>300</v>
      </c>
      <c r="Z25" s="149">
        <f t="shared" si="4"/>
        <v>294000</v>
      </c>
    </row>
    <row r="26" spans="2:26">
      <c r="B26" s="67" t="s">
        <v>350</v>
      </c>
      <c r="C26" s="71"/>
      <c r="H26" s="67" t="s">
        <v>350</v>
      </c>
      <c r="I26" s="71"/>
      <c r="J26" s="71"/>
      <c r="L26" s="64" t="s">
        <v>339</v>
      </c>
    </row>
    <row r="27" spans="2:26">
      <c r="B27" s="67" t="s">
        <v>203</v>
      </c>
      <c r="C27" s="71"/>
      <c r="H27" s="67" t="s">
        <v>203</v>
      </c>
      <c r="I27" s="71"/>
      <c r="J27" s="71"/>
    </row>
    <row r="28" spans="2:26">
      <c r="L28" s="64" t="s">
        <v>333</v>
      </c>
      <c r="P28" s="148" t="s">
        <v>334</v>
      </c>
    </row>
    <row r="29" spans="2:26">
      <c r="E29" s="148" t="s">
        <v>335</v>
      </c>
      <c r="L29" s="64" t="s">
        <v>358</v>
      </c>
    </row>
    <row r="30" spans="2:26">
      <c r="F30" s="150" t="s">
        <v>192</v>
      </c>
      <c r="H30" s="150" t="s">
        <v>301</v>
      </c>
      <c r="J30" s="182" t="s">
        <v>302</v>
      </c>
      <c r="L30" s="180" t="s">
        <v>359</v>
      </c>
      <c r="M30" s="64" t="s">
        <v>336</v>
      </c>
    </row>
    <row r="31" spans="2:26">
      <c r="F31" s="64" t="b">
        <v>1</v>
      </c>
      <c r="H31" s="150" t="b">
        <v>0</v>
      </c>
      <c r="J31" s="183">
        <v>262500</v>
      </c>
      <c r="L31" s="181" t="s">
        <v>360</v>
      </c>
      <c r="M31" s="64" t="s">
        <v>337</v>
      </c>
    </row>
    <row r="32" spans="2:26">
      <c r="F32" s="64" t="b">
        <v>0</v>
      </c>
      <c r="H32" s="150" t="b">
        <v>1</v>
      </c>
      <c r="J32" s="183">
        <v>294000</v>
      </c>
    </row>
    <row r="33" spans="6:13">
      <c r="F33" s="64" t="b">
        <v>0</v>
      </c>
      <c r="H33" s="150" t="b">
        <v>1</v>
      </c>
      <c r="J33" s="183">
        <v>31500</v>
      </c>
      <c r="L33" s="184" t="s">
        <v>340</v>
      </c>
      <c r="M33" s="149">
        <f>SUMIFS(F4:F17,D4:D17,"手提包")+SUMIFS(F4:F17,D4:D17,"萬用包")</f>
        <v>2515800</v>
      </c>
    </row>
    <row r="34" spans="6:13">
      <c r="F34" s="64" t="b">
        <v>0</v>
      </c>
      <c r="H34" s="150" t="b">
        <v>0</v>
      </c>
      <c r="J34" s="183">
        <v>63000</v>
      </c>
    </row>
    <row r="35" spans="6:13">
      <c r="F35" s="64" t="b">
        <v>1</v>
      </c>
      <c r="H35" s="150" t="b">
        <v>0</v>
      </c>
      <c r="J35" s="183">
        <v>157500</v>
      </c>
      <c r="L35" s="64" t="str">
        <f ca="1">_xlfn.FORMULATEXT(M33)</f>
        <v>=SUMIFS(F4:F17,D4:D17,"手提包")+SUMIFS(F4:F17,D4:D17,"萬用包")</v>
      </c>
    </row>
    <row r="36" spans="6:13">
      <c r="F36" s="64" t="b">
        <v>0</v>
      </c>
      <c r="H36" s="150" t="b">
        <v>1</v>
      </c>
      <c r="J36" s="183">
        <v>63000</v>
      </c>
    </row>
    <row r="37" spans="6:13">
      <c r="F37" s="64" t="b">
        <v>0</v>
      </c>
      <c r="H37" s="150" t="b">
        <v>0</v>
      </c>
      <c r="J37" s="183">
        <v>24500</v>
      </c>
    </row>
    <row r="38" spans="6:13">
      <c r="F38" s="64" t="b">
        <v>0</v>
      </c>
      <c r="H38" s="150" t="b">
        <v>0</v>
      </c>
      <c r="J38" s="183">
        <v>47250</v>
      </c>
    </row>
    <row r="39" spans="6:13">
      <c r="F39" s="64" t="b">
        <v>1</v>
      </c>
      <c r="H39" s="150" t="b">
        <v>0</v>
      </c>
      <c r="J39" s="183">
        <v>1890000</v>
      </c>
    </row>
    <row r="40" spans="6:13">
      <c r="F40" s="64" t="b">
        <v>0</v>
      </c>
      <c r="H40" s="150" t="b">
        <v>1</v>
      </c>
      <c r="J40" s="183">
        <v>378000</v>
      </c>
    </row>
    <row r="41" spans="6:13">
      <c r="F41" s="64" t="b">
        <v>0</v>
      </c>
      <c r="H41" s="150" t="b">
        <v>1</v>
      </c>
      <c r="J41" s="183">
        <v>756000</v>
      </c>
    </row>
    <row r="42" spans="6:13">
      <c r="F42" s="64" t="b">
        <v>0</v>
      </c>
      <c r="H42" s="150" t="b">
        <v>0</v>
      </c>
      <c r="J42" s="183">
        <v>205800</v>
      </c>
    </row>
    <row r="43" spans="6:13">
      <c r="F43" s="64" t="b">
        <v>0</v>
      </c>
      <c r="H43" s="150" t="b">
        <v>0</v>
      </c>
      <c r="J43" s="183">
        <v>143500</v>
      </c>
    </row>
    <row r="44" spans="6:13">
      <c r="F44" s="64" t="b">
        <v>0</v>
      </c>
      <c r="H44" s="150" t="b">
        <v>1</v>
      </c>
      <c r="J44" s="183">
        <v>294000</v>
      </c>
    </row>
  </sheetData>
  <phoneticPr fontId="21"/>
  <dataValidations count="1">
    <dataValidation type="list" allowBlank="1" showInputMessage="1" showErrorMessage="1" sqref="D4:D17" xr:uid="{00000000-0002-0000-0400-000000000000}">
      <formula1>商品名稱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DD30-EBCE-4A82-9AC4-4AD071CF8139}">
  <dimension ref="B2:L26"/>
  <sheetViews>
    <sheetView showGridLines="0" topLeftCell="B2" workbookViewId="0">
      <selection activeCell="K20" sqref="K20"/>
    </sheetView>
  </sheetViews>
  <sheetFormatPr defaultColWidth="11" defaultRowHeight="16.2"/>
  <cols>
    <col min="2" max="2" width="14.33203125" customWidth="1"/>
    <col min="10" max="10" width="17" customWidth="1"/>
    <col min="11" max="11" width="13.88671875" bestFit="1" customWidth="1"/>
  </cols>
  <sheetData>
    <row r="2" spans="2:12" ht="24.6">
      <c r="H2" s="302" t="s">
        <v>451</v>
      </c>
    </row>
    <row r="3" spans="2:12">
      <c r="B3" s="73" t="s">
        <v>187</v>
      </c>
      <c r="C3" s="73" t="s">
        <v>200</v>
      </c>
      <c r="D3" s="73" t="s">
        <v>188</v>
      </c>
      <c r="E3" s="73" t="s">
        <v>189</v>
      </c>
      <c r="F3" s="73" t="s">
        <v>190</v>
      </c>
      <c r="H3" s="303" t="s">
        <v>452</v>
      </c>
    </row>
    <row r="4" spans="2:12">
      <c r="B4" s="68">
        <v>39904</v>
      </c>
      <c r="C4" s="72" t="s">
        <v>201</v>
      </c>
      <c r="D4" s="64" t="s">
        <v>192</v>
      </c>
      <c r="E4" s="64">
        <v>5</v>
      </c>
      <c r="F4" s="69">
        <v>262500</v>
      </c>
      <c r="H4" s="176" t="s">
        <v>453</v>
      </c>
    </row>
    <row r="5" spans="2:12">
      <c r="B5" s="68">
        <v>39904</v>
      </c>
      <c r="C5" s="72" t="s">
        <v>202</v>
      </c>
      <c r="D5" s="64" t="s">
        <v>193</v>
      </c>
      <c r="E5" s="64">
        <v>14</v>
      </c>
      <c r="F5" s="69">
        <v>294000</v>
      </c>
      <c r="I5" t="s">
        <v>454</v>
      </c>
      <c r="K5">
        <f>SUMIFS(F4:F17,D4:D17,"手提包")</f>
        <v>2310000</v>
      </c>
      <c r="L5" t="str">
        <f ca="1">_xlfn.FORMULATEXT(K5)</f>
        <v>=SUMIFS(F4:F17,D4:D17,"手提包")</v>
      </c>
    </row>
    <row r="6" spans="2:12">
      <c r="B6" s="68">
        <v>39904</v>
      </c>
      <c r="C6" s="72" t="s">
        <v>202</v>
      </c>
      <c r="D6" s="64" t="s">
        <v>195</v>
      </c>
      <c r="E6" s="64">
        <v>9</v>
      </c>
      <c r="F6" s="69">
        <v>31500</v>
      </c>
      <c r="I6" t="s">
        <v>455</v>
      </c>
      <c r="K6">
        <f>SUMIFS(F4:F17,D4:D17,"*包")</f>
        <v>4006800</v>
      </c>
      <c r="L6" t="str">
        <f ca="1">_xlfn.FORMULATEXT(K6)</f>
        <v>=SUMIFS(F4:F17,D4:D17,"*包")</v>
      </c>
    </row>
    <row r="7" spans="2:12">
      <c r="B7" s="68">
        <v>39904</v>
      </c>
      <c r="C7" s="72" t="s">
        <v>201</v>
      </c>
      <c r="D7" s="64" t="s">
        <v>196</v>
      </c>
      <c r="E7" s="64">
        <v>12</v>
      </c>
      <c r="F7" s="69">
        <v>63000</v>
      </c>
      <c r="I7" t="s">
        <v>456</v>
      </c>
      <c r="K7">
        <f>COUNTIFS(E4:E17,"&gt;20")</f>
        <v>5</v>
      </c>
      <c r="L7" t="str">
        <f ca="1">_xlfn.FORMULATEXT(K7)</f>
        <v>=COUNTIFS(E4:E17,"&gt;20")</v>
      </c>
    </row>
    <row r="8" spans="2:12">
      <c r="B8" s="68">
        <v>39905</v>
      </c>
      <c r="C8" s="72" t="s">
        <v>201</v>
      </c>
      <c r="D8" s="64" t="s">
        <v>192</v>
      </c>
      <c r="E8" s="64">
        <v>3</v>
      </c>
      <c r="F8" s="69">
        <v>157500</v>
      </c>
      <c r="H8" t="s">
        <v>457</v>
      </c>
    </row>
    <row r="9" spans="2:12">
      <c r="B9" s="68">
        <v>39905</v>
      </c>
      <c r="C9" s="72" t="s">
        <v>202</v>
      </c>
      <c r="D9" s="64" t="s">
        <v>194</v>
      </c>
      <c r="E9" s="64">
        <v>2</v>
      </c>
      <c r="F9" s="69">
        <v>63000</v>
      </c>
      <c r="I9" s="73" t="s">
        <v>188</v>
      </c>
      <c r="K9" s="73" t="s">
        <v>190</v>
      </c>
    </row>
    <row r="10" spans="2:12">
      <c r="B10" s="68">
        <v>39905</v>
      </c>
      <c r="C10" s="72" t="s">
        <v>201</v>
      </c>
      <c r="D10" s="64" t="s">
        <v>195</v>
      </c>
      <c r="E10" s="64">
        <v>7</v>
      </c>
      <c r="F10" s="69">
        <v>24500</v>
      </c>
      <c r="I10" s="64" t="s">
        <v>192</v>
      </c>
      <c r="K10">
        <f>SUMIFS(F4:F17,D4:D17,I10)</f>
        <v>2310000</v>
      </c>
      <c r="L10" t="str">
        <f ca="1">_xlfn.FORMULATEXT(K10)</f>
        <v>=SUMIFS(F4:F17,D4:D17,I10)</v>
      </c>
    </row>
    <row r="11" spans="2:12">
      <c r="B11" s="68">
        <v>39905</v>
      </c>
      <c r="C11" s="72" t="s">
        <v>201</v>
      </c>
      <c r="D11" s="64" t="s">
        <v>196</v>
      </c>
      <c r="E11" s="64">
        <v>9</v>
      </c>
      <c r="F11" s="69">
        <v>47250</v>
      </c>
      <c r="I11" s="64"/>
    </row>
    <row r="12" spans="2:12">
      <c r="B12" s="68">
        <v>39906</v>
      </c>
      <c r="C12" s="72" t="s">
        <v>201</v>
      </c>
      <c r="D12" s="64" t="s">
        <v>192</v>
      </c>
      <c r="E12" s="64">
        <v>36</v>
      </c>
      <c r="F12" s="69">
        <v>1890000</v>
      </c>
      <c r="I12" s="73" t="s">
        <v>458</v>
      </c>
      <c r="K12" s="73" t="s">
        <v>459</v>
      </c>
      <c r="L12" t="str">
        <f ca="1">_xlfn.FORMULATEXT(K13)</f>
        <v>=COUNTIFS(E4:E17,"&gt;"&amp;I13)</v>
      </c>
    </row>
    <row r="13" spans="2:12">
      <c r="B13" s="68">
        <v>39906</v>
      </c>
      <c r="C13" s="72" t="s">
        <v>202</v>
      </c>
      <c r="D13" s="64" t="s">
        <v>194</v>
      </c>
      <c r="E13" s="64">
        <v>12</v>
      </c>
      <c r="F13" s="69">
        <v>378000</v>
      </c>
      <c r="I13">
        <v>20</v>
      </c>
      <c r="K13">
        <f>COUNTIFS(E4:E17,"&gt;"&amp;I13)</f>
        <v>5</v>
      </c>
    </row>
    <row r="14" spans="2:12">
      <c r="B14" s="68">
        <v>39906</v>
      </c>
      <c r="C14" s="72" t="s">
        <v>202</v>
      </c>
      <c r="D14" s="64" t="s">
        <v>193</v>
      </c>
      <c r="E14" s="64">
        <v>36</v>
      </c>
      <c r="F14" s="69">
        <v>756000</v>
      </c>
    </row>
    <row r="15" spans="2:12">
      <c r="B15" s="68">
        <v>39906</v>
      </c>
      <c r="C15" s="72" t="s">
        <v>201</v>
      </c>
      <c r="D15" s="64" t="s">
        <v>197</v>
      </c>
      <c r="E15" s="64">
        <v>21</v>
      </c>
      <c r="F15" s="69">
        <v>205800</v>
      </c>
      <c r="H15" s="304" t="s">
        <v>460</v>
      </c>
      <c r="I15" s="305"/>
    </row>
    <row r="16" spans="2:12">
      <c r="B16" s="68">
        <v>39906</v>
      </c>
      <c r="C16" s="72" t="s">
        <v>201</v>
      </c>
      <c r="D16" s="64" t="s">
        <v>195</v>
      </c>
      <c r="E16" s="64">
        <v>41</v>
      </c>
      <c r="F16" s="69">
        <v>143500</v>
      </c>
    </row>
    <row r="17" spans="2:12">
      <c r="B17" s="68">
        <v>39906</v>
      </c>
      <c r="C17" s="72" t="s">
        <v>202</v>
      </c>
      <c r="D17" s="64" t="s">
        <v>196</v>
      </c>
      <c r="E17" s="64">
        <v>56</v>
      </c>
      <c r="F17" s="69">
        <v>294000</v>
      </c>
      <c r="H17" s="306" t="s">
        <v>461</v>
      </c>
      <c r="I17" t="s">
        <v>171</v>
      </c>
      <c r="J17" s="118" t="s">
        <v>462</v>
      </c>
    </row>
    <row r="18" spans="2:12">
      <c r="I18" s="73" t="s">
        <v>200</v>
      </c>
      <c r="J18" s="73" t="s">
        <v>188</v>
      </c>
      <c r="K18" s="73" t="s">
        <v>190</v>
      </c>
    </row>
    <row r="19" spans="2:12">
      <c r="I19" s="72" t="s">
        <v>201</v>
      </c>
      <c r="J19" s="64" t="s">
        <v>192</v>
      </c>
      <c r="K19" s="324">
        <f>SUMIFS(F4:F17,C4:C17,I19,D4:D17,J19)</f>
        <v>2310000</v>
      </c>
      <c r="L19" t="str">
        <f ca="1">_xlfn.FORMULATEXT(K19)</f>
        <v>=SUMIFS(F4:F17,C4:C17,I19,D4:D17,J19)</v>
      </c>
    </row>
    <row r="20" spans="2:12">
      <c r="I20" s="72"/>
      <c r="J20" s="64"/>
      <c r="K20" s="324" cm="1">
        <f t="array" ref="K20">SUMPRODUCT((C4:C17=I19)*(D4:D17=J19)*(F4:F17))</f>
        <v>2310000</v>
      </c>
      <c r="L20" t="str">
        <f ca="1">_xlfn.FORMULATEXT(K20)</f>
        <v>=SUMPRODUCT((C4:C17=I19)*(D4:D17=J19)*(F4:F17))</v>
      </c>
    </row>
    <row r="22" spans="2:12">
      <c r="H22" s="306" t="s">
        <v>463</v>
      </c>
      <c r="I22" s="73" t="s">
        <v>188</v>
      </c>
      <c r="K22" s="73" t="s">
        <v>190</v>
      </c>
    </row>
    <row r="23" spans="2:12">
      <c r="I23" s="64" t="s">
        <v>192</v>
      </c>
      <c r="K23" s="324">
        <f>SUMIFS(F4:F17,D4:D17,I23)+SUMIFS(F4:F17,D4:D17,I24)</f>
        <v>2714250</v>
      </c>
      <c r="L23" t="str">
        <f ca="1">_xlfn.FORMULATEXT(K23)</f>
        <v>=SUMIFS(F4:F17,D4:D17,I23)+SUMIFS(F4:F17,D4:D17,I24)</v>
      </c>
    </row>
    <row r="24" spans="2:12">
      <c r="I24" s="64" t="s">
        <v>196</v>
      </c>
      <c r="K24" s="324" cm="1">
        <f t="array" ref="K24">SUMPRODUCT(((D4:D17=$I$23)+(D4:D17=$I$24))*F4:F17)</f>
        <v>2714250</v>
      </c>
      <c r="L24" t="str">
        <f ca="1">_xlfn.FORMULATEXT(K24)</f>
        <v>=SUMPRODUCT(((D4:D17=$I$23)+(D4:D17=$I$24))*F4:F17)</v>
      </c>
    </row>
    <row r="26" spans="2:12">
      <c r="H26" s="110" t="s">
        <v>464</v>
      </c>
      <c r="K26" s="324" cm="1">
        <f t="array" ref="K26">SUMPRODUCT(SUMIFS(F4:F17,D4:D17,I23:I24))</f>
        <v>2714250</v>
      </c>
      <c r="L26" t="str">
        <f ca="1">_xlfn.FORMULATEXT(K26)</f>
        <v>=SUMPRODUCT(SUMIFS(F4:F17,D4:D17,I23:I24))</v>
      </c>
    </row>
  </sheetData>
  <phoneticPr fontId="3" type="noConversion"/>
  <dataValidations count="1">
    <dataValidation type="list" allowBlank="1" showInputMessage="1" showErrorMessage="1" sqref="I23:I24 J19:J20 D4:D17 I10:I11" xr:uid="{F352BEDA-97D4-41FB-9CC7-F2EAE1F330E5}">
      <formula1>商品名稱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21DE-50ED-499C-AD0E-BD4A744C4DDD}">
  <dimension ref="A2:V58"/>
  <sheetViews>
    <sheetView showGridLines="0" workbookViewId="0">
      <pane ySplit="10" topLeftCell="A11" activePane="bottomLeft" state="frozen"/>
      <selection activeCell="N19" sqref="N19"/>
      <selection pane="bottomLeft" activeCell="H4" sqref="H4"/>
    </sheetView>
  </sheetViews>
  <sheetFormatPr defaultColWidth="9.6640625" defaultRowHeight="16.2"/>
  <cols>
    <col min="1" max="1" width="12" style="6" customWidth="1"/>
    <col min="2" max="2" width="8.109375" style="9" bestFit="1" customWidth="1"/>
    <col min="3" max="3" width="6" style="9" bestFit="1" customWidth="1"/>
    <col min="4" max="6" width="5.44140625" style="9" customWidth="1"/>
    <col min="7" max="7" width="6" style="9" bestFit="1" customWidth="1"/>
    <col min="8" max="8" width="6" style="9" customWidth="1"/>
    <col min="9" max="9" width="11.6640625" style="9" customWidth="1"/>
    <col min="10" max="10" width="10.6640625" style="6" customWidth="1"/>
    <col min="11" max="11" width="8.44140625" style="6" customWidth="1"/>
    <col min="12" max="12" width="6.44140625" style="5" customWidth="1"/>
    <col min="13" max="13" width="4.109375" style="6" customWidth="1"/>
    <col min="14" max="14" width="7.44140625" style="6" customWidth="1"/>
    <col min="15" max="15" width="8" style="6" customWidth="1"/>
    <col min="16" max="16" width="6.88671875" style="6" customWidth="1"/>
    <col min="17" max="17" width="14.109375" style="6" customWidth="1"/>
    <col min="18" max="16384" width="9.6640625" style="6"/>
  </cols>
  <sheetData>
    <row r="2" spans="1:22" ht="19.8">
      <c r="A2" s="7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123"/>
      <c r="M2" s="123"/>
      <c r="Q2" s="188" t="s">
        <v>346</v>
      </c>
    </row>
    <row r="3" spans="1:22" s="87" customFormat="1" ht="41.25" customHeight="1">
      <c r="A3" s="86" t="s">
        <v>15</v>
      </c>
      <c r="B3" s="86" t="s">
        <v>11</v>
      </c>
      <c r="C3" s="86" t="s">
        <v>16</v>
      </c>
      <c r="D3" s="86" t="s">
        <v>304</v>
      </c>
      <c r="E3" s="86" t="s">
        <v>305</v>
      </c>
      <c r="F3" s="86" t="s">
        <v>303</v>
      </c>
      <c r="G3" s="86" t="s">
        <v>19</v>
      </c>
      <c r="H3" s="86" t="s">
        <v>439</v>
      </c>
      <c r="I3" s="86" t="s">
        <v>12</v>
      </c>
      <c r="J3" s="86" t="s">
        <v>20</v>
      </c>
      <c r="K3" s="86" t="s">
        <v>21</v>
      </c>
      <c r="L3" s="111" t="s">
        <v>257</v>
      </c>
      <c r="M3" s="296" t="s">
        <v>156</v>
      </c>
      <c r="O3" s="86" t="s">
        <v>11</v>
      </c>
      <c r="P3" s="86" t="s">
        <v>156</v>
      </c>
      <c r="R3" s="209" t="s">
        <v>218</v>
      </c>
    </row>
    <row r="4" spans="1:22">
      <c r="A4" s="210">
        <v>833001</v>
      </c>
      <c r="B4" s="210" t="s">
        <v>145</v>
      </c>
      <c r="C4" s="211" t="s">
        <v>22</v>
      </c>
      <c r="D4" s="212">
        <f t="shared" ref="D4:F17" ca="1" si="0">RANDBETWEEN(40,100)</f>
        <v>41</v>
      </c>
      <c r="E4" s="212">
        <f t="shared" ca="1" si="0"/>
        <v>84</v>
      </c>
      <c r="F4" s="212">
        <f t="shared" ca="1" si="0"/>
        <v>46</v>
      </c>
      <c r="G4" s="213">
        <f t="shared" ref="G4:G17" ca="1" si="1">AVERAGE(D4:F4)</f>
        <v>57</v>
      </c>
      <c r="H4" s="214"/>
      <c r="I4" s="214"/>
      <c r="J4" s="215"/>
      <c r="K4" s="216"/>
      <c r="L4" s="217"/>
      <c r="M4" s="218"/>
      <c r="O4" s="88" t="s">
        <v>145</v>
      </c>
      <c r="P4" s="219">
        <v>5</v>
      </c>
      <c r="R4" s="209" t="s">
        <v>440</v>
      </c>
      <c r="S4" s="6" t="s">
        <v>441</v>
      </c>
    </row>
    <row r="5" spans="1:22">
      <c r="A5" s="220">
        <v>833002</v>
      </c>
      <c r="B5" s="220" t="s">
        <v>38</v>
      </c>
      <c r="C5" s="221" t="s">
        <v>23</v>
      </c>
      <c r="D5" s="222">
        <f t="shared" ca="1" si="0"/>
        <v>76</v>
      </c>
      <c r="E5" s="222">
        <f t="shared" ca="1" si="0"/>
        <v>65</v>
      </c>
      <c r="F5" s="222">
        <f t="shared" ca="1" si="0"/>
        <v>98</v>
      </c>
      <c r="G5" s="223">
        <f t="shared" ca="1" si="1"/>
        <v>79.666666666666671</v>
      </c>
      <c r="H5" s="224"/>
      <c r="I5" s="224"/>
      <c r="J5" s="225"/>
      <c r="K5" s="226"/>
      <c r="L5" s="227"/>
      <c r="M5" s="228"/>
      <c r="O5" s="88" t="s">
        <v>38</v>
      </c>
      <c r="P5" s="219">
        <v>4</v>
      </c>
      <c r="R5" s="112" t="s">
        <v>228</v>
      </c>
      <c r="S5" s="6" t="s">
        <v>397</v>
      </c>
    </row>
    <row r="6" spans="1:22">
      <c r="A6" s="220">
        <v>833003</v>
      </c>
      <c r="B6" s="220" t="s">
        <v>24</v>
      </c>
      <c r="C6" s="221" t="s">
        <v>23</v>
      </c>
      <c r="D6" s="222">
        <f t="shared" ca="1" si="0"/>
        <v>65</v>
      </c>
      <c r="E6" s="222">
        <f t="shared" ca="1" si="0"/>
        <v>91</v>
      </c>
      <c r="F6" s="222">
        <f t="shared" ca="1" si="0"/>
        <v>41</v>
      </c>
      <c r="G6" s="223">
        <f t="shared" ca="1" si="1"/>
        <v>65.666666666666671</v>
      </c>
      <c r="H6" s="224"/>
      <c r="I6" s="224"/>
      <c r="J6" s="225"/>
      <c r="K6" s="226"/>
      <c r="L6" s="227"/>
      <c r="M6" s="228"/>
      <c r="O6" s="88" t="s">
        <v>144</v>
      </c>
      <c r="P6" s="219">
        <v>6</v>
      </c>
      <c r="R6" s="112" t="s">
        <v>235</v>
      </c>
      <c r="S6" s="6" t="s">
        <v>398</v>
      </c>
    </row>
    <row r="7" spans="1:22">
      <c r="A7" s="220">
        <v>833004</v>
      </c>
      <c r="B7" s="220" t="s">
        <v>144</v>
      </c>
      <c r="C7" s="221" t="s">
        <v>23</v>
      </c>
      <c r="D7" s="222">
        <f t="shared" ca="1" si="0"/>
        <v>66</v>
      </c>
      <c r="E7" s="222">
        <f t="shared" ca="1" si="0"/>
        <v>41</v>
      </c>
      <c r="F7" s="222">
        <f t="shared" ca="1" si="0"/>
        <v>40</v>
      </c>
      <c r="G7" s="223">
        <f t="shared" ca="1" si="1"/>
        <v>49</v>
      </c>
      <c r="H7" s="224"/>
      <c r="I7" s="224"/>
      <c r="J7" s="225"/>
      <c r="K7" s="226"/>
      <c r="L7" s="227"/>
      <c r="M7" s="228"/>
      <c r="O7" s="88" t="s">
        <v>25</v>
      </c>
      <c r="P7" s="219">
        <v>3</v>
      </c>
      <c r="R7" s="113" t="s">
        <v>239</v>
      </c>
      <c r="S7" s="6" t="s">
        <v>399</v>
      </c>
    </row>
    <row r="8" spans="1:22">
      <c r="A8" s="220">
        <v>833005</v>
      </c>
      <c r="B8" s="220" t="s">
        <v>25</v>
      </c>
      <c r="C8" s="221" t="s">
        <v>22</v>
      </c>
      <c r="D8" s="222">
        <f t="shared" ca="1" si="0"/>
        <v>59</v>
      </c>
      <c r="E8" s="222">
        <f t="shared" ca="1" si="0"/>
        <v>60</v>
      </c>
      <c r="F8" s="222">
        <f t="shared" ca="1" si="0"/>
        <v>69</v>
      </c>
      <c r="G8" s="223">
        <f t="shared" ca="1" si="1"/>
        <v>62.666666666666664</v>
      </c>
      <c r="H8" s="224"/>
      <c r="I8" s="224"/>
      <c r="J8" s="225"/>
      <c r="K8" s="226"/>
      <c r="L8" s="227"/>
      <c r="M8" s="228"/>
      <c r="O8" s="88" t="s">
        <v>2</v>
      </c>
      <c r="P8" s="219">
        <v>1</v>
      </c>
      <c r="R8" s="112" t="s">
        <v>236</v>
      </c>
      <c r="S8" s="6" t="s">
        <v>400</v>
      </c>
    </row>
    <row r="9" spans="1:22">
      <c r="A9" s="220">
        <v>833006</v>
      </c>
      <c r="B9" s="220" t="s">
        <v>26</v>
      </c>
      <c r="C9" s="221" t="s">
        <v>23</v>
      </c>
      <c r="D9" s="222">
        <f t="shared" ca="1" si="0"/>
        <v>54</v>
      </c>
      <c r="E9" s="222">
        <f t="shared" ca="1" si="0"/>
        <v>61</v>
      </c>
      <c r="F9" s="222">
        <f t="shared" ca="1" si="0"/>
        <v>68</v>
      </c>
      <c r="G9" s="223">
        <f t="shared" ca="1" si="1"/>
        <v>61</v>
      </c>
      <c r="H9" s="224"/>
      <c r="I9" s="224"/>
      <c r="J9" s="225"/>
      <c r="K9" s="226"/>
      <c r="L9" s="227"/>
      <c r="M9" s="228"/>
      <c r="R9" s="112" t="s">
        <v>401</v>
      </c>
      <c r="S9" s="6" t="s">
        <v>402</v>
      </c>
    </row>
    <row r="10" spans="1:22">
      <c r="A10" s="220">
        <v>833007</v>
      </c>
      <c r="B10" s="220" t="s">
        <v>210</v>
      </c>
      <c r="C10" s="221" t="s">
        <v>22</v>
      </c>
      <c r="D10" s="222">
        <f t="shared" ca="1" si="0"/>
        <v>92</v>
      </c>
      <c r="E10" s="222">
        <f t="shared" ca="1" si="0"/>
        <v>47</v>
      </c>
      <c r="F10" s="222">
        <f t="shared" ca="1" si="0"/>
        <v>97</v>
      </c>
      <c r="G10" s="223">
        <f t="shared" ca="1" si="1"/>
        <v>78.666666666666671</v>
      </c>
      <c r="H10" s="224"/>
      <c r="I10" s="224"/>
      <c r="J10" s="225"/>
      <c r="K10" s="226"/>
      <c r="L10" s="227"/>
      <c r="M10" s="228"/>
      <c r="R10" s="112" t="s">
        <v>238</v>
      </c>
      <c r="S10" s="6" t="s">
        <v>403</v>
      </c>
      <c r="T10" s="229" t="s">
        <v>404</v>
      </c>
      <c r="U10" s="6" t="str">
        <f>REPT("*",5)</f>
        <v>*****</v>
      </c>
      <c r="V10" s="6" t="str">
        <f ca="1">_xlfn.FORMULATEXT(U10)</f>
        <v>=REPT("*",5)</v>
      </c>
    </row>
    <row r="11" spans="1:22">
      <c r="A11" s="220">
        <v>833008</v>
      </c>
      <c r="B11" s="220" t="s">
        <v>51</v>
      </c>
      <c r="C11" s="221" t="s">
        <v>23</v>
      </c>
      <c r="D11" s="222">
        <f t="shared" ca="1" si="0"/>
        <v>57</v>
      </c>
      <c r="E11" s="222">
        <f t="shared" ca="1" si="0"/>
        <v>48</v>
      </c>
      <c r="F11" s="222">
        <f t="shared" ca="1" si="0"/>
        <v>91</v>
      </c>
      <c r="G11" s="223">
        <f t="shared" ca="1" si="1"/>
        <v>65.333333333333329</v>
      </c>
      <c r="H11" s="224"/>
      <c r="I11" s="224"/>
      <c r="J11" s="225"/>
      <c r="K11" s="226"/>
      <c r="L11" s="227"/>
      <c r="M11" s="228"/>
      <c r="R11" s="112" t="s">
        <v>237</v>
      </c>
    </row>
    <row r="12" spans="1:22">
      <c r="A12" s="220">
        <v>833009</v>
      </c>
      <c r="B12" s="220" t="s">
        <v>211</v>
      </c>
      <c r="C12" s="221" t="s">
        <v>22</v>
      </c>
      <c r="D12" s="222">
        <f t="shared" ca="1" si="0"/>
        <v>70</v>
      </c>
      <c r="E12" s="222">
        <f t="shared" ca="1" si="0"/>
        <v>90</v>
      </c>
      <c r="F12" s="222">
        <f t="shared" ca="1" si="0"/>
        <v>53</v>
      </c>
      <c r="G12" s="223">
        <f t="shared" ca="1" si="1"/>
        <v>71</v>
      </c>
      <c r="H12" s="224"/>
      <c r="I12" s="224"/>
      <c r="J12" s="225"/>
      <c r="K12" s="226"/>
      <c r="L12" s="227"/>
      <c r="M12" s="228"/>
    </row>
    <row r="13" spans="1:22">
      <c r="A13" s="220">
        <v>833010</v>
      </c>
      <c r="B13" s="220" t="s">
        <v>50</v>
      </c>
      <c r="C13" s="221" t="s">
        <v>22</v>
      </c>
      <c r="D13" s="222">
        <f t="shared" ca="1" si="0"/>
        <v>80</v>
      </c>
      <c r="E13" s="222">
        <f t="shared" ca="1" si="0"/>
        <v>55</v>
      </c>
      <c r="F13" s="222">
        <f t="shared" ca="1" si="0"/>
        <v>77</v>
      </c>
      <c r="G13" s="223">
        <f t="shared" ca="1" si="1"/>
        <v>70.666666666666671</v>
      </c>
      <c r="H13" s="224"/>
      <c r="I13" s="224"/>
      <c r="J13" s="225"/>
      <c r="K13" s="226"/>
      <c r="L13" s="227"/>
      <c r="M13" s="228"/>
      <c r="Q13" s="230" t="s">
        <v>226</v>
      </c>
    </row>
    <row r="14" spans="1:22">
      <c r="A14" s="220">
        <v>833011</v>
      </c>
      <c r="B14" s="220" t="s">
        <v>2</v>
      </c>
      <c r="C14" s="221" t="s">
        <v>23</v>
      </c>
      <c r="D14" s="222">
        <f t="shared" ca="1" si="0"/>
        <v>78</v>
      </c>
      <c r="E14" s="222">
        <f t="shared" ca="1" si="0"/>
        <v>68</v>
      </c>
      <c r="F14" s="222">
        <f t="shared" ca="1" si="0"/>
        <v>93</v>
      </c>
      <c r="G14" s="223">
        <f t="shared" ca="1" si="1"/>
        <v>79.666666666666671</v>
      </c>
      <c r="H14" s="224"/>
      <c r="I14" s="224"/>
      <c r="J14" s="225"/>
      <c r="K14" s="226"/>
      <c r="L14" s="227"/>
      <c r="M14" s="228"/>
      <c r="Q14" s="231" t="s">
        <v>234</v>
      </c>
      <c r="R14" s="232"/>
    </row>
    <row r="15" spans="1:22">
      <c r="A15" s="220">
        <v>833012</v>
      </c>
      <c r="B15" s="220" t="s">
        <v>55</v>
      </c>
      <c r="C15" s="221" t="s">
        <v>23</v>
      </c>
      <c r="D15" s="222">
        <f t="shared" ca="1" si="0"/>
        <v>92</v>
      </c>
      <c r="E15" s="222">
        <f t="shared" ca="1" si="0"/>
        <v>55</v>
      </c>
      <c r="F15" s="222">
        <f t="shared" ca="1" si="0"/>
        <v>66</v>
      </c>
      <c r="G15" s="223">
        <f t="shared" ca="1" si="1"/>
        <v>71</v>
      </c>
      <c r="H15" s="224"/>
      <c r="I15" s="224"/>
      <c r="J15" s="225"/>
      <c r="K15" s="226"/>
      <c r="L15" s="227"/>
      <c r="M15" s="228"/>
      <c r="Q15" s="233" t="s">
        <v>221</v>
      </c>
    </row>
    <row r="16" spans="1:22">
      <c r="A16" s="220">
        <v>833013</v>
      </c>
      <c r="B16" s="220" t="s">
        <v>212</v>
      </c>
      <c r="C16" s="221" t="s">
        <v>22</v>
      </c>
      <c r="D16" s="222">
        <f t="shared" ca="1" si="0"/>
        <v>79</v>
      </c>
      <c r="E16" s="222">
        <f t="shared" ca="1" si="0"/>
        <v>61</v>
      </c>
      <c r="F16" s="222">
        <f t="shared" ca="1" si="0"/>
        <v>69</v>
      </c>
      <c r="G16" s="223">
        <f t="shared" ca="1" si="1"/>
        <v>69.666666666666671</v>
      </c>
      <c r="H16" s="224"/>
      <c r="I16" s="224"/>
      <c r="J16" s="225"/>
      <c r="K16" s="226"/>
      <c r="L16" s="227"/>
      <c r="M16" s="228"/>
      <c r="Q16" s="234" t="s">
        <v>341</v>
      </c>
    </row>
    <row r="17" spans="1:17">
      <c r="A17" s="235">
        <v>833014</v>
      </c>
      <c r="B17" s="235" t="s">
        <v>213</v>
      </c>
      <c r="C17" s="236" t="s">
        <v>22</v>
      </c>
      <c r="D17" s="237">
        <f t="shared" ca="1" si="0"/>
        <v>63</v>
      </c>
      <c r="E17" s="237">
        <f t="shared" ca="1" si="0"/>
        <v>100</v>
      </c>
      <c r="F17" s="237">
        <f t="shared" ca="1" si="0"/>
        <v>55</v>
      </c>
      <c r="G17" s="238">
        <f t="shared" ca="1" si="1"/>
        <v>72.666666666666671</v>
      </c>
      <c r="H17" s="239"/>
      <c r="I17" s="239"/>
      <c r="J17" s="240"/>
      <c r="K17" s="241"/>
      <c r="L17" s="242"/>
      <c r="M17" s="243"/>
      <c r="Q17" s="244" t="s">
        <v>225</v>
      </c>
    </row>
    <row r="18" spans="1:17">
      <c r="L18" s="6"/>
      <c r="M18" s="5"/>
      <c r="Q18" s="245"/>
    </row>
    <row r="19" spans="1:17">
      <c r="L19" s="6"/>
      <c r="M19" s="5"/>
      <c r="Q19" s="233" t="s">
        <v>222</v>
      </c>
    </row>
    <row r="20" spans="1:17" ht="16.8" thickBot="1">
      <c r="L20" s="6"/>
      <c r="M20" s="5"/>
      <c r="Q20" s="246" t="s">
        <v>342</v>
      </c>
    </row>
    <row r="21" spans="1:17">
      <c r="A21" s="316" t="s">
        <v>27</v>
      </c>
      <c r="B21" s="317"/>
      <c r="C21" s="317"/>
      <c r="D21" s="317"/>
      <c r="H21" s="10" t="s">
        <v>12</v>
      </c>
      <c r="I21" s="151" t="s">
        <v>13</v>
      </c>
      <c r="J21" s="11" t="s">
        <v>21</v>
      </c>
      <c r="N21" s="105" t="s">
        <v>216</v>
      </c>
      <c r="P21" s="125"/>
      <c r="Q21" s="247" t="s">
        <v>224</v>
      </c>
    </row>
    <row r="22" spans="1:17">
      <c r="A22" s="248" t="s">
        <v>306</v>
      </c>
      <c r="B22" s="249"/>
      <c r="C22" s="249"/>
      <c r="D22" s="249"/>
      <c r="H22" s="89" t="s">
        <v>28</v>
      </c>
      <c r="I22" s="12" t="s">
        <v>29</v>
      </c>
      <c r="J22" s="13">
        <v>1.1000000000000001</v>
      </c>
      <c r="N22" s="103" t="s">
        <v>214</v>
      </c>
      <c r="O22" s="103" t="s">
        <v>215</v>
      </c>
      <c r="Q22" s="250" t="s">
        <v>223</v>
      </c>
    </row>
    <row r="23" spans="1:17">
      <c r="A23" s="248" t="s">
        <v>307</v>
      </c>
      <c r="B23" s="249"/>
      <c r="C23" s="249"/>
      <c r="D23" s="249"/>
      <c r="H23" s="89" t="s">
        <v>30</v>
      </c>
      <c r="I23" s="12" t="s">
        <v>31</v>
      </c>
      <c r="J23" s="13">
        <v>1.08</v>
      </c>
      <c r="N23" s="104">
        <v>10</v>
      </c>
      <c r="O23" s="104"/>
    </row>
    <row r="24" spans="1:17">
      <c r="A24" s="248" t="s">
        <v>308</v>
      </c>
      <c r="B24" s="249"/>
      <c r="C24" s="249"/>
      <c r="D24" s="249"/>
      <c r="H24" s="89" t="s">
        <v>32</v>
      </c>
      <c r="I24" s="12" t="s">
        <v>33</v>
      </c>
      <c r="J24" s="13">
        <v>1.05</v>
      </c>
    </row>
    <row r="25" spans="1:17" ht="16.8" thickBot="1">
      <c r="A25" s="251" t="s">
        <v>36</v>
      </c>
      <c r="B25" s="251"/>
      <c r="C25" s="251"/>
      <c r="D25" s="251"/>
      <c r="H25" s="90" t="s">
        <v>34</v>
      </c>
      <c r="I25" s="14" t="s">
        <v>35</v>
      </c>
      <c r="J25" s="15">
        <v>0.98</v>
      </c>
      <c r="N25" s="121" t="s">
        <v>254</v>
      </c>
    </row>
    <row r="26" spans="1:17">
      <c r="B26" s="252">
        <v>1</v>
      </c>
      <c r="C26" s="125"/>
      <c r="D26" s="125"/>
      <c r="N26" s="318" t="e">
        <f>N23/O23</f>
        <v>#DIV/0!</v>
      </c>
      <c r="O26" s="319"/>
      <c r="P26" s="6" t="str">
        <f ca="1">_xlfn.FORMULATEXT(N26)</f>
        <v>=N23/O23</v>
      </c>
    </row>
    <row r="27" spans="1:17" ht="18.899999999999999" customHeight="1">
      <c r="A27" s="251" t="s">
        <v>37</v>
      </c>
      <c r="B27" s="251"/>
      <c r="C27" s="251"/>
      <c r="D27" s="251"/>
      <c r="H27" s="83" t="s">
        <v>96</v>
      </c>
      <c r="I27" s="83" t="s">
        <v>207</v>
      </c>
      <c r="J27" s="84" t="s">
        <v>309</v>
      </c>
      <c r="N27" s="320" t="str">
        <f>IFERROR(N23/O23,"請先輸入除數")</f>
        <v>請先輸入除數</v>
      </c>
      <c r="O27" s="321"/>
      <c r="P27" s="6" t="str">
        <f ca="1">_xlfn.FORMULATEXT(N27)</f>
        <v>=IFERROR(N23/O23,"請先輸入除數")</v>
      </c>
    </row>
    <row r="28" spans="1:17">
      <c r="B28" s="253"/>
      <c r="C28" s="125"/>
      <c r="D28" s="125"/>
      <c r="H28" s="9" t="s">
        <v>405</v>
      </c>
      <c r="I28" s="85" t="s">
        <v>406</v>
      </c>
      <c r="J28" s="254">
        <f>VLOOKUP(H28,H22:J25,MATCH(I28,I3:K3,0),FALSE)</f>
        <v>1.05</v>
      </c>
      <c r="N28" s="6" t="s">
        <v>407</v>
      </c>
    </row>
    <row r="30" spans="1:17">
      <c r="A30" s="255" t="s">
        <v>408</v>
      </c>
      <c r="B30" s="160" t="s">
        <v>442</v>
      </c>
    </row>
    <row r="31" spans="1:17">
      <c r="A31" s="256"/>
      <c r="B31" s="160" t="s">
        <v>443</v>
      </c>
      <c r="N31" s="121" t="s">
        <v>409</v>
      </c>
    </row>
    <row r="32" spans="1:17">
      <c r="A32" s="256"/>
      <c r="B32" s="160" t="s">
        <v>444</v>
      </c>
      <c r="N32" s="257" t="s">
        <v>411</v>
      </c>
      <c r="O32" s="258"/>
      <c r="P32" s="257" t="s">
        <v>412</v>
      </c>
      <c r="Q32" s="259" t="s">
        <v>413</v>
      </c>
    </row>
    <row r="33" spans="1:18">
      <c r="B33" s="121" t="s">
        <v>410</v>
      </c>
      <c r="N33" s="260">
        <v>30475</v>
      </c>
      <c r="O33" s="258"/>
      <c r="P33" s="260">
        <v>30977</v>
      </c>
      <c r="Q33" s="261"/>
      <c r="R33" s="6">
        <f t="shared" ref="R33:R53" si="2">VLOOKUP(P33,$N$33:$N$53,1,0)</f>
        <v>30977</v>
      </c>
    </row>
    <row r="34" spans="1:18">
      <c r="N34" s="260">
        <v>31879</v>
      </c>
      <c r="O34" s="258"/>
      <c r="P34" s="262">
        <v>30987</v>
      </c>
      <c r="Q34" s="261"/>
      <c r="R34" s="6" t="e">
        <f t="shared" si="2"/>
        <v>#N/A</v>
      </c>
    </row>
    <row r="35" spans="1:18">
      <c r="A35" s="256" t="s">
        <v>414</v>
      </c>
      <c r="B35" s="9" t="str">
        <f>IFERROR(CHOOSE(B26,"A","B","C"),"只能1-3")</f>
        <v>A</v>
      </c>
      <c r="C35" s="256" t="str">
        <f ca="1">_xlfn.FORMULATEXT(B35)</f>
        <v>=IFERROR(CHOOSE(B26,"A","B","C"),"只能1-3")</v>
      </c>
      <c r="N35" s="260">
        <v>31883</v>
      </c>
      <c r="O35" s="258"/>
      <c r="P35" s="260">
        <v>30949</v>
      </c>
      <c r="Q35" s="261"/>
      <c r="R35" s="6">
        <f t="shared" si="2"/>
        <v>30949</v>
      </c>
    </row>
    <row r="36" spans="1:18">
      <c r="N36" s="262">
        <v>30529</v>
      </c>
      <c r="O36" s="258"/>
      <c r="P36" s="262">
        <v>31525</v>
      </c>
      <c r="Q36" s="261"/>
      <c r="R36" s="6">
        <f t="shared" si="2"/>
        <v>31525</v>
      </c>
    </row>
    <row r="37" spans="1:18">
      <c r="N37" s="260">
        <v>31888</v>
      </c>
      <c r="O37" s="258"/>
      <c r="P37" s="260">
        <v>30945</v>
      </c>
      <c r="Q37" s="261"/>
      <c r="R37" s="6">
        <f t="shared" si="2"/>
        <v>30945</v>
      </c>
    </row>
    <row r="38" spans="1:18">
      <c r="N38" s="260">
        <v>30949</v>
      </c>
      <c r="O38" s="258"/>
      <c r="P38" s="262">
        <v>30529</v>
      </c>
      <c r="Q38" s="261"/>
      <c r="R38" s="6">
        <f t="shared" si="2"/>
        <v>30529</v>
      </c>
    </row>
    <row r="39" spans="1:18">
      <c r="N39" s="262">
        <v>31525</v>
      </c>
      <c r="O39" s="258"/>
      <c r="P39" s="260">
        <v>30531</v>
      </c>
      <c r="Q39" s="261"/>
      <c r="R39" s="6">
        <f t="shared" si="2"/>
        <v>30531</v>
      </c>
    </row>
    <row r="40" spans="1:18">
      <c r="N40" s="262">
        <v>30986</v>
      </c>
      <c r="O40" s="258"/>
      <c r="P40" s="262">
        <v>30530</v>
      </c>
      <c r="Q40" s="261"/>
      <c r="R40" s="6" t="e">
        <f t="shared" si="2"/>
        <v>#N/A</v>
      </c>
    </row>
    <row r="41" spans="1:18">
      <c r="N41" s="262">
        <v>30532</v>
      </c>
      <c r="O41" s="258"/>
      <c r="P41" s="260">
        <v>31879</v>
      </c>
      <c r="Q41" s="261"/>
      <c r="R41" s="6">
        <f t="shared" si="2"/>
        <v>31879</v>
      </c>
    </row>
    <row r="42" spans="1:18">
      <c r="N42" s="260">
        <v>31895</v>
      </c>
      <c r="O42" s="258"/>
      <c r="P42" s="262">
        <v>31880</v>
      </c>
      <c r="Q42" s="261"/>
      <c r="R42" s="6">
        <f t="shared" si="2"/>
        <v>31880</v>
      </c>
    </row>
    <row r="43" spans="1:18">
      <c r="N43" s="260">
        <v>30478</v>
      </c>
      <c r="O43" s="258"/>
      <c r="P43" s="260">
        <v>31883</v>
      </c>
      <c r="Q43" s="261"/>
      <c r="R43" s="6">
        <f t="shared" si="2"/>
        <v>31883</v>
      </c>
    </row>
    <row r="44" spans="1:18">
      <c r="N44" s="260">
        <v>30531</v>
      </c>
      <c r="O44" s="258"/>
      <c r="P44" s="262">
        <v>31884</v>
      </c>
      <c r="Q44" s="261"/>
      <c r="R44" s="6">
        <f t="shared" si="2"/>
        <v>31884</v>
      </c>
    </row>
    <row r="45" spans="1:18">
      <c r="N45" s="260">
        <v>30945</v>
      </c>
      <c r="O45" s="258"/>
      <c r="P45" s="260">
        <v>31887</v>
      </c>
      <c r="Q45" s="261"/>
      <c r="R45" s="6">
        <f t="shared" si="2"/>
        <v>31887</v>
      </c>
    </row>
    <row r="46" spans="1:18">
      <c r="N46" s="262">
        <v>30476</v>
      </c>
      <c r="O46" s="258"/>
      <c r="P46" s="262">
        <v>31669</v>
      </c>
      <c r="Q46" s="261"/>
      <c r="R46" s="6">
        <f t="shared" si="2"/>
        <v>31669</v>
      </c>
    </row>
    <row r="47" spans="1:18">
      <c r="N47" s="262">
        <v>31884</v>
      </c>
      <c r="O47" s="258"/>
      <c r="P47" s="260">
        <v>30475</v>
      </c>
      <c r="Q47" s="261"/>
      <c r="R47" s="6">
        <f t="shared" si="2"/>
        <v>30475</v>
      </c>
    </row>
    <row r="48" spans="1:18">
      <c r="N48" s="260">
        <v>30977</v>
      </c>
      <c r="O48" s="258"/>
      <c r="P48" s="262">
        <v>30476</v>
      </c>
      <c r="Q48" s="261"/>
      <c r="R48" s="6">
        <f t="shared" si="2"/>
        <v>30476</v>
      </c>
    </row>
    <row r="49" spans="14:18">
      <c r="N49" s="262">
        <v>31669</v>
      </c>
      <c r="O49" s="258"/>
      <c r="P49" s="260">
        <v>30479</v>
      </c>
      <c r="Q49" s="261"/>
      <c r="R49" s="6">
        <f t="shared" si="2"/>
        <v>30479</v>
      </c>
    </row>
    <row r="50" spans="14:18">
      <c r="N50" s="260">
        <v>31887</v>
      </c>
      <c r="O50" s="258"/>
      <c r="P50" s="262">
        <v>30479</v>
      </c>
      <c r="Q50" s="261"/>
      <c r="R50" s="6">
        <f t="shared" si="2"/>
        <v>30479</v>
      </c>
    </row>
    <row r="51" spans="14:18">
      <c r="N51" s="262">
        <v>30479</v>
      </c>
      <c r="O51" s="258"/>
      <c r="P51" s="260">
        <v>31888</v>
      </c>
      <c r="Q51" s="261"/>
      <c r="R51" s="6">
        <f t="shared" si="2"/>
        <v>31888</v>
      </c>
    </row>
    <row r="52" spans="14:18">
      <c r="N52" s="262">
        <v>31893</v>
      </c>
      <c r="O52" s="258"/>
      <c r="P52" s="262">
        <v>31893</v>
      </c>
      <c r="Q52" s="261"/>
      <c r="R52" s="6">
        <f t="shared" si="2"/>
        <v>31893</v>
      </c>
    </row>
    <row r="53" spans="14:18">
      <c r="N53" s="262">
        <v>31880</v>
      </c>
      <c r="O53" s="258"/>
      <c r="P53" s="260">
        <v>31895</v>
      </c>
      <c r="Q53" s="261"/>
      <c r="R53" s="6">
        <f t="shared" si="2"/>
        <v>31895</v>
      </c>
    </row>
    <row r="54" spans="14:18">
      <c r="N54" s="263"/>
    </row>
    <row r="55" spans="14:18">
      <c r="N55" s="264"/>
    </row>
    <row r="56" spans="14:18">
      <c r="N56" s="263"/>
    </row>
    <row r="57" spans="14:18">
      <c r="N57" s="264"/>
    </row>
    <row r="58" spans="14:18">
      <c r="N58" s="263"/>
    </row>
  </sheetData>
  <mergeCells count="3">
    <mergeCell ref="A21:D21"/>
    <mergeCell ref="N26:O26"/>
    <mergeCell ref="N27:O27"/>
  </mergeCells>
  <phoneticPr fontId="3" type="noConversion"/>
  <conditionalFormatting sqref="P26:P27">
    <cfRule type="expression" dxfId="1" priority="2">
      <formula>ISBLANK(N26)</formula>
    </cfRule>
  </conditionalFormatting>
  <conditionalFormatting sqref="R33:R53">
    <cfRule type="expression" dxfId="0" priority="1">
      <formula>ISBLANK(Q33)</formula>
    </cfRule>
  </conditionalFormatting>
  <dataValidations count="2">
    <dataValidation type="list" allowBlank="1" showInputMessage="1" showErrorMessage="1" sqref="H28" xr:uid="{6291823E-FC23-42C8-BBB4-7F62D07089F6}">
      <formula1>$H$22:$H$25</formula1>
    </dataValidation>
    <dataValidation type="list" allowBlank="1" showInputMessage="1" showErrorMessage="1" sqref="I28" xr:uid="{5F529439-AC6A-4929-96E6-FF9C683E2B9D}">
      <formula1>$J$3:$K$3</formula1>
    </dataValidation>
  </dataValidations>
  <printOptions gridLinesSet="0"/>
  <pageMargins left="0.75" right="0.75" top="1" bottom="1" header="0.5" footer="0.5"/>
  <pageSetup paperSize="9" orientation="portrait" horizontalDpi="4294967292" verticalDpi="300" r:id="rId1"/>
  <headerFooter alignWithMargins="0">
    <oddHeader>&amp;C&amp;A&amp;R&amp;F</oddHeader>
    <oddFooter>第&amp;P頁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08ED-6C22-4E80-9490-E4AD1589A2F9}">
  <dimension ref="A1:Y32"/>
  <sheetViews>
    <sheetView showGridLines="0" topLeftCell="A10" workbookViewId="0">
      <selection activeCell="M32" sqref="M32"/>
    </sheetView>
  </sheetViews>
  <sheetFormatPr defaultColWidth="9" defaultRowHeight="16.2"/>
  <cols>
    <col min="1" max="1" width="11.44140625" style="125" customWidth="1"/>
    <col min="2" max="2" width="12.33203125" style="125" customWidth="1"/>
    <col min="3" max="3" width="10.109375" style="125" customWidth="1"/>
    <col min="4" max="10" width="9" style="125"/>
    <col min="11" max="11" width="12.109375" style="125" customWidth="1"/>
    <col min="12" max="16" width="9" style="125"/>
    <col min="17" max="17" width="6.88671875" style="125" customWidth="1"/>
    <col min="18" max="18" width="5.21875" style="125" customWidth="1"/>
    <col min="19" max="19" width="10.109375" style="125" customWidth="1"/>
    <col min="20" max="20" width="7.6640625" style="125" customWidth="1"/>
    <col min="21" max="21" width="9.77734375" style="125" customWidth="1"/>
    <col min="22" max="22" width="8.88671875" style="125" customWidth="1"/>
    <col min="23" max="23" width="9.77734375" style="125" customWidth="1"/>
    <col min="24" max="24" width="9" style="125"/>
    <col min="25" max="26" width="11.109375" style="125" customWidth="1"/>
    <col min="27" max="16384" width="9" style="125"/>
  </cols>
  <sheetData>
    <row r="1" spans="1:23" ht="25.5" customHeight="1">
      <c r="A1" s="322" t="s">
        <v>48</v>
      </c>
      <c r="B1" s="322"/>
      <c r="C1" s="322"/>
      <c r="D1" s="322"/>
      <c r="E1" s="322"/>
      <c r="F1" s="322"/>
      <c r="G1" s="322"/>
      <c r="H1" s="322"/>
      <c r="I1" s="322"/>
      <c r="J1" s="322"/>
      <c r="L1" s="265" t="s">
        <v>415</v>
      </c>
      <c r="Q1" s="323" t="s">
        <v>227</v>
      </c>
      <c r="R1" s="323"/>
    </row>
    <row r="2" spans="1:23" ht="37.799999999999997" customHeight="1">
      <c r="A2" s="86" t="s">
        <v>15</v>
      </c>
      <c r="B2" s="107" t="s">
        <v>416</v>
      </c>
      <c r="C2" s="107" t="s">
        <v>417</v>
      </c>
      <c r="D2" s="107" t="s">
        <v>418</v>
      </c>
      <c r="E2" s="107" t="s">
        <v>419</v>
      </c>
      <c r="F2" s="107" t="s">
        <v>420</v>
      </c>
      <c r="G2" s="107" t="s">
        <v>421</v>
      </c>
      <c r="H2" s="107" t="s">
        <v>422</v>
      </c>
      <c r="I2" s="107" t="s">
        <v>423</v>
      </c>
      <c r="J2" s="107" t="s">
        <v>424</v>
      </c>
      <c r="L2" s="86" t="s">
        <v>15</v>
      </c>
      <c r="M2" s="86" t="s">
        <v>93</v>
      </c>
      <c r="N2" s="86" t="s">
        <v>17</v>
      </c>
      <c r="O2" s="86" t="s">
        <v>18</v>
      </c>
      <c r="P2" s="86" t="s">
        <v>19</v>
      </c>
      <c r="Q2" s="86" t="s">
        <v>218</v>
      </c>
      <c r="R2" s="86" t="s">
        <v>439</v>
      </c>
      <c r="S2" s="111" t="s">
        <v>228</v>
      </c>
      <c r="U2" s="86" t="s">
        <v>220</v>
      </c>
      <c r="V2" s="86" t="s">
        <v>96</v>
      </c>
    </row>
    <row r="3" spans="1:23">
      <c r="A3" s="86" t="s">
        <v>40</v>
      </c>
      <c r="B3" s="107" t="s">
        <v>38</v>
      </c>
      <c r="C3" s="107" t="s">
        <v>49</v>
      </c>
      <c r="D3" s="107" t="s">
        <v>50</v>
      </c>
      <c r="E3" s="107" t="s">
        <v>51</v>
      </c>
      <c r="F3" s="107" t="s">
        <v>52</v>
      </c>
      <c r="G3" s="107" t="s">
        <v>53</v>
      </c>
      <c r="H3" s="107" t="s">
        <v>54</v>
      </c>
      <c r="I3" s="107" t="s">
        <v>26</v>
      </c>
      <c r="J3" s="107" t="s">
        <v>55</v>
      </c>
      <c r="L3" s="107">
        <v>833001</v>
      </c>
      <c r="M3" s="107" t="s">
        <v>145</v>
      </c>
      <c r="N3" s="266">
        <v>66</v>
      </c>
      <c r="O3" s="266">
        <v>65</v>
      </c>
      <c r="P3" s="267">
        <f t="shared" ref="P3:P16" si="0">AVERAGE(N3:O3)</f>
        <v>65.5</v>
      </c>
      <c r="Q3" s="268" t="str">
        <f t="shared" ref="Q3:Q16" si="1">IF(P3&gt;=90,"A",IF(P3&gt;=80,"B",IF(P3&gt;=70,"C",IF(P3&gt;=60,"D","F"))))</f>
        <v>D</v>
      </c>
      <c r="R3" s="268" t="str" cm="1">
        <f t="array" ref="R3">_xlfn.IFS(P3&gt;=90,"A",P3&gt;=80,"B",P3&gt;=70,"C",P3&gt;=60,"D",P3&lt;60,"F")</f>
        <v>D</v>
      </c>
      <c r="S3" s="269" t="str">
        <f t="shared" ref="S3:S16" si="2">VLOOKUP(P3,$U$3:$V$7,2)</f>
        <v>D</v>
      </c>
      <c r="U3" s="270">
        <v>0</v>
      </c>
      <c r="V3" s="271" t="s">
        <v>219</v>
      </c>
    </row>
    <row r="4" spans="1:23">
      <c r="A4" s="86" t="s">
        <v>41</v>
      </c>
      <c r="B4" s="107">
        <v>94</v>
      </c>
      <c r="C4" s="107">
        <v>97</v>
      </c>
      <c r="D4" s="107">
        <v>69</v>
      </c>
      <c r="E4" s="107">
        <v>56</v>
      </c>
      <c r="F4" s="107">
        <v>81</v>
      </c>
      <c r="G4" s="107">
        <v>58</v>
      </c>
      <c r="H4" s="107">
        <v>96</v>
      </c>
      <c r="I4" s="107">
        <v>50</v>
      </c>
      <c r="J4" s="107">
        <v>84</v>
      </c>
      <c r="L4" s="107">
        <v>833002</v>
      </c>
      <c r="M4" s="107" t="s">
        <v>38</v>
      </c>
      <c r="N4" s="266">
        <v>82</v>
      </c>
      <c r="O4" s="266">
        <v>94</v>
      </c>
      <c r="P4" s="267">
        <f t="shared" si="0"/>
        <v>88</v>
      </c>
      <c r="Q4" s="268" t="str">
        <f t="shared" si="1"/>
        <v>B</v>
      </c>
      <c r="R4" s="268" t="str" cm="1">
        <f t="array" ref="R4">_xlfn.IFS(P4&gt;=90,"A",P4&gt;=80,"B",P4&gt;=70,"C",P4&gt;=60,"D",P4&lt;60,"F")</f>
        <v>B</v>
      </c>
      <c r="S4" s="269" t="str">
        <f t="shared" si="2"/>
        <v>B</v>
      </c>
      <c r="U4" s="270">
        <v>60</v>
      </c>
      <c r="V4" s="271" t="s">
        <v>34</v>
      </c>
      <c r="W4" s="272" t="s">
        <v>230</v>
      </c>
    </row>
    <row r="5" spans="1:23">
      <c r="A5" s="86" t="s">
        <v>42</v>
      </c>
      <c r="B5" s="107">
        <v>67</v>
      </c>
      <c r="C5" s="107">
        <v>71</v>
      </c>
      <c r="D5" s="107">
        <v>64</v>
      </c>
      <c r="E5" s="107">
        <v>70</v>
      </c>
      <c r="F5" s="107">
        <v>89</v>
      </c>
      <c r="G5" s="107">
        <v>67</v>
      </c>
      <c r="H5" s="107">
        <v>100</v>
      </c>
      <c r="I5" s="107">
        <v>93</v>
      </c>
      <c r="J5" s="107">
        <v>89</v>
      </c>
      <c r="L5" s="107">
        <v>833003</v>
      </c>
      <c r="M5" s="107" t="s">
        <v>24</v>
      </c>
      <c r="N5" s="266">
        <v>45</v>
      </c>
      <c r="O5" s="266">
        <v>60</v>
      </c>
      <c r="P5" s="267">
        <f t="shared" si="0"/>
        <v>52.5</v>
      </c>
      <c r="Q5" s="268" t="str">
        <f t="shared" si="1"/>
        <v>F</v>
      </c>
      <c r="R5" s="268" t="str" cm="1">
        <f t="array" ref="R5">_xlfn.IFS(P5&gt;=90,"A",P5&gt;=80,"B",P5&gt;=70,"C",P5&gt;=60,"D",P5&lt;60,"F")</f>
        <v>F</v>
      </c>
      <c r="S5" s="269" t="str">
        <f t="shared" si="2"/>
        <v>F</v>
      </c>
      <c r="U5" s="270">
        <v>70</v>
      </c>
      <c r="V5" s="271" t="s">
        <v>32</v>
      </c>
      <c r="W5" s="272" t="s">
        <v>231</v>
      </c>
    </row>
    <row r="6" spans="1:23">
      <c r="A6" s="86" t="s">
        <v>43</v>
      </c>
      <c r="B6" s="107">
        <v>96</v>
      </c>
      <c r="C6" s="107">
        <v>52</v>
      </c>
      <c r="D6" s="107">
        <v>58</v>
      </c>
      <c r="E6" s="107">
        <v>66</v>
      </c>
      <c r="F6" s="107">
        <v>56</v>
      </c>
      <c r="G6" s="107">
        <v>63</v>
      </c>
      <c r="H6" s="107">
        <v>81</v>
      </c>
      <c r="I6" s="107">
        <v>72</v>
      </c>
      <c r="J6" s="107">
        <v>91</v>
      </c>
      <c r="L6" s="107">
        <v>833004</v>
      </c>
      <c r="M6" s="107" t="s">
        <v>144</v>
      </c>
      <c r="N6" s="266">
        <v>95</v>
      </c>
      <c r="O6" s="266">
        <v>87</v>
      </c>
      <c r="P6" s="267">
        <f t="shared" si="0"/>
        <v>91</v>
      </c>
      <c r="Q6" s="268" t="str">
        <f t="shared" si="1"/>
        <v>A</v>
      </c>
      <c r="R6" s="268" t="str" cm="1">
        <f t="array" ref="R6">_xlfn.IFS(P6&gt;=90,"A",P6&gt;=80,"B",P6&gt;=70,"C",P6&gt;=60,"D",P6&lt;60,"F")</f>
        <v>A</v>
      </c>
      <c r="S6" s="269" t="str">
        <f t="shared" si="2"/>
        <v>A</v>
      </c>
      <c r="U6" s="270">
        <v>80</v>
      </c>
      <c r="V6" s="271" t="s">
        <v>30</v>
      </c>
      <c r="W6" s="272" t="s">
        <v>232</v>
      </c>
    </row>
    <row r="7" spans="1:23">
      <c r="L7" s="107">
        <v>833005</v>
      </c>
      <c r="M7" s="107" t="s">
        <v>25</v>
      </c>
      <c r="N7" s="266">
        <v>97</v>
      </c>
      <c r="O7" s="266">
        <v>63</v>
      </c>
      <c r="P7" s="267">
        <f t="shared" si="0"/>
        <v>80</v>
      </c>
      <c r="Q7" s="268" t="str">
        <f t="shared" si="1"/>
        <v>B</v>
      </c>
      <c r="R7" s="268" t="str" cm="1">
        <f t="array" ref="R7">_xlfn.IFS(P7&gt;=90,"A",P7&gt;=80,"B",P7&gt;=70,"C",P7&gt;=60,"D",P7&lt;60,"F")</f>
        <v>B</v>
      </c>
      <c r="S7" s="269" t="str">
        <f t="shared" si="2"/>
        <v>B</v>
      </c>
      <c r="U7" s="270">
        <v>90</v>
      </c>
      <c r="V7" s="271" t="s">
        <v>28</v>
      </c>
      <c r="W7" s="272" t="s">
        <v>233</v>
      </c>
    </row>
    <row r="8" spans="1:23" ht="16.350000000000001" customHeight="1">
      <c r="L8" s="107">
        <v>833006</v>
      </c>
      <c r="M8" s="107" t="s">
        <v>26</v>
      </c>
      <c r="N8" s="266">
        <v>81</v>
      </c>
      <c r="O8" s="266">
        <v>63</v>
      </c>
      <c r="P8" s="267">
        <f t="shared" si="0"/>
        <v>72</v>
      </c>
      <c r="Q8" s="268" t="str">
        <f t="shared" si="1"/>
        <v>C</v>
      </c>
      <c r="R8" s="268" t="str" cm="1">
        <f t="array" ref="R8">_xlfn.IFS(P8&gt;=90,"A",P8&gt;=80,"B",P8&gt;=70,"C",P8&gt;=60,"D",P8&lt;60,"F")</f>
        <v>C</v>
      </c>
      <c r="S8" s="269" t="str">
        <f t="shared" si="2"/>
        <v>C</v>
      </c>
    </row>
    <row r="9" spans="1:23">
      <c r="C9" s="273" t="s">
        <v>235</v>
      </c>
      <c r="L9" s="107">
        <v>833007</v>
      </c>
      <c r="M9" s="107" t="s">
        <v>210</v>
      </c>
      <c r="N9" s="266">
        <v>68</v>
      </c>
      <c r="O9" s="266">
        <v>84</v>
      </c>
      <c r="P9" s="267">
        <f t="shared" si="0"/>
        <v>76</v>
      </c>
      <c r="Q9" s="268" t="str">
        <f t="shared" si="1"/>
        <v>C</v>
      </c>
      <c r="R9" s="268" t="str" cm="1">
        <f t="array" ref="R9">_xlfn.IFS(P9&gt;=90,"A",P9&gt;=80,"B",P9&gt;=70,"C",P9&gt;=60,"D",P9&lt;60,"F")</f>
        <v>C</v>
      </c>
      <c r="S9" s="269" t="str">
        <f t="shared" si="2"/>
        <v>C</v>
      </c>
    </row>
    <row r="10" spans="1:23">
      <c r="C10" s="86" t="s">
        <v>318</v>
      </c>
      <c r="D10" s="107" t="s">
        <v>416</v>
      </c>
      <c r="L10" s="107">
        <v>833008</v>
      </c>
      <c r="M10" s="107" t="s">
        <v>51</v>
      </c>
      <c r="N10" s="266">
        <v>70</v>
      </c>
      <c r="O10" s="266">
        <v>64</v>
      </c>
      <c r="P10" s="267">
        <f t="shared" si="0"/>
        <v>67</v>
      </c>
      <c r="Q10" s="268" t="str">
        <f t="shared" si="1"/>
        <v>D</v>
      </c>
      <c r="R10" s="268" t="str" cm="1">
        <f t="array" ref="R10">_xlfn.IFS(P10&gt;=90,"A",P10&gt;=80,"B",P10&gt;=70,"C",P10&gt;=60,"D",P10&lt;60,"F")</f>
        <v>D</v>
      </c>
      <c r="S10" s="269" t="str">
        <f t="shared" si="2"/>
        <v>D</v>
      </c>
    </row>
    <row r="11" spans="1:23">
      <c r="D11" s="274" t="s">
        <v>425</v>
      </c>
      <c r="E11" s="275" t="s">
        <v>426</v>
      </c>
      <c r="G11" s="276" t="s">
        <v>427</v>
      </c>
      <c r="L11" s="107">
        <v>833009</v>
      </c>
      <c r="M11" s="107" t="s">
        <v>211</v>
      </c>
      <c r="N11" s="266">
        <v>71</v>
      </c>
      <c r="O11" s="266">
        <v>40</v>
      </c>
      <c r="P11" s="267">
        <f t="shared" si="0"/>
        <v>55.5</v>
      </c>
      <c r="Q11" s="268" t="str">
        <f t="shared" si="1"/>
        <v>F</v>
      </c>
      <c r="R11" s="268" t="str" cm="1">
        <f t="array" ref="R11">_xlfn.IFS(P11&gt;=90,"A",P11&gt;=80,"B",P11&gt;=70,"C",P11&gt;=60,"D",P11&lt;60,"F")</f>
        <v>F</v>
      </c>
      <c r="S11" s="269" t="str">
        <f t="shared" si="2"/>
        <v>F</v>
      </c>
    </row>
    <row r="12" spans="1:23">
      <c r="C12" s="86" t="s">
        <v>40</v>
      </c>
      <c r="D12" s="107"/>
      <c r="E12" s="277"/>
      <c r="G12" s="107"/>
      <c r="L12" s="107">
        <v>833010</v>
      </c>
      <c r="M12" s="107" t="s">
        <v>50</v>
      </c>
      <c r="N12" s="266">
        <v>82</v>
      </c>
      <c r="O12" s="266">
        <v>94</v>
      </c>
      <c r="P12" s="267">
        <f>AVERAGE(N12:O12)</f>
        <v>88</v>
      </c>
      <c r="Q12" s="268" t="str">
        <f>IF(P12&gt;=90,"A",IF(P12&gt;=80,"B",IF(P12&gt;=70,"C",IF(P12&gt;=60,"D","F"))))</f>
        <v>B</v>
      </c>
      <c r="R12" s="268" t="str" cm="1">
        <f t="array" ref="R12">_xlfn.IFS(P12&gt;=90,"A",P12&gt;=80,"B",P12&gt;=70,"C",P12&gt;=60,"D",P12&lt;60,"F")</f>
        <v>B</v>
      </c>
      <c r="S12" s="269" t="str">
        <f>VLOOKUP(P12,$U$3:$V$7,2)</f>
        <v>B</v>
      </c>
    </row>
    <row r="13" spans="1:23">
      <c r="C13" s="86" t="s">
        <v>41</v>
      </c>
      <c r="D13" s="107"/>
      <c r="E13" s="277"/>
      <c r="G13" s="107"/>
      <c r="L13" s="107">
        <v>833011</v>
      </c>
      <c r="M13" s="107" t="s">
        <v>2</v>
      </c>
      <c r="N13" s="266">
        <v>92</v>
      </c>
      <c r="O13" s="266">
        <v>90</v>
      </c>
      <c r="P13" s="267">
        <f>AVERAGE(N13:O13)</f>
        <v>91</v>
      </c>
      <c r="Q13" s="268" t="str">
        <f>IF(P13&gt;=90,"A",IF(P13&gt;=80,"B",IF(P13&gt;=70,"C",IF(P13&gt;=60,"D","F"))))</f>
        <v>A</v>
      </c>
      <c r="R13" s="268" t="str" cm="1">
        <f t="array" ref="R13">_xlfn.IFS(P13&gt;=90,"A",P13&gt;=80,"B",P13&gt;=70,"C",P13&gt;=60,"D",P13&lt;60,"F")</f>
        <v>A</v>
      </c>
      <c r="S13" s="269" t="str">
        <f>VLOOKUP(P13,$U$3:$V$7,2)</f>
        <v>A</v>
      </c>
      <c r="V13" s="278" t="s">
        <v>228</v>
      </c>
    </row>
    <row r="14" spans="1:23">
      <c r="C14" s="86" t="s">
        <v>42</v>
      </c>
      <c r="D14" s="107"/>
      <c r="E14" s="277"/>
      <c r="G14" s="107"/>
      <c r="L14" s="107">
        <v>833012</v>
      </c>
      <c r="M14" s="107" t="s">
        <v>55</v>
      </c>
      <c r="N14" s="266">
        <v>51</v>
      </c>
      <c r="O14" s="266">
        <v>62</v>
      </c>
      <c r="P14" s="267">
        <f>AVERAGE(N14:O14)</f>
        <v>56.5</v>
      </c>
      <c r="Q14" s="268" t="str">
        <f>IF(P14&gt;=90,"A",IF(P14&gt;=80,"B",IF(P14&gt;=70,"C",IF(P14&gt;=60,"D","F"))))</f>
        <v>F</v>
      </c>
      <c r="R14" s="268" t="str" cm="1">
        <f t="array" ref="R14">_xlfn.IFS(P14&gt;=90,"A",P14&gt;=80,"B",P14&gt;=70,"C",P14&gt;=60,"D",P14&lt;60,"F")</f>
        <v>F</v>
      </c>
      <c r="S14" s="269" t="str">
        <f>VLOOKUP(P14,$U$3:$V$7,2)</f>
        <v>F</v>
      </c>
      <c r="V14" s="279" t="s">
        <v>229</v>
      </c>
    </row>
    <row r="15" spans="1:23">
      <c r="C15" s="86" t="s">
        <v>43</v>
      </c>
      <c r="D15" s="107"/>
      <c r="E15" s="277"/>
      <c r="G15" s="107"/>
      <c r="L15" s="107">
        <v>833013</v>
      </c>
      <c r="M15" s="107" t="s">
        <v>212</v>
      </c>
      <c r="N15" s="266">
        <v>88</v>
      </c>
      <c r="O15" s="266">
        <v>68</v>
      </c>
      <c r="P15" s="267">
        <f>AVERAGE(N15:O15)</f>
        <v>78</v>
      </c>
      <c r="Q15" s="268" t="str">
        <f>IF(P15&gt;=90,"A",IF(P15&gt;=80,"B",IF(P15&gt;=70,"C",IF(P15&gt;=60,"D","F"))))</f>
        <v>C</v>
      </c>
      <c r="R15" s="268" t="str" cm="1">
        <f t="array" ref="R15">_xlfn.IFS(P15&gt;=90,"A",P15&gt;=80,"B",P15&gt;=70,"C",P15&gt;=60,"D",P15&lt;60,"F")</f>
        <v>C</v>
      </c>
      <c r="S15" s="269" t="str">
        <f>VLOOKUP(P15,$U$3:$V$7,2)</f>
        <v>C</v>
      </c>
      <c r="V15" s="86" t="s">
        <v>11</v>
      </c>
      <c r="W15" s="86" t="s">
        <v>19</v>
      </c>
    </row>
    <row r="16" spans="1:23">
      <c r="C16" s="280" t="s">
        <v>45</v>
      </c>
      <c r="D16" s="281">
        <f>SUM(D13:D15)</f>
        <v>0</v>
      </c>
      <c r="E16" s="125" t="str">
        <f t="shared" ref="E16" ca="1" si="3">IFERROR(_xlfn.FORMULATEXT(D16),"")</f>
        <v>=SUM(D13:D15)</v>
      </c>
      <c r="L16" s="107">
        <v>833014</v>
      </c>
      <c r="M16" s="107" t="s">
        <v>213</v>
      </c>
      <c r="N16" s="266">
        <v>55</v>
      </c>
      <c r="O16" s="266">
        <v>99</v>
      </c>
      <c r="P16" s="267">
        <f t="shared" si="0"/>
        <v>77</v>
      </c>
      <c r="Q16" s="268" t="str">
        <f t="shared" si="1"/>
        <v>C</v>
      </c>
      <c r="R16" s="268" t="str" cm="1">
        <f t="array" ref="R16">_xlfn.IFS(P16&gt;=90,"A",P16&gt;=80,"B",P16&gt;=70,"C",P16&gt;=60,"D",P16&lt;60,"F")</f>
        <v>C</v>
      </c>
      <c r="S16" s="269" t="str">
        <f t="shared" si="2"/>
        <v>C</v>
      </c>
      <c r="U16" s="107" t="s">
        <v>38</v>
      </c>
      <c r="V16" s="269">
        <f>IFERROR(VLOOKUP(U16,$M$3:$P$16,4,FALSE),"")</f>
        <v>88</v>
      </c>
      <c r="W16" s="125" t="str">
        <f ca="1">IFERROR(_xlfn.FORMULATEXT(V16),"")</f>
        <v>=IFERROR(VLOOKUP(U16,$M$3:$P$16,4,FALSE),"")</v>
      </c>
    </row>
    <row r="18" spans="1:25">
      <c r="D18" s="274" t="s">
        <v>425</v>
      </c>
      <c r="E18" s="125" t="s">
        <v>428</v>
      </c>
      <c r="L18" s="108"/>
    </row>
    <row r="19" spans="1:25">
      <c r="D19" s="275" t="s">
        <v>426</v>
      </c>
      <c r="E19" s="125" t="s">
        <v>429</v>
      </c>
      <c r="L19" s="282"/>
      <c r="M19" s="282"/>
      <c r="N19" s="282"/>
      <c r="O19" s="282"/>
      <c r="P19" s="282"/>
      <c r="Q19" s="282"/>
      <c r="R19" s="282"/>
      <c r="S19" s="282"/>
      <c r="T19" s="282"/>
      <c r="U19" s="282"/>
      <c r="V19" s="282"/>
      <c r="W19" s="282"/>
      <c r="X19" s="282"/>
      <c r="Y19" s="282"/>
    </row>
    <row r="20" spans="1:25" ht="19.8">
      <c r="A20" s="188" t="s">
        <v>346</v>
      </c>
      <c r="L20" s="278" t="s">
        <v>239</v>
      </c>
    </row>
    <row r="21" spans="1:25" ht="15" customHeight="1">
      <c r="A21" s="283" t="s">
        <v>430</v>
      </c>
      <c r="B21" s="112" t="s">
        <v>235</v>
      </c>
      <c r="C21" s="6" t="s">
        <v>398</v>
      </c>
      <c r="L21" s="284" t="s">
        <v>259</v>
      </c>
      <c r="M21" s="285">
        <v>833003</v>
      </c>
    </row>
    <row r="22" spans="1:25" ht="32.4">
      <c r="A22" s="283" t="s">
        <v>430</v>
      </c>
      <c r="B22" s="113" t="s">
        <v>239</v>
      </c>
      <c r="C22" s="6" t="s">
        <v>399</v>
      </c>
      <c r="L22" s="284" t="s">
        <v>11</v>
      </c>
      <c r="M22" s="285" t="str">
        <f>LOOKUP(M21,U23:U30,T23:T30)</f>
        <v>林宸旭</v>
      </c>
      <c r="N22" s="125" t="str">
        <f ca="1">IFERROR(_xlfn.FORMULATEXT(M22),"")</f>
        <v>=LOOKUP(M21,U23:U30,T23:T30)</v>
      </c>
      <c r="T22" s="86" t="s">
        <v>93</v>
      </c>
      <c r="U22" s="86" t="s">
        <v>15</v>
      </c>
      <c r="V22" s="86" t="s">
        <v>17</v>
      </c>
      <c r="W22" s="86" t="s">
        <v>18</v>
      </c>
    </row>
    <row r="23" spans="1:25" ht="21" customHeight="1">
      <c r="A23" s="283" t="s">
        <v>430</v>
      </c>
      <c r="B23" s="286" t="s">
        <v>431</v>
      </c>
      <c r="T23" s="107" t="s">
        <v>145</v>
      </c>
      <c r="U23" s="107">
        <v>833002</v>
      </c>
      <c r="V23" s="266">
        <v>66</v>
      </c>
      <c r="W23" s="266">
        <v>65</v>
      </c>
    </row>
    <row r="24" spans="1:25">
      <c r="T24" s="107" t="s">
        <v>38</v>
      </c>
      <c r="U24" s="107">
        <v>833004</v>
      </c>
      <c r="V24" s="266">
        <v>82</v>
      </c>
      <c r="W24" s="266">
        <v>94</v>
      </c>
    </row>
    <row r="25" spans="1:25">
      <c r="K25" s="283" t="s">
        <v>430</v>
      </c>
      <c r="L25" s="287" t="s">
        <v>338</v>
      </c>
      <c r="T25" s="107" t="s">
        <v>24</v>
      </c>
      <c r="U25" s="107">
        <v>833006</v>
      </c>
      <c r="V25" s="266">
        <v>45</v>
      </c>
      <c r="W25" s="266">
        <v>60</v>
      </c>
    </row>
    <row r="26" spans="1:25">
      <c r="K26" s="283" t="s">
        <v>430</v>
      </c>
      <c r="L26" s="125" t="s">
        <v>432</v>
      </c>
      <c r="T26" s="107" t="s">
        <v>144</v>
      </c>
      <c r="U26" s="107">
        <v>833008</v>
      </c>
      <c r="V26" s="266">
        <v>95</v>
      </c>
      <c r="W26" s="266">
        <v>87</v>
      </c>
    </row>
    <row r="27" spans="1:25">
      <c r="T27" s="107" t="s">
        <v>25</v>
      </c>
      <c r="U27" s="107">
        <v>833010</v>
      </c>
      <c r="V27" s="266">
        <v>97</v>
      </c>
      <c r="W27" s="266">
        <v>63</v>
      </c>
    </row>
    <row r="28" spans="1:25">
      <c r="L28" s="288"/>
      <c r="M28" s="289"/>
      <c r="N28" s="289"/>
      <c r="O28" s="289"/>
      <c r="P28" s="289"/>
      <c r="Q28" s="289"/>
      <c r="T28" s="107" t="s">
        <v>26</v>
      </c>
      <c r="U28" s="107">
        <v>833012</v>
      </c>
      <c r="V28" s="266">
        <v>81</v>
      </c>
      <c r="W28" s="266">
        <v>63</v>
      </c>
    </row>
    <row r="29" spans="1:25">
      <c r="L29" s="278" t="s">
        <v>433</v>
      </c>
      <c r="T29" s="107" t="s">
        <v>210</v>
      </c>
      <c r="U29" s="107">
        <v>833014</v>
      </c>
      <c r="V29" s="266">
        <v>68</v>
      </c>
      <c r="W29" s="266">
        <v>84</v>
      </c>
    </row>
    <row r="30" spans="1:25">
      <c r="L30" s="284" t="s">
        <v>259</v>
      </c>
      <c r="M30" s="290">
        <v>833003</v>
      </c>
      <c r="T30" s="107" t="s">
        <v>51</v>
      </c>
      <c r="U30" s="107">
        <v>833016</v>
      </c>
      <c r="V30" s="266">
        <v>70</v>
      </c>
      <c r="W30" s="266">
        <v>64</v>
      </c>
    </row>
    <row r="31" spans="1:25">
      <c r="K31" s="109"/>
      <c r="L31" s="284" t="s">
        <v>11</v>
      </c>
      <c r="M31" s="291" t="str">
        <f>IFERROR(VLOOKUP(M30,CHOOSE({2,1},T23:T30,U23:U30),2,FALSE),"沒這學號")</f>
        <v>沒這學號</v>
      </c>
      <c r="N31" s="125" t="str">
        <f ca="1">IFERROR(_xlfn.FORMULATEXT(M31),"")</f>
        <v>=IFERROR(VLOOKUP(M30,CHOOSE({2,1},T23:T30,U23:U30),2,FALSE),"沒這學號")</v>
      </c>
    </row>
    <row r="32" spans="1:25">
      <c r="K32" s="283" t="s">
        <v>430</v>
      </c>
      <c r="L32" s="125" t="s">
        <v>434</v>
      </c>
    </row>
  </sheetData>
  <mergeCells count="2">
    <mergeCell ref="A1:J1"/>
    <mergeCell ref="Q1:R1"/>
  </mergeCells>
  <phoneticPr fontId="3" type="noConversion"/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工作表8"/>
  <dimension ref="A1:B8"/>
  <sheetViews>
    <sheetView workbookViewId="0"/>
  </sheetViews>
  <sheetFormatPr defaultColWidth="8.88671875" defaultRowHeight="16.2"/>
  <cols>
    <col min="1" max="1" width="16.109375" style="3" bestFit="1" customWidth="1"/>
    <col min="2" max="2" width="10.21875" style="3" customWidth="1"/>
    <col min="3" max="16384" width="8.88671875" style="3"/>
  </cols>
  <sheetData>
    <row r="1" spans="1:2">
      <c r="A1" s="16">
        <v>24144</v>
      </c>
      <c r="B1" s="16">
        <f ca="1">TODAY()</f>
        <v>44320</v>
      </c>
    </row>
    <row r="2" spans="1:2">
      <c r="A2" s="17">
        <f>DATE(YEAR(A1)+25,MONTH(A1)+10,DAY(A1)+10)</f>
        <v>33588</v>
      </c>
      <c r="B2" s="3" t="s">
        <v>65</v>
      </c>
    </row>
    <row r="3" spans="1:2">
      <c r="A3" s="18" t="str">
        <f>TEXT(WEEKDAY(A1),"aaaa")</f>
        <v>星期日</v>
      </c>
      <c r="B3" s="3" t="s">
        <v>66</v>
      </c>
    </row>
    <row r="4" spans="1:2">
      <c r="A4" s="18">
        <f ca="1">IF(OR(MONTH(A1)&lt;MONTH(TODAY()),AND(MONTH(A1)=MONTH(TODAY()),DAY(A1)&lt;DAY(TODAY()))),YEAR(TODAY())-YEAR(A1),YEAR(TODAY())-YEAR(A1)-1)</f>
        <v>55</v>
      </c>
      <c r="B4" s="3" t="s">
        <v>67</v>
      </c>
    </row>
    <row r="5" spans="1:2">
      <c r="A5" s="18">
        <f ca="1">IF(OR(MONTH(A1)&lt;MONTH(TODAY()),AND(MONTH(A1)=MONTH(TODAY()),DAY(A1)&lt;DAY(TODAY()))),YEAR(TODAY())-YEAR(A1)+1,YEAR(TODAY())-YEAR(A1))</f>
        <v>56</v>
      </c>
      <c r="B5" s="3" t="s">
        <v>68</v>
      </c>
    </row>
    <row r="6" spans="1:2">
      <c r="A6" s="18">
        <f ca="1">YEAR(B1)-YEAR(A1)</f>
        <v>55</v>
      </c>
      <c r="B6" s="3" t="s">
        <v>71</v>
      </c>
    </row>
    <row r="7" spans="1:2">
      <c r="A7" s="18">
        <f ca="1">(YEAR(B1)-YEAR(A1))*12+(MONTH(B1)-MONTH(A1))</f>
        <v>663</v>
      </c>
      <c r="B7" s="3" t="s">
        <v>70</v>
      </c>
    </row>
    <row r="8" spans="1:2">
      <c r="A8" s="18">
        <f ca="1">B1-A1</f>
        <v>20176</v>
      </c>
      <c r="B8" s="3" t="s">
        <v>69</v>
      </c>
    </row>
  </sheetData>
  <phoneticPr fontId="3" type="noConversion"/>
  <pageMargins left="0.75" right="0.75" top="1" bottom="1" header="0.5" footer="0.5"/>
  <pageSetup paperSize="9" orientation="portrait" horizontalDpi="360" verticalDpi="36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工作表9"/>
  <dimension ref="A1:H25"/>
  <sheetViews>
    <sheetView showGridLines="0" workbookViewId="0">
      <selection activeCell="C2" sqref="C2"/>
    </sheetView>
  </sheetViews>
  <sheetFormatPr defaultRowHeight="16.2"/>
  <cols>
    <col min="2" max="2" width="28.44140625" bestFit="1" customWidth="1"/>
    <col min="3" max="3" width="9.6640625" bestFit="1" customWidth="1"/>
    <col min="4" max="4" width="18.44140625" customWidth="1"/>
    <col min="5" max="5" width="5.88671875" customWidth="1"/>
    <col min="6" max="6" width="14.33203125" customWidth="1"/>
    <col min="7" max="7" width="19.77734375" bestFit="1" customWidth="1"/>
    <col min="8" max="8" width="13.44140625" bestFit="1" customWidth="1"/>
  </cols>
  <sheetData>
    <row r="1" spans="1:8">
      <c r="A1" s="106" t="s">
        <v>93</v>
      </c>
      <c r="B1" s="106" t="s">
        <v>262</v>
      </c>
      <c r="C1" s="106" t="s">
        <v>94</v>
      </c>
      <c r="D1" s="106" t="s">
        <v>263</v>
      </c>
      <c r="G1" s="106" t="s">
        <v>80</v>
      </c>
      <c r="H1" s="106" t="s">
        <v>81</v>
      </c>
    </row>
    <row r="2" spans="1:8">
      <c r="A2" s="19" t="s">
        <v>6</v>
      </c>
      <c r="B2" s="19" t="s">
        <v>82</v>
      </c>
      <c r="C2" s="19"/>
      <c r="D2" s="19"/>
      <c r="G2" s="19" t="s">
        <v>72</v>
      </c>
      <c r="H2" s="19">
        <f>VALUE(G2)</f>
        <v>12345</v>
      </c>
    </row>
    <row r="3" spans="1:8">
      <c r="A3" s="20" t="s">
        <v>133</v>
      </c>
      <c r="B3" s="20" t="s">
        <v>83</v>
      </c>
      <c r="C3" s="20"/>
      <c r="D3" s="20"/>
      <c r="G3" s="20" t="s">
        <v>73</v>
      </c>
      <c r="H3" s="20">
        <f t="shared" ref="H3:H9" si="0">VALUE(G3)</f>
        <v>12000</v>
      </c>
    </row>
    <row r="4" spans="1:8">
      <c r="A4" s="21" t="s">
        <v>134</v>
      </c>
      <c r="B4" s="21" t="s">
        <v>84</v>
      </c>
      <c r="C4" s="21"/>
      <c r="D4" s="21"/>
      <c r="G4" s="19" t="s">
        <v>77</v>
      </c>
      <c r="H4" s="19">
        <f t="shared" si="0"/>
        <v>12000</v>
      </c>
    </row>
    <row r="5" spans="1:8">
      <c r="A5" s="20" t="s">
        <v>135</v>
      </c>
      <c r="B5" s="20" t="s">
        <v>85</v>
      </c>
      <c r="C5" s="20"/>
      <c r="D5" s="20"/>
      <c r="G5" s="20" t="s">
        <v>74</v>
      </c>
      <c r="H5" s="293">
        <f t="shared" si="0"/>
        <v>0.625</v>
      </c>
    </row>
    <row r="6" spans="1:8">
      <c r="A6" s="21" t="s">
        <v>136</v>
      </c>
      <c r="B6" s="21" t="s">
        <v>86</v>
      </c>
      <c r="C6" s="21"/>
      <c r="D6" s="21"/>
      <c r="G6" s="19" t="s">
        <v>75</v>
      </c>
      <c r="H6" s="19">
        <f t="shared" si="0"/>
        <v>37927</v>
      </c>
    </row>
    <row r="7" spans="1:8">
      <c r="A7" s="20" t="s">
        <v>137</v>
      </c>
      <c r="B7" s="20" t="s">
        <v>87</v>
      </c>
      <c r="C7" s="20"/>
      <c r="D7" s="20"/>
      <c r="G7" s="20" t="s">
        <v>76</v>
      </c>
      <c r="H7" s="293">
        <f t="shared" si="0"/>
        <v>37927.625</v>
      </c>
    </row>
    <row r="8" spans="1:8">
      <c r="A8" s="21" t="s">
        <v>138</v>
      </c>
      <c r="B8" s="21" t="s">
        <v>88</v>
      </c>
      <c r="C8" s="21"/>
      <c r="D8" s="21"/>
      <c r="G8" s="19" t="s">
        <v>78</v>
      </c>
      <c r="H8" s="294">
        <f t="shared" si="0"/>
        <v>1.25</v>
      </c>
    </row>
    <row r="9" spans="1:8">
      <c r="A9" s="20" t="s">
        <v>139</v>
      </c>
      <c r="B9" s="20" t="s">
        <v>89</v>
      </c>
      <c r="C9" s="20"/>
      <c r="D9" s="20"/>
      <c r="G9" s="20" t="s">
        <v>79</v>
      </c>
      <c r="H9" s="292">
        <f t="shared" si="0"/>
        <v>0.25</v>
      </c>
    </row>
    <row r="10" spans="1:8">
      <c r="A10" s="21" t="s">
        <v>140</v>
      </c>
      <c r="B10" s="21" t="s">
        <v>90</v>
      </c>
      <c r="C10" s="21"/>
      <c r="D10" s="21"/>
      <c r="G10" s="124" t="s">
        <v>95</v>
      </c>
      <c r="H10" s="124"/>
    </row>
    <row r="11" spans="1:8">
      <c r="A11" s="20" t="s">
        <v>7</v>
      </c>
      <c r="B11" s="20" t="s">
        <v>91</v>
      </c>
      <c r="C11" s="20"/>
      <c r="D11" s="20"/>
    </row>
    <row r="12" spans="1:8">
      <c r="A12" s="21" t="s">
        <v>141</v>
      </c>
      <c r="B12" s="21" t="s">
        <v>92</v>
      </c>
      <c r="C12" s="21"/>
      <c r="D12" s="21"/>
    </row>
    <row r="13" spans="1:8">
      <c r="A13" s="20" t="s">
        <v>142</v>
      </c>
      <c r="B13" s="20" t="s">
        <v>143</v>
      </c>
      <c r="C13" s="20"/>
      <c r="D13" s="20"/>
    </row>
    <row r="15" spans="1:8">
      <c r="B15" t="s">
        <v>264</v>
      </c>
    </row>
    <row r="16" spans="1:8">
      <c r="B16" s="114" t="s">
        <v>240</v>
      </c>
    </row>
    <row r="17" spans="2:8">
      <c r="B17" s="114" t="s">
        <v>241</v>
      </c>
    </row>
    <row r="18" spans="2:8">
      <c r="B18" s="114" t="s">
        <v>242</v>
      </c>
    </row>
    <row r="19" spans="2:8">
      <c r="B19" s="156" t="s">
        <v>260</v>
      </c>
      <c r="C19" s="157">
        <f>FIND("好",B15,1)</f>
        <v>5</v>
      </c>
      <c r="D19" s="157">
        <f>FIND("好",B15,FIND("好",B15,1)+1)</f>
        <v>8</v>
      </c>
    </row>
    <row r="20" spans="2:8">
      <c r="B20" s="114" t="s">
        <v>261</v>
      </c>
    </row>
    <row r="21" spans="2:8">
      <c r="C21" t="str">
        <f ca="1">CELL("filename")</f>
        <v>https://changgunguniversity-my.sharepoint.com/personal/d000000398_cgu_edu_tw/Documents/教學資料/MOCC-Excel-2010/[CH05B函數的應用.xlsx]文字函數範例</v>
      </c>
    </row>
    <row r="22" spans="2:8">
      <c r="C22" s="158"/>
      <c r="D22" s="154" t="s">
        <v>316</v>
      </c>
      <c r="H22" s="82" t="s">
        <v>310</v>
      </c>
    </row>
    <row r="23" spans="2:8">
      <c r="C23" s="159"/>
      <c r="D23" s="155" t="s">
        <v>317</v>
      </c>
    </row>
    <row r="24" spans="2:8">
      <c r="D24" s="155" t="s">
        <v>376</v>
      </c>
    </row>
    <row r="25" spans="2:8">
      <c r="C25" s="159" t="e">
        <f ca="1">MID(C21,C22+1,C23-C22-1)</f>
        <v>#VALUE!</v>
      </c>
    </row>
  </sheetData>
  <phoneticPr fontId="14" type="noConversion"/>
  <pageMargins left="0.75" right="0.75" top="1" bottom="1" header="0.5" footer="0.5"/>
  <pageSetup paperSize="9" orientation="portrait" horizontalDpi="4294967293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1"/>
  <sheetViews>
    <sheetView showGridLines="0" workbookViewId="0">
      <selection activeCell="I20" sqref="I20"/>
    </sheetView>
  </sheetViews>
  <sheetFormatPr defaultColWidth="9" defaultRowHeight="16.2"/>
  <cols>
    <col min="1" max="1" width="25.77734375" style="125" customWidth="1"/>
    <col min="2" max="2" width="12.109375" style="125" customWidth="1"/>
    <col min="3" max="3" width="4.109375" style="125" customWidth="1"/>
    <col min="4" max="4" width="27.88671875" style="125" bestFit="1" customWidth="1"/>
    <col min="5" max="5" width="10.44140625" style="125" customWidth="1"/>
    <col min="6" max="8" width="9" style="125"/>
    <col min="9" max="9" width="10.6640625" style="125" bestFit="1" customWidth="1"/>
    <col min="10" max="16384" width="9" style="125"/>
  </cols>
  <sheetData>
    <row r="1" spans="1:9" ht="16.8" thickBot="1">
      <c r="A1" s="125" t="s">
        <v>266</v>
      </c>
      <c r="B1" s="126">
        <v>2.18E-2</v>
      </c>
      <c r="C1" s="127"/>
      <c r="E1" s="131"/>
    </row>
    <row r="2" spans="1:9" ht="16.8" thickBot="1">
      <c r="A2" s="125" t="s">
        <v>267</v>
      </c>
      <c r="B2" s="128">
        <v>2500000</v>
      </c>
    </row>
    <row r="3" spans="1:9" ht="16.8" thickBot="1">
      <c r="A3" s="125" t="s">
        <v>268</v>
      </c>
      <c r="B3" s="129">
        <v>20</v>
      </c>
    </row>
    <row r="4" spans="1:9">
      <c r="A4" s="125" t="s">
        <v>269</v>
      </c>
      <c r="B4" s="130">
        <f>PMT(B1/12,B3*12,-B2)</f>
        <v>12861.30408396498</v>
      </c>
      <c r="C4" s="131"/>
      <c r="D4" s="132" t="s">
        <v>270</v>
      </c>
      <c r="F4" s="133" t="s">
        <v>271</v>
      </c>
    </row>
    <row r="5" spans="1:9" ht="16.8" thickBot="1"/>
    <row r="6" spans="1:9" ht="16.8" thickBot="1">
      <c r="A6" s="125" t="s">
        <v>272</v>
      </c>
      <c r="B6" s="134">
        <v>200</v>
      </c>
    </row>
    <row r="7" spans="1:9">
      <c r="A7" s="125" t="s">
        <v>273</v>
      </c>
      <c r="B7" s="130">
        <f>PPMT(B1/12,B6,B3*12,-B2)</f>
        <v>11938.96427924719</v>
      </c>
      <c r="C7" s="131"/>
      <c r="D7" s="132" t="s">
        <v>274</v>
      </c>
      <c r="F7" s="133" t="s">
        <v>275</v>
      </c>
      <c r="I7" s="131"/>
    </row>
    <row r="8" spans="1:9">
      <c r="A8" s="125" t="s">
        <v>276</v>
      </c>
      <c r="B8" s="135">
        <f>IPMT(B1/12,B6,B3*12,-B2)</f>
        <v>922.33980471779159</v>
      </c>
      <c r="C8" s="131"/>
      <c r="D8" s="132" t="s">
        <v>277</v>
      </c>
    </row>
    <row r="9" spans="1:9">
      <c r="A9" s="125" t="s">
        <v>278</v>
      </c>
      <c r="B9" s="135">
        <f>B7+B8</f>
        <v>12861.30408396498</v>
      </c>
      <c r="C9" s="131"/>
      <c r="D9" s="132" t="s">
        <v>279</v>
      </c>
      <c r="F9" s="136" t="s">
        <v>280</v>
      </c>
    </row>
    <row r="19" spans="9:10">
      <c r="I19" s="137" t="s">
        <v>299</v>
      </c>
    </row>
    <row r="20" spans="9:10">
      <c r="I20" s="138">
        <f>PMT(B1/12,B3*12,0,-2500000)</f>
        <v>8319.6374172983142</v>
      </c>
      <c r="J20" s="137" t="s">
        <v>281</v>
      </c>
    </row>
    <row r="21" spans="9:10">
      <c r="J21" s="125" t="s">
        <v>282</v>
      </c>
    </row>
  </sheetData>
  <phoneticPr fontId="3" type="noConversion"/>
  <pageMargins left="0.75" right="0.75" top="1" bottom="1" header="0.5" footer="0.5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3"/>
  <sheetViews>
    <sheetView showGridLines="0" workbookViewId="0">
      <selection activeCell="H24" sqref="H24"/>
    </sheetView>
  </sheetViews>
  <sheetFormatPr defaultColWidth="9" defaultRowHeight="16.2"/>
  <cols>
    <col min="1" max="1" width="21.44140625" style="125" customWidth="1"/>
    <col min="2" max="2" width="13.33203125" style="125" bestFit="1" customWidth="1"/>
    <col min="3" max="3" width="4.21875" style="125" customWidth="1"/>
    <col min="4" max="4" width="28.77734375" style="125" bestFit="1" customWidth="1"/>
    <col min="5" max="16384" width="9" style="125"/>
  </cols>
  <sheetData>
    <row r="1" spans="1:4" ht="16.8" thickBot="1">
      <c r="A1" s="137" t="s">
        <v>298</v>
      </c>
      <c r="B1" s="139">
        <v>200000</v>
      </c>
      <c r="C1" s="140"/>
    </row>
    <row r="2" spans="1:4" ht="16.8" thickBot="1">
      <c r="A2" s="125" t="s">
        <v>283</v>
      </c>
      <c r="B2" s="141">
        <v>1.6500000000000001E-2</v>
      </c>
      <c r="C2" s="127"/>
    </row>
    <row r="3" spans="1:4" ht="16.8" thickBot="1">
      <c r="A3" s="125" t="s">
        <v>284</v>
      </c>
      <c r="B3" s="142">
        <v>120</v>
      </c>
    </row>
    <row r="4" spans="1:4">
      <c r="A4" s="125" t="s">
        <v>285</v>
      </c>
      <c r="B4" s="143">
        <f>FV(B2/12,B3,-B1)</f>
        <v>26074103.475005984</v>
      </c>
      <c r="C4" s="144"/>
      <c r="D4" s="132" t="s">
        <v>286</v>
      </c>
    </row>
    <row r="8" spans="1:4" ht="16.8" thickBot="1"/>
    <row r="9" spans="1:4" ht="16.8" thickBot="1">
      <c r="A9" s="137" t="s">
        <v>296</v>
      </c>
      <c r="B9" s="145">
        <v>200000</v>
      </c>
      <c r="C9" s="140"/>
    </row>
    <row r="10" spans="1:4" ht="16.8" thickBot="1">
      <c r="A10" s="137" t="s">
        <v>297</v>
      </c>
      <c r="B10" s="139">
        <v>5000</v>
      </c>
      <c r="C10" s="140"/>
    </row>
    <row r="11" spans="1:4" ht="16.8" thickBot="1">
      <c r="A11" s="125" t="s">
        <v>287</v>
      </c>
      <c r="B11" s="141">
        <v>1.0800000000000001E-2</v>
      </c>
      <c r="C11" s="127"/>
    </row>
    <row r="12" spans="1:4" ht="16.8" thickBot="1">
      <c r="A12" s="125" t="s">
        <v>288</v>
      </c>
      <c r="B12" s="142">
        <v>5</v>
      </c>
    </row>
    <row r="13" spans="1:4">
      <c r="A13" s="125" t="s">
        <v>285</v>
      </c>
      <c r="B13" s="143">
        <f>FV(B11/12,B12*12,-B10,-B9)</f>
        <v>519197.18040868139</v>
      </c>
      <c r="C13" s="131"/>
      <c r="D13" s="132" t="s">
        <v>289</v>
      </c>
    </row>
  </sheetData>
  <phoneticPr fontId="3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2"/>
  <sheetViews>
    <sheetView showGridLines="0" workbookViewId="0">
      <selection activeCell="D18" sqref="D18"/>
    </sheetView>
  </sheetViews>
  <sheetFormatPr defaultColWidth="9" defaultRowHeight="16.2"/>
  <cols>
    <col min="1" max="1" width="16.109375" style="125" bestFit="1" customWidth="1"/>
    <col min="2" max="2" width="11.88671875" style="125" customWidth="1"/>
    <col min="3" max="3" width="3.6640625" style="125" customWidth="1"/>
    <col min="4" max="4" width="21.88671875" style="125" bestFit="1" customWidth="1"/>
    <col min="5" max="16384" width="9" style="125"/>
  </cols>
  <sheetData>
    <row r="1" spans="1:4" ht="16.8" thickBot="1">
      <c r="A1" s="125" t="s">
        <v>290</v>
      </c>
      <c r="B1" s="140">
        <v>500000</v>
      </c>
      <c r="C1" s="140"/>
    </row>
    <row r="2" spans="1:4" ht="16.8" thickBot="1">
      <c r="A2" s="125" t="s">
        <v>291</v>
      </c>
      <c r="B2" s="146">
        <v>1.025E-2</v>
      </c>
      <c r="C2" s="127"/>
    </row>
    <row r="3" spans="1:4" ht="16.8" thickBot="1">
      <c r="A3" s="125" t="s">
        <v>292</v>
      </c>
      <c r="B3" s="147">
        <v>5000</v>
      </c>
    </row>
    <row r="4" spans="1:4" ht="16.8" thickBot="1">
      <c r="A4" s="125" t="s">
        <v>293</v>
      </c>
      <c r="B4" s="129">
        <v>10</v>
      </c>
    </row>
    <row r="5" spans="1:4">
      <c r="A5" s="125" t="s">
        <v>294</v>
      </c>
      <c r="B5" s="143">
        <f>PV(B2/12,B4*12,-B3)</f>
        <v>570043.08626116184</v>
      </c>
      <c r="C5" s="144"/>
      <c r="D5" s="132" t="s">
        <v>295</v>
      </c>
    </row>
    <row r="9" spans="1:4">
      <c r="D9" s="131"/>
    </row>
    <row r="10" spans="1:4">
      <c r="D10" s="131"/>
    </row>
    <row r="11" spans="1:4">
      <c r="D11" s="131"/>
    </row>
    <row r="12" spans="1:4">
      <c r="D12" s="131"/>
    </row>
  </sheetData>
  <phoneticPr fontId="3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具名範圍</vt:lpstr>
      </vt:variant>
      <vt:variant>
        <vt:i4>6</vt:i4>
      </vt:variant>
    </vt:vector>
  </HeadingPairs>
  <TitlesOfParts>
    <vt:vector size="19" baseType="lpstr">
      <vt:lpstr>學生成績</vt:lpstr>
      <vt:lpstr>Sumif函數應用</vt:lpstr>
      <vt:lpstr>條件式加總</vt:lpstr>
      <vt:lpstr>SUMPRODUCT應用</vt:lpstr>
      <vt:lpstr>範例1</vt:lpstr>
      <vt:lpstr>範例2</vt:lpstr>
      <vt:lpstr>VLOOKUP</vt:lpstr>
      <vt:lpstr>HLOOKUP</vt:lpstr>
      <vt:lpstr>日期</vt:lpstr>
      <vt:lpstr>文字函數範例</vt:lpstr>
      <vt:lpstr>PMT</vt:lpstr>
      <vt:lpstr>FV</vt:lpstr>
      <vt:lpstr>PV</vt:lpstr>
      <vt:lpstr>小計</vt:lpstr>
      <vt:lpstr>地區</vt:lpstr>
      <vt:lpstr>產品</vt:lpstr>
      <vt:lpstr>單價</vt:lpstr>
      <vt:lpstr>銷售員</vt:lpstr>
      <vt:lpstr>銷售量</vt:lpstr>
    </vt:vector>
  </TitlesOfParts>
  <Company>jwit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偉忠 陳</cp:lastModifiedBy>
  <cp:lastPrinted>2017-04-24T06:33:07Z</cp:lastPrinted>
  <dcterms:created xsi:type="dcterms:W3CDTF">2003-10-20T09:01:13Z</dcterms:created>
  <dcterms:modified xsi:type="dcterms:W3CDTF">2021-05-04T04:08:00Z</dcterms:modified>
</cp:coreProperties>
</file>