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oteea/Documents/AN2/SEM1/EMS/assign/"/>
    </mc:Choice>
  </mc:AlternateContent>
  <xr:revisionPtr revIDLastSave="0" documentId="13_ncr:1_{FA2D6CB6-DC39-2746-982C-37BE4DBE9A96}" xr6:coauthVersionLast="45" xr6:coauthVersionMax="45" xr10:uidLastSave="{00000000-0000-0000-0000-000000000000}"/>
  <bookViews>
    <workbookView xWindow="0" yWindow="0" windowWidth="28800" windowHeight="18000" xr2:uid="{9EB17AE0-0863-C94A-9396-DD0FF6671A3B}"/>
  </bookViews>
  <sheets>
    <sheet name="Wheatstone Bridge" sheetId="4" r:id="rId1"/>
    <sheet name="Analog&amp;DigMeasInstr" sheetId="3" r:id="rId2"/>
    <sheet name="Extension of Domain" sheetId="2" r:id="rId3"/>
    <sheet name="Single Phase AC circuit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4" l="1"/>
  <c r="I26" i="4"/>
  <c r="I27" i="4"/>
  <c r="I24" i="4"/>
  <c r="H25" i="4"/>
  <c r="H26" i="4"/>
  <c r="H27" i="4"/>
  <c r="H24" i="4"/>
  <c r="G26" i="4"/>
  <c r="G25" i="4"/>
  <c r="G27" i="4"/>
  <c r="G24" i="4"/>
  <c r="N15" i="4"/>
  <c r="N17" i="4"/>
  <c r="N14" i="4"/>
  <c r="M15" i="4"/>
  <c r="M17" i="4"/>
  <c r="M14" i="4"/>
  <c r="L15" i="4"/>
  <c r="L16" i="4"/>
  <c r="L17" i="4"/>
  <c r="L14" i="4"/>
  <c r="G33" i="3"/>
  <c r="G34" i="3"/>
  <c r="G32" i="3"/>
  <c r="G31" i="3"/>
  <c r="G30" i="3"/>
  <c r="G29" i="3"/>
  <c r="G28" i="3"/>
  <c r="G27" i="3"/>
  <c r="G26" i="3"/>
  <c r="F33" i="3"/>
  <c r="F34" i="3"/>
  <c r="F32" i="3"/>
  <c r="F30" i="3"/>
  <c r="F31" i="3"/>
  <c r="F29" i="3"/>
  <c r="F28" i="3"/>
  <c r="F27" i="3"/>
  <c r="F26" i="3"/>
  <c r="E34" i="3"/>
  <c r="E33" i="3"/>
  <c r="E32" i="3"/>
  <c r="E31" i="3"/>
  <c r="E30" i="3"/>
  <c r="E29" i="3"/>
  <c r="E28" i="3"/>
  <c r="E27" i="3"/>
  <c r="E26" i="3"/>
  <c r="I18" i="3"/>
  <c r="I19" i="3"/>
  <c r="I22" i="3"/>
  <c r="H14" i="3"/>
  <c r="H15" i="3"/>
  <c r="H16" i="3"/>
  <c r="H17" i="3"/>
  <c r="H18" i="3"/>
  <c r="H19" i="3"/>
  <c r="H20" i="3"/>
  <c r="H21" i="3"/>
  <c r="H22" i="3"/>
  <c r="H13" i="3"/>
  <c r="G14" i="3"/>
  <c r="G18" i="3"/>
  <c r="G21" i="3"/>
  <c r="G22" i="3"/>
  <c r="E14" i="3"/>
  <c r="I14" i="3" s="1"/>
  <c r="E15" i="3"/>
  <c r="G15" i="3" s="1"/>
  <c r="E16" i="3"/>
  <c r="I16" i="3" s="1"/>
  <c r="E17" i="3"/>
  <c r="I17" i="3" s="1"/>
  <c r="E18" i="3"/>
  <c r="E19" i="3"/>
  <c r="G19" i="3" s="1"/>
  <c r="E20" i="3"/>
  <c r="I20" i="3" s="1"/>
  <c r="E21" i="3"/>
  <c r="I21" i="3" s="1"/>
  <c r="E22" i="3"/>
  <c r="E13" i="3"/>
  <c r="I13" i="3" s="1"/>
  <c r="I15" i="4"/>
  <c r="I16" i="4"/>
  <c r="M16" i="4" s="1"/>
  <c r="I17" i="4"/>
  <c r="I14" i="4"/>
  <c r="I4" i="2"/>
  <c r="G5" i="2"/>
  <c r="I25" i="2"/>
  <c r="G4" i="3"/>
  <c r="G3" i="3"/>
  <c r="G2" i="3"/>
  <c r="G34" i="2"/>
  <c r="H34" i="2" s="1"/>
  <c r="J34" i="2" s="1"/>
  <c r="G35" i="2"/>
  <c r="G36" i="2"/>
  <c r="H36" i="2" s="1"/>
  <c r="J36" i="2" s="1"/>
  <c r="G33" i="2"/>
  <c r="G30" i="2"/>
  <c r="G31" i="2"/>
  <c r="H31" i="2" s="1"/>
  <c r="G32" i="2"/>
  <c r="G29" i="2"/>
  <c r="H29" i="2" s="1"/>
  <c r="G26" i="2"/>
  <c r="G27" i="2"/>
  <c r="G28" i="2"/>
  <c r="G25" i="2"/>
  <c r="I36" i="2"/>
  <c r="E36" i="2"/>
  <c r="E35" i="2"/>
  <c r="I35" i="2" s="1"/>
  <c r="I34" i="2"/>
  <c r="E34" i="2"/>
  <c r="E33" i="2"/>
  <c r="I33" i="2" s="1"/>
  <c r="B33" i="2"/>
  <c r="I32" i="2"/>
  <c r="E32" i="2"/>
  <c r="H32" i="2" s="1"/>
  <c r="J32" i="2" s="1"/>
  <c r="I31" i="2"/>
  <c r="E31" i="2"/>
  <c r="I30" i="2"/>
  <c r="E30" i="2"/>
  <c r="H30" i="2" s="1"/>
  <c r="J30" i="2" s="1"/>
  <c r="I29" i="2"/>
  <c r="E29" i="2"/>
  <c r="B29" i="2"/>
  <c r="E28" i="2"/>
  <c r="I28" i="2" s="1"/>
  <c r="I27" i="2"/>
  <c r="H27" i="2"/>
  <c r="E27" i="2"/>
  <c r="E26" i="2"/>
  <c r="I26" i="2" s="1"/>
  <c r="H25" i="2"/>
  <c r="E25" i="2"/>
  <c r="B25" i="2"/>
  <c r="K4" i="2"/>
  <c r="K5" i="2"/>
  <c r="K6" i="2"/>
  <c r="K7" i="2"/>
  <c r="K8" i="2"/>
  <c r="K9" i="2"/>
  <c r="K10" i="2"/>
  <c r="K11" i="2"/>
  <c r="K12" i="2"/>
  <c r="K13" i="2"/>
  <c r="K14" i="2"/>
  <c r="K15" i="2"/>
  <c r="J14" i="2"/>
  <c r="J13" i="2"/>
  <c r="J12" i="2"/>
  <c r="J11" i="2"/>
  <c r="J10" i="2"/>
  <c r="J9" i="2"/>
  <c r="J8" i="2"/>
  <c r="J15" i="2"/>
  <c r="J7" i="2"/>
  <c r="J6" i="2"/>
  <c r="J5" i="2"/>
  <c r="J4" i="2"/>
  <c r="I5" i="2"/>
  <c r="I6" i="2"/>
  <c r="I7" i="2"/>
  <c r="I8" i="2"/>
  <c r="I9" i="2"/>
  <c r="I10" i="2"/>
  <c r="I11" i="2"/>
  <c r="I12" i="2"/>
  <c r="I13" i="2"/>
  <c r="I14" i="2"/>
  <c r="I15" i="2"/>
  <c r="H5" i="2"/>
  <c r="H6" i="2"/>
  <c r="H7" i="2"/>
  <c r="H8" i="2"/>
  <c r="H9" i="2"/>
  <c r="H10" i="2"/>
  <c r="H11" i="2"/>
  <c r="H12" i="2"/>
  <c r="H13" i="2"/>
  <c r="H14" i="2"/>
  <c r="H15" i="2"/>
  <c r="H4" i="2"/>
  <c r="G13" i="2"/>
  <c r="G14" i="2"/>
  <c r="G15" i="2"/>
  <c r="G12" i="2"/>
  <c r="G9" i="2"/>
  <c r="G10" i="2"/>
  <c r="G11" i="2"/>
  <c r="G8" i="2"/>
  <c r="G6" i="2"/>
  <c r="G7" i="2"/>
  <c r="G4" i="2"/>
  <c r="E13" i="2"/>
  <c r="E14" i="2"/>
  <c r="E15" i="2"/>
  <c r="E12" i="2"/>
  <c r="E9" i="2"/>
  <c r="E10" i="2"/>
  <c r="E11" i="2"/>
  <c r="E8" i="2"/>
  <c r="E5" i="2"/>
  <c r="E6" i="2"/>
  <c r="E7" i="2"/>
  <c r="E4" i="2"/>
  <c r="B12" i="2"/>
  <c r="B8" i="2"/>
  <c r="B4" i="2"/>
  <c r="N13" i="1"/>
  <c r="N14" i="1"/>
  <c r="N15" i="1"/>
  <c r="N16" i="1"/>
  <c r="N17" i="1"/>
  <c r="N18" i="1"/>
  <c r="N19" i="1"/>
  <c r="N20" i="1"/>
  <c r="N21" i="1"/>
  <c r="N22" i="1"/>
  <c r="N23" i="1"/>
  <c r="N12" i="1"/>
  <c r="L23" i="1"/>
  <c r="L22" i="1"/>
  <c r="L21" i="1"/>
  <c r="L20" i="1"/>
  <c r="L19" i="1"/>
  <c r="L18" i="1"/>
  <c r="L17" i="1"/>
  <c r="L16" i="1"/>
  <c r="L15" i="1"/>
  <c r="L14" i="1"/>
  <c r="L13" i="1"/>
  <c r="L12" i="1"/>
  <c r="J13" i="1"/>
  <c r="J14" i="1"/>
  <c r="J15" i="1"/>
  <c r="J16" i="1"/>
  <c r="J17" i="1"/>
  <c r="J18" i="1"/>
  <c r="J19" i="1"/>
  <c r="J20" i="1"/>
  <c r="J21" i="1"/>
  <c r="J22" i="1"/>
  <c r="J23" i="1"/>
  <c r="J12" i="1"/>
  <c r="M23" i="1"/>
  <c r="M13" i="1"/>
  <c r="M14" i="1"/>
  <c r="M15" i="1"/>
  <c r="M16" i="1"/>
  <c r="M17" i="1"/>
  <c r="M18" i="1"/>
  <c r="M19" i="1"/>
  <c r="M20" i="1"/>
  <c r="M21" i="1"/>
  <c r="M22" i="1"/>
  <c r="M12" i="1"/>
  <c r="I13" i="1"/>
  <c r="I14" i="1"/>
  <c r="I15" i="1"/>
  <c r="I16" i="1"/>
  <c r="I17" i="1"/>
  <c r="I18" i="1"/>
  <c r="I19" i="1"/>
  <c r="I20" i="1"/>
  <c r="I21" i="1"/>
  <c r="I22" i="1"/>
  <c r="I23" i="1"/>
  <c r="I12" i="1"/>
  <c r="K23" i="1"/>
  <c r="K22" i="1"/>
  <c r="K21" i="1"/>
  <c r="K20" i="1"/>
  <c r="K19" i="1"/>
  <c r="K18" i="1"/>
  <c r="K17" i="1"/>
  <c r="K16" i="1"/>
  <c r="K15" i="1"/>
  <c r="K12" i="1"/>
  <c r="K14" i="1"/>
  <c r="K13" i="1"/>
  <c r="H23" i="1"/>
  <c r="H19" i="1"/>
  <c r="H15" i="1"/>
  <c r="F23" i="1"/>
  <c r="G23" i="1" s="1"/>
  <c r="F21" i="1"/>
  <c r="F20" i="1"/>
  <c r="G20" i="1" s="1"/>
  <c r="F19" i="1"/>
  <c r="G19" i="1" s="1"/>
  <c r="F17" i="1"/>
  <c r="F16" i="1"/>
  <c r="G16" i="1" s="1"/>
  <c r="F15" i="1"/>
  <c r="G15" i="1" s="1"/>
  <c r="F13" i="1"/>
  <c r="F12" i="1"/>
  <c r="G12" i="1" s="1"/>
  <c r="E13" i="1"/>
  <c r="E14" i="1"/>
  <c r="E15" i="1"/>
  <c r="E16" i="1"/>
  <c r="H16" i="1" s="1"/>
  <c r="E17" i="1"/>
  <c r="E18" i="1"/>
  <c r="E19" i="1"/>
  <c r="E20" i="1"/>
  <c r="H20" i="1" s="1"/>
  <c r="E21" i="1"/>
  <c r="E22" i="1"/>
  <c r="E23" i="1"/>
  <c r="E12" i="1"/>
  <c r="I8" i="1"/>
  <c r="H8" i="1"/>
  <c r="H22" i="1" s="1"/>
  <c r="G3" i="1"/>
  <c r="G4" i="1"/>
  <c r="G2" i="1"/>
  <c r="G17" i="3" l="1"/>
  <c r="I15" i="3"/>
  <c r="N16" i="4"/>
  <c r="G20" i="3"/>
  <c r="G16" i="3"/>
  <c r="G13" i="3"/>
  <c r="J31" i="2"/>
  <c r="K31" i="2" s="1"/>
  <c r="K36" i="2"/>
  <c r="J25" i="2"/>
  <c r="H26" i="2"/>
  <c r="J26" i="2" s="1"/>
  <c r="K26" i="2" s="1"/>
  <c r="J27" i="2"/>
  <c r="K27" i="2" s="1"/>
  <c r="H28" i="2"/>
  <c r="J28" i="2" s="1"/>
  <c r="K28" i="2" s="1"/>
  <c r="K30" i="2"/>
  <c r="K32" i="2"/>
  <c r="H33" i="2"/>
  <c r="J33" i="2" s="1"/>
  <c r="K33" i="2" s="1"/>
  <c r="H35" i="2"/>
  <c r="J35" i="2" s="1"/>
  <c r="K35" i="2" s="1"/>
  <c r="K25" i="2"/>
  <c r="J29" i="2"/>
  <c r="K29" i="2" s="1"/>
  <c r="K34" i="2"/>
  <c r="H13" i="1"/>
  <c r="H17" i="1"/>
  <c r="H21" i="1"/>
  <c r="G21" i="1"/>
  <c r="G17" i="1"/>
  <c r="G13" i="1"/>
  <c r="H12" i="1"/>
  <c r="F14" i="1"/>
  <c r="G14" i="1" s="1"/>
  <c r="F18" i="1"/>
  <c r="G18" i="1" s="1"/>
  <c r="F22" i="1"/>
  <c r="G22" i="1" s="1"/>
  <c r="H14" i="1"/>
  <c r="H18" i="1"/>
</calcChain>
</file>

<file path=xl/sharedStrings.xml><?xml version="1.0" encoding="utf-8"?>
<sst xmlns="http://schemas.openxmlformats.org/spreadsheetml/2006/main" count="265" uniqueCount="171">
  <si>
    <t>Meter</t>
  </si>
  <si>
    <t>Accuracy class</t>
  </si>
  <si>
    <t xml:space="preserve">Range </t>
  </si>
  <si>
    <t>RA</t>
  </si>
  <si>
    <t>RV</t>
  </si>
  <si>
    <t>RWI</t>
  </si>
  <si>
    <t>RWU</t>
  </si>
  <si>
    <t>Ammeter</t>
  </si>
  <si>
    <t>Voltmeter</t>
  </si>
  <si>
    <t>Wattmeter</t>
  </si>
  <si>
    <t>Range Xn</t>
  </si>
  <si>
    <t xml:space="preserve">Max Defl </t>
  </si>
  <si>
    <t>Instr Const</t>
  </si>
  <si>
    <t>V</t>
  </si>
  <si>
    <t>A</t>
  </si>
  <si>
    <t>W</t>
  </si>
  <si>
    <t>Nr</t>
  </si>
  <si>
    <t>Max abs error</t>
  </si>
  <si>
    <t>Load</t>
  </si>
  <si>
    <t>U</t>
  </si>
  <si>
    <t>I</t>
  </si>
  <si>
    <t>P</t>
  </si>
  <si>
    <t>type</t>
  </si>
  <si>
    <t>[V]</t>
  </si>
  <si>
    <t>[A]</t>
  </si>
  <si>
    <t>[DIV]</t>
  </si>
  <si>
    <t>R</t>
  </si>
  <si>
    <t>RL</t>
  </si>
  <si>
    <t>RC</t>
  </si>
  <si>
    <t>RLC</t>
  </si>
  <si>
    <t>RAW</t>
  </si>
  <si>
    <t>RVW</t>
  </si>
  <si>
    <t>Z</t>
  </si>
  <si>
    <t>εrp</t>
  </si>
  <si>
    <t>Rz</t>
  </si>
  <si>
    <t>Xz</t>
  </si>
  <si>
    <t>cos ϕz</t>
  </si>
  <si>
    <t>[w]</t>
  </si>
  <si>
    <t>[%]</t>
  </si>
  <si>
    <t>[Ὠ]</t>
  </si>
  <si>
    <t>Pz</t>
  </si>
  <si>
    <t>Sz</t>
  </si>
  <si>
    <t>Qz</t>
  </si>
  <si>
    <t>[VA]</t>
  </si>
  <si>
    <t>[Var]</t>
  </si>
  <si>
    <t>Δpaw</t>
  </si>
  <si>
    <t>Isn</t>
  </si>
  <si>
    <t>The extended device</t>
  </si>
  <si>
    <t>The standard device</t>
  </si>
  <si>
    <t>εa</t>
  </si>
  <si>
    <t>εr</t>
  </si>
  <si>
    <t>n'</t>
  </si>
  <si>
    <t>Rc</t>
  </si>
  <si>
    <t>Ia</t>
  </si>
  <si>
    <t>Ie</t>
  </si>
  <si>
    <t>[mA]</t>
  </si>
  <si>
    <t>[div]</t>
  </si>
  <si>
    <t>[Ω]</t>
  </si>
  <si>
    <t>n</t>
  </si>
  <si>
    <t>C75=0.5</t>
  </si>
  <si>
    <t>C150=1</t>
  </si>
  <si>
    <t>C300=2</t>
  </si>
  <si>
    <t>εa =x−xe</t>
  </si>
  <si>
    <t>Rz=Z*cos ϕz</t>
  </si>
  <si>
    <t>Xz=Z*cos ϕz</t>
  </si>
  <si>
    <t>Formule:</t>
  </si>
  <si>
    <t>εr=(x-xa)/xa*100</t>
  </si>
  <si>
    <t>n'(n'')=n-εa/Ia</t>
  </si>
  <si>
    <t>Ra=10Ω</t>
  </si>
  <si>
    <t>Rc=3/2*(n-n')/(n-1)(n'-2)*Ra</t>
  </si>
  <si>
    <t>DMM</t>
  </si>
  <si>
    <t>Analog Voltmeter</t>
  </si>
  <si>
    <t>AnalogUi</t>
  </si>
  <si>
    <t>DMMemax</t>
  </si>
  <si>
    <t>AnalogEmax</t>
  </si>
  <si>
    <t>Analog er[%]</t>
  </si>
  <si>
    <t>DMM er[%]</t>
  </si>
  <si>
    <t>DMMUm</t>
  </si>
  <si>
    <t>Waveform</t>
  </si>
  <si>
    <t>Pick coeff.</t>
  </si>
  <si>
    <t>Shape coeff.</t>
  </si>
  <si>
    <t>Indicated val(Ui)</t>
  </si>
  <si>
    <t>Mean val</t>
  </si>
  <si>
    <t>RMS val</t>
  </si>
  <si>
    <t>Max val</t>
  </si>
  <si>
    <t>Osc pk to pk(Uv-v)</t>
  </si>
  <si>
    <t>[v]</t>
  </si>
  <si>
    <t>Sin</t>
  </si>
  <si>
    <t>Ramp</t>
  </si>
  <si>
    <t>Rectangle</t>
  </si>
  <si>
    <t>SQRT(2)</t>
  </si>
  <si>
    <t>SQRT(3)</t>
  </si>
  <si>
    <t>2/SQRT(3)</t>
  </si>
  <si>
    <t xml:space="preserve">The ND (null detector) α deviation after the adjustment of: </t>
  </si>
  <si>
    <t>Measured resistance</t>
  </si>
  <si>
    <t>R2/R3</t>
  </si>
  <si>
    <t>The first decade</t>
  </si>
  <si>
    <t>The second decade</t>
  </si>
  <si>
    <t>The third decade</t>
  </si>
  <si>
    <t>The forth decade</t>
  </si>
  <si>
    <t>The fifth decade</t>
  </si>
  <si>
    <t>α1[mV]</t>
  </si>
  <si>
    <t xml:space="preserve">α2[mV] </t>
  </si>
  <si>
    <t xml:space="preserve">α3[mV] </t>
  </si>
  <si>
    <t xml:space="preserve">α4[mV] </t>
  </si>
  <si>
    <t xml:space="preserve">α5[mV] </t>
  </si>
  <si>
    <t>R1</t>
  </si>
  <si>
    <t>R2</t>
  </si>
  <si>
    <t>R3</t>
  </si>
  <si>
    <t>R4</t>
  </si>
  <si>
    <t>R5</t>
  </si>
  <si>
    <t>Measured value</t>
  </si>
  <si>
    <t>Compued values</t>
  </si>
  <si>
    <t>R6</t>
  </si>
  <si>
    <t>cos ϕz=(P-Raw*I*I2)/Isqrt(U*U2-Raw(2*P-Raw*I*I))</t>
  </si>
  <si>
    <t>Pz=P-Raw*I*I</t>
  </si>
  <si>
    <t>ΔPaw=Raw*I*I</t>
  </si>
  <si>
    <t>Z=sqrt(U*U-Raw(2*P-RawI*RawI)</t>
  </si>
  <si>
    <t>R4e</t>
  </si>
  <si>
    <r>
      <t>α</t>
    </r>
    <r>
      <rPr>
        <b/>
        <sz val="7"/>
        <color theme="1"/>
        <rFont val="Arial"/>
        <family val="2"/>
      </rPr>
      <t xml:space="preserve">l </t>
    </r>
  </si>
  <si>
    <r>
      <t>R</t>
    </r>
    <r>
      <rPr>
        <b/>
        <sz val="7"/>
        <color theme="1"/>
        <rFont val="Arial"/>
        <family val="2"/>
      </rPr>
      <t xml:space="preserve">4l </t>
    </r>
  </si>
  <si>
    <r>
      <t>α</t>
    </r>
    <r>
      <rPr>
        <b/>
        <sz val="7"/>
        <color theme="1"/>
        <rFont val="Arial"/>
        <family val="2"/>
      </rPr>
      <t xml:space="preserve">r </t>
    </r>
  </si>
  <si>
    <r>
      <t>R</t>
    </r>
    <r>
      <rPr>
        <b/>
        <sz val="7"/>
        <color theme="1"/>
        <rFont val="Arial"/>
        <family val="2"/>
      </rPr>
      <t xml:space="preserve">4r </t>
    </r>
  </si>
  <si>
    <r>
      <t>R</t>
    </r>
    <r>
      <rPr>
        <b/>
        <sz val="7"/>
        <color theme="1"/>
        <rFont val="Arial"/>
        <family val="2"/>
      </rPr>
      <t xml:space="preserve">4i </t>
    </r>
  </si>
  <si>
    <r>
      <t>R</t>
    </r>
    <r>
      <rPr>
        <b/>
        <sz val="7"/>
        <color theme="1"/>
        <rFont val="Arial"/>
        <family val="2"/>
      </rPr>
      <t xml:space="preserve">mas </t>
    </r>
  </si>
  <si>
    <r>
      <t>e</t>
    </r>
    <r>
      <rPr>
        <b/>
        <sz val="7"/>
        <color theme="1"/>
        <rFont val="Arial"/>
        <family val="2"/>
      </rPr>
      <t xml:space="preserve">rc </t>
    </r>
  </si>
  <si>
    <r>
      <t>e</t>
    </r>
    <r>
      <rPr>
        <b/>
        <sz val="7"/>
        <color theme="1"/>
        <rFont val="Arial"/>
        <family val="2"/>
      </rPr>
      <t xml:space="preserve">rd </t>
    </r>
  </si>
  <si>
    <r>
      <t>e</t>
    </r>
    <r>
      <rPr>
        <b/>
        <sz val="7"/>
        <color theme="1"/>
        <rFont val="Arial"/>
        <family val="2"/>
      </rPr>
      <t xml:space="preserve">rRx </t>
    </r>
  </si>
  <si>
    <r>
      <t>e</t>
    </r>
    <r>
      <rPr>
        <b/>
        <sz val="7"/>
        <color theme="1"/>
        <rFont val="Arial"/>
        <family val="2"/>
      </rPr>
      <t xml:space="preserve">a </t>
    </r>
  </si>
  <si>
    <r>
      <t>R</t>
    </r>
    <r>
      <rPr>
        <b/>
        <sz val="7"/>
        <color theme="1"/>
        <rFont val="Arial"/>
        <family val="2"/>
      </rPr>
      <t xml:space="preserve">X </t>
    </r>
  </si>
  <si>
    <t>Ms. Res.</t>
  </si>
  <si>
    <t>RxN</t>
  </si>
  <si>
    <t xml:space="preserve">[Ω/Ω] </t>
  </si>
  <si>
    <t xml:space="preserve">[Ω] </t>
  </si>
  <si>
    <t xml:space="preserve">[div] </t>
  </si>
  <si>
    <t xml:space="preserve">[%] </t>
  </si>
  <si>
    <t>TABEL 4.1</t>
  </si>
  <si>
    <t>TABEL 4.2</t>
  </si>
  <si>
    <t>Meas. Resist</t>
  </si>
  <si>
    <r>
      <t>α</t>
    </r>
    <r>
      <rPr>
        <sz val="8"/>
        <color theme="1"/>
        <rFont val="ArialMT"/>
      </rPr>
      <t xml:space="preserve">s </t>
    </r>
    <r>
      <rPr>
        <sz val="12"/>
        <color theme="1"/>
        <rFont val="ArialMT"/>
      </rPr>
      <t>(α</t>
    </r>
    <r>
      <rPr>
        <sz val="8"/>
        <color theme="1"/>
        <rFont val="ArialMT"/>
      </rPr>
      <t>j</t>
    </r>
    <r>
      <rPr>
        <sz val="12"/>
        <color theme="1"/>
        <rFont val="ArialMT"/>
      </rPr>
      <t xml:space="preserve">) </t>
    </r>
  </si>
  <si>
    <r>
      <t>R</t>
    </r>
    <r>
      <rPr>
        <sz val="8"/>
        <color theme="1"/>
        <rFont val="ArialMT"/>
      </rPr>
      <t>4l</t>
    </r>
    <r>
      <rPr>
        <sz val="12"/>
        <color theme="1"/>
        <rFont val="ArialMT"/>
      </rPr>
      <t>(R</t>
    </r>
    <r>
      <rPr>
        <sz val="8"/>
        <color theme="1"/>
        <rFont val="ArialMT"/>
      </rPr>
      <t>4j+1</t>
    </r>
    <r>
      <rPr>
        <sz val="12"/>
        <color theme="1"/>
        <rFont val="ArialMT"/>
      </rPr>
      <t xml:space="preserve">) </t>
    </r>
  </si>
  <si>
    <r>
      <t>α</t>
    </r>
    <r>
      <rPr>
        <sz val="8"/>
        <color theme="1"/>
        <rFont val="ArialMT"/>
      </rPr>
      <t xml:space="preserve">d </t>
    </r>
    <r>
      <rPr>
        <sz val="12"/>
        <color theme="1"/>
        <rFont val="ArialMT"/>
      </rPr>
      <t>(α</t>
    </r>
    <r>
      <rPr>
        <sz val="8"/>
        <color theme="1"/>
        <rFont val="ArialMT"/>
      </rPr>
      <t>j+1</t>
    </r>
    <r>
      <rPr>
        <sz val="12"/>
        <color theme="1"/>
        <rFont val="ArialMT"/>
      </rPr>
      <t xml:space="preserve">) </t>
    </r>
  </si>
  <si>
    <r>
      <t>R</t>
    </r>
    <r>
      <rPr>
        <sz val="8"/>
        <color theme="1"/>
        <rFont val="ArialMT"/>
      </rPr>
      <t>4r</t>
    </r>
    <r>
      <rPr>
        <sz val="12"/>
        <color theme="1"/>
        <rFont val="ArialMT"/>
      </rPr>
      <t>(R</t>
    </r>
    <r>
      <rPr>
        <sz val="8"/>
        <color theme="1"/>
        <rFont val="ArialMT"/>
      </rPr>
      <t>4j+1</t>
    </r>
    <r>
      <rPr>
        <sz val="12"/>
        <color theme="1"/>
        <rFont val="ArialMT"/>
      </rPr>
      <t xml:space="preserve">) </t>
    </r>
  </si>
  <si>
    <r>
      <t>S</t>
    </r>
    <r>
      <rPr>
        <sz val="8"/>
        <color theme="1"/>
        <rFont val="ArialMT"/>
      </rPr>
      <t xml:space="preserve">s </t>
    </r>
  </si>
  <si>
    <r>
      <t>S</t>
    </r>
    <r>
      <rPr>
        <sz val="8"/>
        <color theme="1"/>
        <rFont val="ArialMT"/>
      </rPr>
      <t xml:space="preserve">d </t>
    </r>
  </si>
  <si>
    <t xml:space="preserve">S </t>
  </si>
  <si>
    <t>TABEL 4.3</t>
  </si>
  <si>
    <t>DMM BK Precision</t>
  </si>
  <si>
    <t>emax</t>
  </si>
  <si>
    <t>Analog</t>
  </si>
  <si>
    <t>c=0.2</t>
  </si>
  <si>
    <t>Un=3V</t>
  </si>
  <si>
    <t>emax=c*Un/100</t>
  </si>
  <si>
    <t>mV</t>
  </si>
  <si>
    <t>emax=0.012/100*Ui+5digit</t>
  </si>
  <si>
    <t>1digit=</t>
  </si>
  <si>
    <t>DMMer=emax*Ui/100</t>
  </si>
  <si>
    <t>Analog er=emax/Ui/100</t>
  </si>
  <si>
    <t>DMMUm=Ui+-emax</t>
  </si>
  <si>
    <t>Mean value=Ui/kfsin</t>
  </si>
  <si>
    <t>RMS val=kf/kfsin*Ui</t>
  </si>
  <si>
    <t>MaxValue Um=kf*kc/kfsin*Ui</t>
  </si>
  <si>
    <t>sin: kc=sqrt(2)</t>
  </si>
  <si>
    <t>ramp : sqrt(3)</t>
  </si>
  <si>
    <t>rect:1</t>
  </si>
  <si>
    <t>erRx=erC+erD</t>
  </si>
  <si>
    <t>ea=er*Rmas/100</t>
  </si>
  <si>
    <t>Rx=Rmas+-ea</t>
  </si>
  <si>
    <t>Sr=ad/(R4r-R4e)/R4e</t>
  </si>
  <si>
    <t>Sl=as/(R4e-R4l)/R4e</t>
  </si>
  <si>
    <t>S=(ar-al)/(R4r-R4l)/R4e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</si>
</sst>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10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TimesNewRomanPS"/>
    </font>
    <font>
      <sz val="12"/>
      <color rgb="FF000000"/>
      <name val="Calibri"/>
      <family val="2"/>
      <scheme val="minor"/>
    </font>
    <font>
      <sz val="11"/>
      <color theme="1"/>
      <name val="ArialMT"/>
    </font>
    <font>
      <b/>
      <sz val="11"/>
      <color theme="1"/>
      <name val="Arial"/>
      <family val="2"/>
    </font>
    <font>
      <sz val="12"/>
      <color theme="1"/>
      <name val="ArialMT"/>
    </font>
    <font>
      <sz val="8"/>
      <color theme="1"/>
      <name val="ArialMT"/>
    </font>
    <font>
      <b/>
      <sz val="7"/>
      <color theme="1"/>
      <name val="Arial"/>
      <family val="2"/>
    </font>
    <font>
      <sz val="11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5" borderId="1" xfId="0" applyFill="1" applyBorder="1"/>
    <xf numFmtId="0" fontId="0" fillId="0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3" fillId="13" borderId="4" xfId="0" applyFont="1" applyFill="1" applyBorder="1"/>
    <xf numFmtId="0" fontId="3" fillId="13" borderId="5" xfId="0" applyFont="1" applyFill="1" applyBorder="1"/>
    <xf numFmtId="0" fontId="3" fillId="13" borderId="6" xfId="0" applyFont="1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0" fillId="12" borderId="1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4" fillId="0" borderId="0" xfId="0" applyFont="1"/>
    <xf numFmtId="0" fontId="0" fillId="2" borderId="1" xfId="0" applyFill="1" applyBorder="1"/>
    <xf numFmtId="0" fontId="0" fillId="2" borderId="0" xfId="0" applyFill="1" applyBorder="1"/>
    <xf numFmtId="0" fontId="5" fillId="16" borderId="1" xfId="0" applyFont="1" applyFill="1" applyBorder="1"/>
    <xf numFmtId="0" fontId="0" fillId="16" borderId="1" xfId="0" applyFill="1" applyBorder="1"/>
    <xf numFmtId="0" fontId="4" fillId="16" borderId="1" xfId="0" applyFont="1" applyFill="1" applyBorder="1"/>
    <xf numFmtId="0" fontId="0" fillId="17" borderId="1" xfId="0" applyFill="1" applyBorder="1"/>
    <xf numFmtId="0" fontId="4" fillId="17" borderId="1" xfId="0" applyFont="1" applyFill="1" applyBorder="1"/>
    <xf numFmtId="0" fontId="4" fillId="16" borderId="1" xfId="0" applyFont="1" applyFill="1" applyBorder="1" applyAlignment="1">
      <alignment horizontal="center"/>
    </xf>
    <xf numFmtId="0" fontId="4" fillId="16" borderId="7" xfId="0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4" fillId="18" borderId="1" xfId="0" applyFont="1" applyFill="1" applyBorder="1"/>
    <xf numFmtId="0" fontId="0" fillId="18" borderId="1" xfId="0" applyFill="1" applyBorder="1"/>
    <xf numFmtId="0" fontId="5" fillId="18" borderId="1" xfId="0" applyFont="1" applyFill="1" applyBorder="1"/>
    <xf numFmtId="0" fontId="5" fillId="17" borderId="1" xfId="0" applyFont="1" applyFill="1" applyBorder="1"/>
    <xf numFmtId="0" fontId="0" fillId="19" borderId="1" xfId="0" applyFill="1" applyBorder="1"/>
    <xf numFmtId="0" fontId="6" fillId="19" borderId="1" xfId="0" applyFont="1" applyFill="1" applyBorder="1"/>
    <xf numFmtId="0" fontId="4" fillId="19" borderId="1" xfId="0" applyFont="1" applyFill="1" applyBorder="1"/>
    <xf numFmtId="0" fontId="0" fillId="20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ont="1" applyFill="1" applyBorder="1"/>
    <xf numFmtId="0" fontId="0" fillId="16" borderId="1" xfId="0" applyFill="1" applyBorder="1" applyAlignment="1">
      <alignment horizontal="center"/>
    </xf>
    <xf numFmtId="0" fontId="9" fillId="17" borderId="1" xfId="0" applyFont="1" applyFill="1" applyBorder="1"/>
    <xf numFmtId="169" fontId="0" fillId="17" borderId="1" xfId="0" applyNumberFormat="1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0" xfId="0" applyFill="1" applyBorder="1"/>
    <xf numFmtId="0" fontId="0" fillId="7" borderId="14" xfId="0" applyFill="1" applyBorder="1"/>
    <xf numFmtId="0" fontId="0" fillId="7" borderId="15" xfId="0" applyFill="1" applyBorder="1"/>
    <xf numFmtId="0" fontId="2" fillId="7" borderId="16" xfId="0" applyFont="1" applyFill="1" applyBorder="1"/>
    <xf numFmtId="0" fontId="0" fillId="7" borderId="16" xfId="0" applyFill="1" applyBorder="1"/>
    <xf numFmtId="0" fontId="0" fillId="7" borderId="17" xfId="0" applyFill="1" applyBorder="1"/>
    <xf numFmtId="0" fontId="0" fillId="15" borderId="0" xfId="0" applyFill="1" applyBorder="1"/>
    <xf numFmtId="0" fontId="0" fillId="16" borderId="2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0" borderId="0" xfId="0" applyFill="1" applyBorder="1"/>
    <xf numFmtId="0" fontId="0" fillId="10" borderId="18" xfId="0" applyFont="1" applyFill="1" applyBorder="1"/>
    <xf numFmtId="0" fontId="0" fillId="10" borderId="19" xfId="0" applyFont="1" applyFill="1" applyBorder="1"/>
    <xf numFmtId="0" fontId="0" fillId="10" borderId="20" xfId="0" applyFont="1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1" borderId="7" xfId="0" applyFill="1" applyBorder="1"/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0" fontId="0" fillId="15" borderId="13" xfId="0" applyFill="1" applyBorder="1"/>
    <xf numFmtId="0" fontId="0" fillId="15" borderId="14" xfId="0" applyFill="1" applyBorder="1"/>
    <xf numFmtId="0" fontId="0" fillId="15" borderId="15" xfId="0" applyFill="1" applyBorder="1"/>
    <xf numFmtId="0" fontId="0" fillId="15" borderId="16" xfId="0" applyFill="1" applyBorder="1"/>
    <xf numFmtId="0" fontId="0" fillId="15" borderId="17" xfId="0" applyFill="1" applyBorder="1"/>
    <xf numFmtId="0" fontId="9" fillId="16" borderId="10" xfId="0" applyFont="1" applyFill="1" applyBorder="1"/>
    <xf numFmtId="0" fontId="0" fillId="16" borderId="12" xfId="0" applyFill="1" applyBorder="1"/>
    <xf numFmtId="0" fontId="4" fillId="16" borderId="13" xfId="0" applyFont="1" applyFill="1" applyBorder="1"/>
    <xf numFmtId="0" fontId="0" fillId="16" borderId="14" xfId="0" applyFill="1" applyBorder="1"/>
    <xf numFmtId="0" fontId="4" fillId="16" borderId="15" xfId="0" applyFont="1" applyFill="1" applyBorder="1"/>
    <xf numFmtId="0" fontId="0" fillId="16" borderId="17" xfId="0" applyFill="1" applyBorder="1"/>
    <xf numFmtId="0" fontId="0" fillId="19" borderId="10" xfId="0" applyFill="1" applyBorder="1"/>
    <xf numFmtId="0" fontId="0" fillId="19" borderId="12" xfId="0" applyFill="1" applyBorder="1"/>
    <xf numFmtId="0" fontId="0" fillId="19" borderId="13" xfId="0" applyFill="1" applyBorder="1"/>
    <xf numFmtId="0" fontId="0" fillId="19" borderId="14" xfId="0" applyFill="1" applyBorder="1"/>
    <xf numFmtId="0" fontId="0" fillId="19" borderId="15" xfId="0" applyFill="1" applyBorder="1"/>
    <xf numFmtId="0" fontId="0" fillId="19" borderId="17" xfId="0" applyFill="1" applyBorder="1"/>
    <xf numFmtId="0" fontId="6" fillId="19" borderId="2" xfId="0" applyFont="1" applyFill="1" applyBorder="1"/>
    <xf numFmtId="0" fontId="6" fillId="19" borderId="9" xfId="0" applyFont="1" applyFill="1" applyBorder="1"/>
    <xf numFmtId="0" fontId="0" fillId="16" borderId="9" xfId="0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4" fillId="16" borderId="9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4</xdr:row>
      <xdr:rowOff>120602</xdr:rowOff>
    </xdr:to>
    <xdr:pic>
      <xdr:nvPicPr>
        <xdr:cNvPr id="2" name="Picture 1" descr="page22image66173376">
          <a:extLst>
            <a:ext uri="{FF2B5EF4-FFF2-40B4-BE49-F238E27FC236}">
              <a16:creationId xmlns:a16="http://schemas.microsoft.com/office/drawing/2014/main" id="{C03647AD-A721-1644-88CE-08FD0BB44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66124</xdr:colOff>
      <xdr:row>11</xdr:row>
      <xdr:rowOff>12700</xdr:rowOff>
    </xdr:from>
    <xdr:to>
      <xdr:col>0</xdr:col>
      <xdr:colOff>695876</xdr:colOff>
      <xdr:row>11</xdr:row>
      <xdr:rowOff>12700</xdr:rowOff>
    </xdr:to>
    <xdr:pic>
      <xdr:nvPicPr>
        <xdr:cNvPr id="3" name="Picture 2" descr="page22image66151616">
          <a:extLst>
            <a:ext uri="{FF2B5EF4-FFF2-40B4-BE49-F238E27FC236}">
              <a16:creationId xmlns:a16="http://schemas.microsoft.com/office/drawing/2014/main" id="{12ED277D-027D-A148-9F60-73C514C4B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4" y="2247900"/>
          <a:ext cx="629752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355023</xdr:colOff>
          <xdr:row>33</xdr:row>
          <xdr:rowOff>0</xdr:rowOff>
        </xdr:from>
        <xdr:to>
          <xdr:col>9</xdr:col>
          <xdr:colOff>573288</xdr:colOff>
          <xdr:row>33</xdr:row>
          <xdr:rowOff>0</xdr:rowOff>
        </xdr:to>
        <xdr:pic>
          <xdr:nvPicPr>
            <xdr:cNvPr id="4" name="Picture 3" descr="page22image66154112">
              <a:extLst>
                <a:ext uri="{FF2B5EF4-FFF2-40B4-BE49-F238E27FC236}">
                  <a16:creationId xmlns:a16="http://schemas.microsoft.com/office/drawing/2014/main" id="{429A77FF-C14B-9E4B-B0F8-C978F33667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Wheatstone Bridge'!$A$14" spid="_x0000_s423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831523" y="6718300"/>
              <a:ext cx="5322455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0</xdr:colOff>
      <xdr:row>20</xdr:row>
      <xdr:rowOff>0</xdr:rowOff>
    </xdr:from>
    <xdr:to>
      <xdr:col>0</xdr:col>
      <xdr:colOff>0</xdr:colOff>
      <xdr:row>24</xdr:row>
      <xdr:rowOff>101504</xdr:rowOff>
    </xdr:to>
    <xdr:pic>
      <xdr:nvPicPr>
        <xdr:cNvPr id="5" name="Picture 4" descr="page22image66173376">
          <a:extLst>
            <a:ext uri="{FF2B5EF4-FFF2-40B4-BE49-F238E27FC236}">
              <a16:creationId xmlns:a16="http://schemas.microsoft.com/office/drawing/2014/main" id="{0830483E-CD41-2442-A50C-736F70893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200"/>
          <a:ext cx="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9333-7D4F-414E-9836-3EFB780B9198}">
  <dimension ref="A1:Q29"/>
  <sheetViews>
    <sheetView tabSelected="1" topLeftCell="C12" zoomScale="133" workbookViewId="0">
      <selection activeCell="I41" sqref="I41"/>
    </sheetView>
  </sheetViews>
  <sheetFormatPr baseColWidth="10" defaultRowHeight="16"/>
  <cols>
    <col min="7" max="7" width="12.83203125" bestFit="1" customWidth="1"/>
  </cols>
  <sheetData>
    <row r="1" spans="1:17" ht="17" thickBot="1">
      <c r="A1" s="37" t="s">
        <v>94</v>
      </c>
      <c r="B1" s="36" t="s">
        <v>93</v>
      </c>
      <c r="C1" s="36"/>
      <c r="D1" s="36"/>
      <c r="E1" s="36"/>
      <c r="F1" s="36"/>
      <c r="G1" s="36"/>
      <c r="H1" s="105"/>
      <c r="I1" s="106" t="s">
        <v>136</v>
      </c>
    </row>
    <row r="2" spans="1:17">
      <c r="A2" s="38"/>
      <c r="B2" s="31" t="s">
        <v>95</v>
      </c>
      <c r="C2" s="31" t="s">
        <v>96</v>
      </c>
      <c r="D2" s="31" t="s">
        <v>97</v>
      </c>
      <c r="E2" s="31" t="s">
        <v>98</v>
      </c>
      <c r="F2" s="31" t="s">
        <v>99</v>
      </c>
      <c r="G2" s="31" t="s">
        <v>100</v>
      </c>
      <c r="H2" s="32"/>
    </row>
    <row r="3" spans="1:17">
      <c r="A3" s="39"/>
      <c r="B3" s="33" t="s">
        <v>23</v>
      </c>
      <c r="C3" s="33" t="s">
        <v>101</v>
      </c>
      <c r="D3" s="33" t="s">
        <v>102</v>
      </c>
      <c r="E3" s="33" t="s">
        <v>103</v>
      </c>
      <c r="F3" s="33" t="s">
        <v>104</v>
      </c>
      <c r="G3" s="33" t="s">
        <v>105</v>
      </c>
      <c r="H3" s="32"/>
    </row>
    <row r="4" spans="1:17">
      <c r="A4" s="32" t="s">
        <v>106</v>
      </c>
      <c r="B4" s="34">
        <v>-1.2987</v>
      </c>
      <c r="C4" s="34">
        <v>-182.53</v>
      </c>
      <c r="D4" s="34">
        <v>-14.237</v>
      </c>
      <c r="E4" s="34">
        <v>-0.82599999999999996</v>
      </c>
      <c r="F4" s="34">
        <v>-2.3E-2</v>
      </c>
      <c r="G4" s="34">
        <v>0</v>
      </c>
      <c r="H4" s="34"/>
    </row>
    <row r="5" spans="1:17">
      <c r="A5" s="32" t="s">
        <v>107</v>
      </c>
      <c r="B5" s="35">
        <v>-0.52607000000000004</v>
      </c>
      <c r="C5" s="34">
        <v>-76.632000000000005</v>
      </c>
      <c r="D5" s="34">
        <v>-35.756</v>
      </c>
      <c r="E5" s="34">
        <v>-3.5379999999999998</v>
      </c>
      <c r="F5" s="34">
        <v>-0.34</v>
      </c>
      <c r="G5" s="34">
        <v>0</v>
      </c>
      <c r="H5" s="34"/>
    </row>
    <row r="6" spans="1:17">
      <c r="A6" s="33" t="s">
        <v>108</v>
      </c>
      <c r="B6" s="34">
        <v>-1.2144999999999999</v>
      </c>
      <c r="C6" s="34">
        <v>-0.1583</v>
      </c>
      <c r="D6" s="34">
        <v>-11.958</v>
      </c>
      <c r="E6" s="34">
        <v>-0.68400000000000005</v>
      </c>
      <c r="F6" s="34">
        <v>-0.122</v>
      </c>
      <c r="G6" s="34">
        <v>0</v>
      </c>
      <c r="H6" s="34"/>
    </row>
    <row r="7" spans="1:17">
      <c r="A7" s="33" t="s">
        <v>109</v>
      </c>
      <c r="B7" s="34">
        <v>-0.30589</v>
      </c>
      <c r="C7" s="34">
        <v>-0.30626999999999999</v>
      </c>
      <c r="D7" s="34">
        <v>-42.633000000000003</v>
      </c>
      <c r="E7" s="34">
        <v>-7.1059999999999999</v>
      </c>
      <c r="F7" s="34">
        <v>-0.13800000000000001</v>
      </c>
      <c r="G7" s="34">
        <v>0</v>
      </c>
      <c r="H7" s="34"/>
    </row>
    <row r="8" spans="1:17">
      <c r="A8" s="33" t="s">
        <v>110</v>
      </c>
      <c r="B8" s="34"/>
      <c r="C8" s="34"/>
      <c r="D8" s="34"/>
      <c r="E8" s="34"/>
      <c r="F8" s="34"/>
      <c r="G8" s="34"/>
      <c r="H8" s="34"/>
    </row>
    <row r="10" spans="1:17" ht="17" thickBot="1">
      <c r="A10" s="28"/>
    </row>
    <row r="11" spans="1:17" ht="17" thickBot="1">
      <c r="A11" s="40" t="s">
        <v>130</v>
      </c>
      <c r="B11" s="50" t="s">
        <v>111</v>
      </c>
      <c r="C11" s="50"/>
      <c r="D11" s="50"/>
      <c r="E11" s="50"/>
      <c r="F11" s="50"/>
      <c r="G11" s="50"/>
      <c r="H11" s="64" t="s">
        <v>112</v>
      </c>
      <c r="I11" s="65"/>
      <c r="J11" s="65"/>
      <c r="K11" s="65"/>
      <c r="L11" s="65"/>
      <c r="M11" s="65"/>
      <c r="N11" s="65"/>
      <c r="O11" s="104" t="s">
        <v>137</v>
      </c>
    </row>
    <row r="12" spans="1:17" ht="17" customHeight="1">
      <c r="A12" s="40" t="s">
        <v>131</v>
      </c>
      <c r="B12" s="41" t="s">
        <v>95</v>
      </c>
      <c r="C12" s="41" t="s">
        <v>118</v>
      </c>
      <c r="D12" s="42" t="s">
        <v>119</v>
      </c>
      <c r="E12" s="42" t="s">
        <v>120</v>
      </c>
      <c r="F12" s="42" t="s">
        <v>121</v>
      </c>
      <c r="G12" s="42" t="s">
        <v>122</v>
      </c>
      <c r="H12" s="42" t="s">
        <v>123</v>
      </c>
      <c r="I12" s="42" t="s">
        <v>124</v>
      </c>
      <c r="J12" s="42" t="s">
        <v>125</v>
      </c>
      <c r="K12" s="42" t="s">
        <v>126</v>
      </c>
      <c r="L12" s="42" t="s">
        <v>127</v>
      </c>
      <c r="M12" s="42" t="s">
        <v>128</v>
      </c>
      <c r="N12" s="42" t="s">
        <v>129</v>
      </c>
      <c r="P12" s="90" t="s">
        <v>165</v>
      </c>
      <c r="Q12" s="91"/>
    </row>
    <row r="13" spans="1:17">
      <c r="A13" s="41"/>
      <c r="B13" s="40" t="s">
        <v>132</v>
      </c>
      <c r="C13" s="40" t="s">
        <v>133</v>
      </c>
      <c r="D13" s="40" t="s">
        <v>134</v>
      </c>
      <c r="E13" s="40" t="s">
        <v>133</v>
      </c>
      <c r="F13" s="40" t="s">
        <v>134</v>
      </c>
      <c r="G13" s="40" t="s">
        <v>133</v>
      </c>
      <c r="H13" s="40" t="s">
        <v>133</v>
      </c>
      <c r="I13" s="40" t="s">
        <v>133</v>
      </c>
      <c r="J13" s="40" t="s">
        <v>135</v>
      </c>
      <c r="K13" s="40" t="s">
        <v>135</v>
      </c>
      <c r="L13" s="40" t="s">
        <v>135</v>
      </c>
      <c r="M13" s="40" t="s">
        <v>135</v>
      </c>
      <c r="N13" s="40" t="s">
        <v>133</v>
      </c>
      <c r="P13" s="92" t="s">
        <v>166</v>
      </c>
      <c r="Q13" s="93"/>
    </row>
    <row r="14" spans="1:17" ht="17" thickBot="1">
      <c r="A14" s="41" t="s">
        <v>106</v>
      </c>
      <c r="B14" s="52">
        <v>0.1</v>
      </c>
      <c r="C14" s="34">
        <v>4653.1000000000004</v>
      </c>
      <c r="D14" s="34"/>
      <c r="E14" s="34"/>
      <c r="F14" s="34"/>
      <c r="G14" s="34"/>
      <c r="H14" s="34"/>
      <c r="I14" s="41">
        <f>B14*C14</f>
        <v>465.31000000000006</v>
      </c>
      <c r="J14" s="41">
        <v>0.05</v>
      </c>
      <c r="K14" s="34">
        <v>0</v>
      </c>
      <c r="L14" s="41">
        <f>J14+K14</f>
        <v>0.05</v>
      </c>
      <c r="M14" s="41">
        <f>L14*I14/100</f>
        <v>0.23265500000000003</v>
      </c>
      <c r="N14" s="41">
        <f>I14+-M14</f>
        <v>465.07734500000004</v>
      </c>
      <c r="P14" s="94" t="s">
        <v>167</v>
      </c>
      <c r="Q14" s="95"/>
    </row>
    <row r="15" spans="1:17">
      <c r="A15" s="40" t="s">
        <v>107</v>
      </c>
      <c r="B15" s="51">
        <v>1</v>
      </c>
      <c r="C15" s="51">
        <v>2188.9</v>
      </c>
      <c r="D15" s="43"/>
      <c r="E15" s="43"/>
      <c r="F15" s="43"/>
      <c r="G15" s="34"/>
      <c r="H15" s="34"/>
      <c r="I15" s="41">
        <f t="shared" ref="I15:I17" si="0">B15*C15</f>
        <v>2188.9</v>
      </c>
      <c r="J15" s="41">
        <v>0.05</v>
      </c>
      <c r="K15" s="34">
        <v>0</v>
      </c>
      <c r="L15" s="41">
        <f t="shared" ref="L15:L17" si="1">J15+K15</f>
        <v>0.05</v>
      </c>
      <c r="M15" s="41">
        <f t="shared" ref="M15:M17" si="2">L15*I15/100</f>
        <v>1.0944500000000001</v>
      </c>
      <c r="N15" s="41">
        <f t="shared" ref="N15:N17" si="3">I15+-M15</f>
        <v>2187.80555</v>
      </c>
    </row>
    <row r="16" spans="1:17">
      <c r="A16" s="41" t="s">
        <v>108</v>
      </c>
      <c r="B16" s="34">
        <v>1</v>
      </c>
      <c r="C16" s="34">
        <v>4542.3999999999996</v>
      </c>
      <c r="D16" s="34"/>
      <c r="E16" s="34"/>
      <c r="F16" s="34"/>
      <c r="G16" s="34"/>
      <c r="H16" s="34"/>
      <c r="I16" s="41">
        <f t="shared" si="0"/>
        <v>4542.3999999999996</v>
      </c>
      <c r="J16" s="41">
        <v>0.05</v>
      </c>
      <c r="K16" s="34">
        <v>0</v>
      </c>
      <c r="L16" s="41">
        <f t="shared" si="1"/>
        <v>0.05</v>
      </c>
      <c r="M16" s="41">
        <f t="shared" si="2"/>
        <v>2.2711999999999999</v>
      </c>
      <c r="N16" s="41">
        <f t="shared" si="3"/>
        <v>4540.1287999999995</v>
      </c>
    </row>
    <row r="17" spans="1:14">
      <c r="A17" s="40" t="s">
        <v>109</v>
      </c>
      <c r="B17" s="35">
        <v>10</v>
      </c>
      <c r="C17" s="35">
        <v>1236.2</v>
      </c>
      <c r="D17" s="35"/>
      <c r="E17" s="35"/>
      <c r="F17" s="35"/>
      <c r="G17" s="34"/>
      <c r="H17" s="34"/>
      <c r="I17" s="41">
        <f t="shared" si="0"/>
        <v>12362</v>
      </c>
      <c r="J17" s="41">
        <v>0.05</v>
      </c>
      <c r="K17" s="34">
        <v>0</v>
      </c>
      <c r="L17" s="41">
        <f t="shared" si="1"/>
        <v>0.05</v>
      </c>
      <c r="M17" s="41">
        <f t="shared" si="2"/>
        <v>6.181</v>
      </c>
      <c r="N17" s="41">
        <f t="shared" si="3"/>
        <v>12355.819</v>
      </c>
    </row>
    <row r="18" spans="1:14">
      <c r="A18" s="41" t="s">
        <v>110</v>
      </c>
      <c r="B18" s="34"/>
      <c r="C18" s="34"/>
      <c r="D18" s="34"/>
      <c r="E18" s="34"/>
      <c r="F18" s="34"/>
      <c r="G18" s="34"/>
      <c r="H18" s="34"/>
      <c r="I18" s="41"/>
      <c r="J18" s="41"/>
      <c r="K18" s="34">
        <v>0</v>
      </c>
      <c r="L18" s="41"/>
      <c r="M18" s="41"/>
      <c r="N18" s="41"/>
    </row>
    <row r="19" spans="1:14">
      <c r="A19" s="40" t="s">
        <v>113</v>
      </c>
      <c r="B19" s="35"/>
      <c r="C19" s="34"/>
      <c r="D19" s="34"/>
      <c r="E19" s="34"/>
      <c r="F19" s="34"/>
      <c r="G19" s="34"/>
      <c r="H19" s="34"/>
      <c r="I19" s="41"/>
      <c r="J19" s="41"/>
      <c r="K19" s="34">
        <v>0</v>
      </c>
      <c r="L19" s="41"/>
      <c r="M19" s="41"/>
      <c r="N19" s="41"/>
    </row>
    <row r="21" spans="1:14" ht="17" thickBot="1"/>
    <row r="22" spans="1:14" ht="17" thickBot="1">
      <c r="A22" s="44" t="s">
        <v>138</v>
      </c>
      <c r="B22" s="44" t="s">
        <v>95</v>
      </c>
      <c r="C22" s="45" t="s">
        <v>139</v>
      </c>
      <c r="D22" s="45" t="s">
        <v>140</v>
      </c>
      <c r="E22" s="45" t="s">
        <v>141</v>
      </c>
      <c r="F22" s="45" t="s">
        <v>142</v>
      </c>
      <c r="G22" s="45" t="s">
        <v>143</v>
      </c>
      <c r="H22" s="45" t="s">
        <v>144</v>
      </c>
      <c r="I22" s="102" t="s">
        <v>145</v>
      </c>
      <c r="J22" s="103" t="s">
        <v>146</v>
      </c>
    </row>
    <row r="23" spans="1:14">
      <c r="A23" s="44" t="s">
        <v>131</v>
      </c>
      <c r="B23" s="44"/>
      <c r="C23" s="44" t="s">
        <v>153</v>
      </c>
      <c r="D23" s="44"/>
      <c r="E23" s="44"/>
      <c r="F23" s="44"/>
      <c r="G23" s="44"/>
      <c r="H23" s="44"/>
      <c r="I23" s="44"/>
      <c r="K23" s="96" t="s">
        <v>169</v>
      </c>
      <c r="L23" s="97"/>
    </row>
    <row r="24" spans="1:14">
      <c r="A24" s="44" t="s">
        <v>106</v>
      </c>
      <c r="B24" s="47">
        <v>0.1</v>
      </c>
      <c r="C24" s="47">
        <v>-2.6619999999999999</v>
      </c>
      <c r="D24" s="47">
        <v>4643.1000000000004</v>
      </c>
      <c r="E24" s="47">
        <v>2.6819999999999999</v>
      </c>
      <c r="F24" s="47">
        <v>4663.1000000000004</v>
      </c>
      <c r="G24" s="47">
        <f>C24/((C14-D24)/C14)</f>
        <v>-1238.6552200000001</v>
      </c>
      <c r="H24" s="47">
        <f>E24/((F24-C14)/C14)</f>
        <v>1247.9614200000001</v>
      </c>
      <c r="I24" s="47">
        <f>(E24-C24)/((F24-D24)/C14)</f>
        <v>1243.3083200000001</v>
      </c>
      <c r="K24" s="98" t="s">
        <v>168</v>
      </c>
      <c r="L24" s="99"/>
    </row>
    <row r="25" spans="1:14" ht="17" thickBot="1">
      <c r="A25" s="46" t="s">
        <v>107</v>
      </c>
      <c r="B25" s="47">
        <v>1</v>
      </c>
      <c r="C25" s="47">
        <v>-3.99</v>
      </c>
      <c r="D25" s="47">
        <v>2178.9</v>
      </c>
      <c r="E25" s="47">
        <v>3.9980000000000002</v>
      </c>
      <c r="F25" s="47">
        <v>2198.9</v>
      </c>
      <c r="G25" s="47">
        <f t="shared" ref="G25:G27" si="4">C25/((C15-D25)/C15)</f>
        <v>-873.37109999999996</v>
      </c>
      <c r="H25" s="47">
        <f t="shared" ref="H25:H27" si="5">E25/((F25-C15)/C15)</f>
        <v>875.12221999999997</v>
      </c>
      <c r="I25" s="47">
        <f t="shared" ref="I25:I27" si="6">(E25-C25)/((F25-D25)/C15)</f>
        <v>874.24666000000002</v>
      </c>
      <c r="K25" s="100" t="s">
        <v>170</v>
      </c>
      <c r="L25" s="101"/>
    </row>
    <row r="26" spans="1:14">
      <c r="A26" s="44" t="s">
        <v>108</v>
      </c>
      <c r="B26" s="47">
        <v>1</v>
      </c>
      <c r="C26" s="47">
        <v>-2.8250000000000002</v>
      </c>
      <c r="D26" s="47">
        <v>4532.3999999999996</v>
      </c>
      <c r="E26" s="47">
        <v>2.7959999999999998</v>
      </c>
      <c r="F26" s="47">
        <v>4552.3999999999996</v>
      </c>
      <c r="G26" s="47">
        <f>C26/((C16-D26)/C16)</f>
        <v>-1283.2279999999998</v>
      </c>
      <c r="H26" s="47">
        <f t="shared" si="5"/>
        <v>1270.0550399999997</v>
      </c>
      <c r="I26" s="47">
        <f t="shared" si="6"/>
        <v>1276.6415199999999</v>
      </c>
    </row>
    <row r="27" spans="1:14">
      <c r="A27" s="46" t="s">
        <v>109</v>
      </c>
      <c r="B27" s="47">
        <v>10</v>
      </c>
      <c r="C27" s="47">
        <v>-11.685</v>
      </c>
      <c r="D27" s="47">
        <v>1226.2</v>
      </c>
      <c r="E27" s="47">
        <v>11.576000000000001</v>
      </c>
      <c r="F27" s="47">
        <v>1246.2</v>
      </c>
      <c r="G27" s="47">
        <f t="shared" si="4"/>
        <v>-1444.4997000000001</v>
      </c>
      <c r="H27" s="47">
        <f t="shared" si="5"/>
        <v>1431.0251200000002</v>
      </c>
      <c r="I27" s="47">
        <f t="shared" si="6"/>
        <v>1437.7624100000003</v>
      </c>
    </row>
    <row r="28" spans="1:14">
      <c r="A28" s="44" t="s">
        <v>110</v>
      </c>
      <c r="B28" s="47"/>
      <c r="C28" s="47"/>
      <c r="D28" s="47"/>
      <c r="E28" s="47"/>
      <c r="F28" s="47"/>
      <c r="G28" s="47"/>
      <c r="H28" s="47"/>
      <c r="I28" s="47"/>
    </row>
    <row r="29" spans="1:14">
      <c r="A29" s="46" t="s">
        <v>113</v>
      </c>
      <c r="B29" s="47"/>
      <c r="C29" s="47"/>
      <c r="D29" s="47"/>
      <c r="E29" s="47"/>
      <c r="F29" s="47"/>
      <c r="G29" s="47"/>
      <c r="H29" s="47"/>
      <c r="I29" s="47"/>
    </row>
  </sheetData>
  <mergeCells count="2">
    <mergeCell ref="A1:A3"/>
    <mergeCell ref="B11:G1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3F43-6261-9A4D-B1BE-A452857363DF}">
  <dimension ref="A1:M43"/>
  <sheetViews>
    <sheetView workbookViewId="0">
      <selection activeCell="E1" sqref="E1"/>
    </sheetView>
  </sheetViews>
  <sheetFormatPr baseColWidth="10" defaultRowHeight="16"/>
  <cols>
    <col min="5" max="5" width="12.1640625" bestFit="1" customWidth="1"/>
    <col min="7" max="7" width="12.1640625" bestFit="1" customWidth="1"/>
  </cols>
  <sheetData>
    <row r="1" spans="1:9">
      <c r="A1" s="16" t="s">
        <v>16</v>
      </c>
      <c r="B1" s="16" t="s">
        <v>0</v>
      </c>
      <c r="C1" s="16" t="s">
        <v>10</v>
      </c>
      <c r="D1" s="16" t="s">
        <v>11</v>
      </c>
      <c r="E1" s="16" t="s">
        <v>12</v>
      </c>
      <c r="F1" s="16" t="s">
        <v>1</v>
      </c>
      <c r="G1" s="16" t="s">
        <v>17</v>
      </c>
    </row>
    <row r="2" spans="1:9">
      <c r="A2" s="16">
        <v>1</v>
      </c>
      <c r="B2" s="16" t="s">
        <v>13</v>
      </c>
      <c r="C2" s="15">
        <v>150</v>
      </c>
      <c r="D2" s="15">
        <v>60</v>
      </c>
      <c r="E2" s="15">
        <v>2.5</v>
      </c>
      <c r="F2" s="15">
        <v>1</v>
      </c>
      <c r="G2" s="15">
        <f>C2*F2/100</f>
        <v>1.5</v>
      </c>
    </row>
    <row r="3" spans="1:9">
      <c r="A3" s="16">
        <v>2</v>
      </c>
      <c r="B3" s="16" t="s">
        <v>14</v>
      </c>
      <c r="C3" s="15">
        <v>5</v>
      </c>
      <c r="D3" s="15">
        <v>50</v>
      </c>
      <c r="E3" s="15">
        <v>0.1</v>
      </c>
      <c r="F3" s="15">
        <v>1</v>
      </c>
      <c r="G3" s="15">
        <f t="shared" ref="G3:G4" si="0">C3*F3/100</f>
        <v>0.05</v>
      </c>
    </row>
    <row r="4" spans="1:9">
      <c r="A4" s="16">
        <v>3</v>
      </c>
      <c r="B4" s="16" t="s">
        <v>15</v>
      </c>
      <c r="C4" s="15">
        <v>750</v>
      </c>
      <c r="D4" s="15">
        <v>75</v>
      </c>
      <c r="E4" s="15">
        <v>10</v>
      </c>
      <c r="F4" s="15">
        <v>0.5</v>
      </c>
      <c r="G4" s="15">
        <f t="shared" si="0"/>
        <v>3.75</v>
      </c>
    </row>
    <row r="6" spans="1:9">
      <c r="A6" s="17" t="s">
        <v>2</v>
      </c>
      <c r="B6" s="18"/>
      <c r="C6" s="19"/>
      <c r="D6" s="20" t="s">
        <v>3</v>
      </c>
      <c r="E6" s="20" t="s">
        <v>4</v>
      </c>
      <c r="F6" s="20" t="s">
        <v>5</v>
      </c>
      <c r="G6" s="20" t="s">
        <v>6</v>
      </c>
      <c r="H6" s="20" t="s">
        <v>30</v>
      </c>
      <c r="I6" s="20" t="s">
        <v>31</v>
      </c>
    </row>
    <row r="7" spans="1:9">
      <c r="A7" s="21" t="s">
        <v>7</v>
      </c>
      <c r="B7" s="22" t="s">
        <v>8</v>
      </c>
      <c r="C7" s="22" t="s">
        <v>9</v>
      </c>
      <c r="D7" s="22"/>
      <c r="E7" s="22"/>
      <c r="F7" s="22"/>
      <c r="G7" s="22"/>
      <c r="H7" s="22"/>
      <c r="I7" s="22"/>
    </row>
    <row r="8" spans="1:9">
      <c r="A8" s="23">
        <v>5</v>
      </c>
      <c r="B8" s="24">
        <v>150</v>
      </c>
      <c r="C8" s="24">
        <v>750</v>
      </c>
      <c r="D8" s="24">
        <v>4.5</v>
      </c>
      <c r="E8" s="24">
        <v>5.98</v>
      </c>
      <c r="F8" s="24">
        <v>4.2</v>
      </c>
      <c r="G8" s="24">
        <v>18.79</v>
      </c>
      <c r="H8" s="24">
        <v>8.6999999999999993</v>
      </c>
      <c r="I8" s="24">
        <v>4.5363019800000002</v>
      </c>
    </row>
    <row r="11" spans="1:9">
      <c r="A11" s="14" t="s">
        <v>70</v>
      </c>
      <c r="B11" s="14" t="s">
        <v>71</v>
      </c>
      <c r="C11" s="48" t="s">
        <v>72</v>
      </c>
      <c r="D11" s="48"/>
      <c r="E11" s="14" t="s">
        <v>73</v>
      </c>
      <c r="F11" s="14" t="s">
        <v>74</v>
      </c>
      <c r="G11" s="14" t="s">
        <v>76</v>
      </c>
      <c r="H11" s="14" t="s">
        <v>75</v>
      </c>
      <c r="I11" s="14" t="s">
        <v>77</v>
      </c>
    </row>
    <row r="12" spans="1:9">
      <c r="A12" s="26"/>
      <c r="B12" s="26"/>
      <c r="C12" s="26" t="s">
        <v>23</v>
      </c>
      <c r="D12" s="26" t="s">
        <v>56</v>
      </c>
      <c r="E12" s="26" t="s">
        <v>23</v>
      </c>
      <c r="F12" s="26" t="s">
        <v>23</v>
      </c>
      <c r="G12" s="26" t="s">
        <v>38</v>
      </c>
      <c r="H12" s="26" t="s">
        <v>38</v>
      </c>
      <c r="I12" s="26" t="s">
        <v>23</v>
      </c>
    </row>
    <row r="13" spans="1:9">
      <c r="A13" s="15">
        <v>1.0000000000000001E-5</v>
      </c>
      <c r="B13" s="15">
        <v>0.02</v>
      </c>
      <c r="C13" s="15">
        <v>0.41173999999999999</v>
      </c>
      <c r="D13" s="15">
        <v>20</v>
      </c>
      <c r="E13" s="15">
        <f>0.012/100*C13+5*A13</f>
        <v>9.9408799999999996E-5</v>
      </c>
      <c r="F13" s="15">
        <v>6.0000000000000001E-3</v>
      </c>
      <c r="G13" s="15">
        <f>E13/C13*100</f>
        <v>2.4143585758002621E-2</v>
      </c>
      <c r="H13" s="15">
        <f>F13/C13*100</f>
        <v>1.4572302909603148</v>
      </c>
      <c r="I13" s="15">
        <f>0.41174+-E13</f>
        <v>0.41164059120000002</v>
      </c>
    </row>
    <row r="14" spans="1:9">
      <c r="A14" s="15">
        <v>1.0000000000000001E-5</v>
      </c>
      <c r="B14" s="15">
        <v>0.02</v>
      </c>
      <c r="C14" s="15">
        <v>0.81686999999999999</v>
      </c>
      <c r="D14" s="15">
        <v>40</v>
      </c>
      <c r="E14" s="15">
        <f t="shared" ref="E14:E22" si="1">0.012/100*C14+5*A14</f>
        <v>1.4802439999999999E-4</v>
      </c>
      <c r="F14" s="15">
        <v>6.0000000000000001E-3</v>
      </c>
      <c r="G14" s="15">
        <f t="shared" ref="G14:G22" si="2">E14/C14*100</f>
        <v>1.812092499418512E-2</v>
      </c>
      <c r="H14" s="15">
        <f t="shared" ref="H14:H22" si="3">F14/C14*100</f>
        <v>0.73451099930221464</v>
      </c>
      <c r="I14" s="15">
        <f>C14+-E14</f>
        <v>0.81672197560000004</v>
      </c>
    </row>
    <row r="15" spans="1:9">
      <c r="A15" s="15">
        <v>1.0000000000000001E-5</v>
      </c>
      <c r="B15" s="15">
        <v>0.02</v>
      </c>
      <c r="C15" s="15">
        <v>1.2136</v>
      </c>
      <c r="D15" s="15">
        <v>60</v>
      </c>
      <c r="E15" s="15">
        <f t="shared" si="1"/>
        <v>1.95632E-4</v>
      </c>
      <c r="F15" s="15">
        <v>6.0000000000000001E-3</v>
      </c>
      <c r="G15" s="15">
        <f t="shared" si="2"/>
        <v>1.6119973632168754E-2</v>
      </c>
      <c r="H15" s="15">
        <f t="shared" si="3"/>
        <v>0.49439683586025052</v>
      </c>
      <c r="I15" s="15">
        <f t="shared" ref="I15:I22" si="4">C15+-E15</f>
        <v>1.213404368</v>
      </c>
    </row>
    <row r="16" spans="1:9">
      <c r="A16" s="15">
        <v>1.0000000000000001E-5</v>
      </c>
      <c r="B16" s="15">
        <v>0.02</v>
      </c>
      <c r="C16" s="15">
        <v>1.6146</v>
      </c>
      <c r="D16" s="15">
        <v>80</v>
      </c>
      <c r="E16" s="15">
        <f t="shared" si="1"/>
        <v>2.4375199999999999E-4</v>
      </c>
      <c r="F16" s="15">
        <v>6.0000000000000001E-3</v>
      </c>
      <c r="G16" s="15">
        <f t="shared" si="2"/>
        <v>1.509674222717701E-2</v>
      </c>
      <c r="H16" s="15">
        <f t="shared" si="3"/>
        <v>0.37160906726124115</v>
      </c>
      <c r="I16" s="15">
        <f t="shared" si="4"/>
        <v>1.614356248</v>
      </c>
    </row>
    <row r="17" spans="1:13">
      <c r="A17" s="15">
        <v>1.0000000000000001E-5</v>
      </c>
      <c r="B17" s="15">
        <v>0.02</v>
      </c>
      <c r="C17" s="15">
        <v>2.0162</v>
      </c>
      <c r="D17" s="15">
        <v>100</v>
      </c>
      <c r="E17" s="15">
        <f t="shared" si="1"/>
        <v>2.9194400000000004E-4</v>
      </c>
      <c r="F17" s="15">
        <v>6.0000000000000001E-3</v>
      </c>
      <c r="G17" s="15">
        <f t="shared" si="2"/>
        <v>1.4479912707072714E-2</v>
      </c>
      <c r="H17" s="15">
        <f t="shared" si="3"/>
        <v>0.29758952484872536</v>
      </c>
      <c r="I17" s="15">
        <f t="shared" si="4"/>
        <v>2.0159080559999998</v>
      </c>
    </row>
    <row r="18" spans="1:13" ht="17" thickBot="1">
      <c r="A18" s="15">
        <v>1.0000000000000001E-5</v>
      </c>
      <c r="B18" s="15">
        <v>0.02</v>
      </c>
      <c r="C18" s="15">
        <v>2.2200000000000002</v>
      </c>
      <c r="D18" s="15">
        <v>110</v>
      </c>
      <c r="E18" s="15">
        <f t="shared" si="1"/>
        <v>3.1640000000000005E-4</v>
      </c>
      <c r="F18" s="15">
        <v>6.0000000000000001E-3</v>
      </c>
      <c r="G18" s="15">
        <f t="shared" si="2"/>
        <v>1.4252252252252252E-2</v>
      </c>
      <c r="H18" s="15">
        <f t="shared" si="3"/>
        <v>0.27027027027027023</v>
      </c>
      <c r="I18" s="15">
        <f t="shared" si="4"/>
        <v>2.2196836000000002</v>
      </c>
    </row>
    <row r="19" spans="1:13">
      <c r="A19" s="15">
        <v>1.0000000000000001E-5</v>
      </c>
      <c r="B19" s="15">
        <v>0.02</v>
      </c>
      <c r="C19" s="15">
        <v>2.4169999999999998</v>
      </c>
      <c r="D19" s="15">
        <v>120</v>
      </c>
      <c r="E19" s="15">
        <f t="shared" si="1"/>
        <v>3.4004E-4</v>
      </c>
      <c r="F19" s="15">
        <v>6.0000000000000001E-3</v>
      </c>
      <c r="G19" s="15">
        <f t="shared" si="2"/>
        <v>1.4068680182043857E-2</v>
      </c>
      <c r="H19" s="15">
        <f t="shared" si="3"/>
        <v>0.24824162184526274</v>
      </c>
      <c r="I19" s="15">
        <f t="shared" si="4"/>
        <v>2.4166599599999996</v>
      </c>
      <c r="K19" s="70" t="s">
        <v>156</v>
      </c>
      <c r="L19" s="78"/>
    </row>
    <row r="20" spans="1:13">
      <c r="A20" s="15">
        <v>1.0000000000000001E-5</v>
      </c>
      <c r="B20" s="15">
        <v>0.02</v>
      </c>
      <c r="C20" s="15">
        <v>2.6208999999999998</v>
      </c>
      <c r="D20" s="15">
        <v>130</v>
      </c>
      <c r="E20" s="15">
        <f t="shared" si="1"/>
        <v>3.6450799999999999E-4</v>
      </c>
      <c r="F20" s="15">
        <v>6.0000000000000001E-3</v>
      </c>
      <c r="G20" s="15">
        <f t="shared" si="2"/>
        <v>1.3907741615475601E-2</v>
      </c>
      <c r="H20" s="15">
        <f t="shared" si="3"/>
        <v>0.22892899385707202</v>
      </c>
      <c r="I20" s="15">
        <f t="shared" si="4"/>
        <v>2.6205354919999997</v>
      </c>
      <c r="K20" s="73" t="s">
        <v>157</v>
      </c>
      <c r="L20" s="79"/>
    </row>
    <row r="21" spans="1:13" ht="17" thickBot="1">
      <c r="A21" s="15">
        <v>1.0000000000000001E-5</v>
      </c>
      <c r="B21" s="15">
        <v>0.02</v>
      </c>
      <c r="C21" s="15">
        <v>2.8216000000000001</v>
      </c>
      <c r="D21" s="15">
        <v>140</v>
      </c>
      <c r="E21" s="15">
        <f t="shared" si="1"/>
        <v>3.8859200000000005E-4</v>
      </c>
      <c r="F21" s="15">
        <v>6.0000000000000001E-3</v>
      </c>
      <c r="G21" s="15">
        <f t="shared" si="2"/>
        <v>1.3772044230223986E-2</v>
      </c>
      <c r="H21" s="15">
        <f t="shared" si="3"/>
        <v>0.21264530762687839</v>
      </c>
      <c r="I21" s="15">
        <f t="shared" si="4"/>
        <v>2.8212114079999999</v>
      </c>
      <c r="K21" s="75" t="s">
        <v>158</v>
      </c>
      <c r="L21" s="80"/>
    </row>
    <row r="22" spans="1:13">
      <c r="A22" s="15">
        <v>1.0000000000000001E-5</v>
      </c>
      <c r="B22" s="15">
        <v>0.02</v>
      </c>
      <c r="C22" s="15">
        <v>3.0177</v>
      </c>
      <c r="D22" s="15">
        <v>150</v>
      </c>
      <c r="E22" s="15">
        <f t="shared" si="1"/>
        <v>4.1212400000000004E-4</v>
      </c>
      <c r="F22" s="15">
        <v>6.0000000000000001E-3</v>
      </c>
      <c r="G22" s="15">
        <f t="shared" si="2"/>
        <v>1.3656891009709382E-2</v>
      </c>
      <c r="H22" s="15">
        <f t="shared" si="3"/>
        <v>0.19882692116512576</v>
      </c>
      <c r="I22" s="15">
        <f t="shared" si="4"/>
        <v>3.0172878760000001</v>
      </c>
    </row>
    <row r="24" spans="1:13">
      <c r="A24" s="14" t="s">
        <v>78</v>
      </c>
      <c r="B24" s="14" t="s">
        <v>79</v>
      </c>
      <c r="C24" s="14" t="s">
        <v>80</v>
      </c>
      <c r="D24" s="14" t="s">
        <v>81</v>
      </c>
      <c r="E24" s="14" t="s">
        <v>82</v>
      </c>
      <c r="F24" s="14" t="s">
        <v>83</v>
      </c>
      <c r="G24" s="14" t="s">
        <v>84</v>
      </c>
      <c r="H24" s="14" t="s">
        <v>85</v>
      </c>
      <c r="I24" s="14"/>
    </row>
    <row r="25" spans="1:13">
      <c r="A25" s="27"/>
      <c r="B25" s="27"/>
      <c r="C25" s="27"/>
      <c r="D25" s="26" t="s">
        <v>86</v>
      </c>
      <c r="E25" s="26" t="s">
        <v>86</v>
      </c>
      <c r="F25" s="26" t="s">
        <v>86</v>
      </c>
      <c r="G25" s="26" t="s">
        <v>86</v>
      </c>
      <c r="H25" s="26" t="s">
        <v>86</v>
      </c>
    </row>
    <row r="26" spans="1:13">
      <c r="A26" s="25" t="s">
        <v>87</v>
      </c>
      <c r="B26" s="25" t="s">
        <v>90</v>
      </c>
      <c r="C26" s="25">
        <v>1.1100000000000001</v>
      </c>
      <c r="D26" s="15">
        <v>3.53</v>
      </c>
      <c r="E26" s="15">
        <f>D26/C26</f>
        <v>3.1801801801801797</v>
      </c>
      <c r="F26" s="15">
        <f>C26/C26*D26</f>
        <v>3.53</v>
      </c>
      <c r="G26" s="15">
        <f>C26*SQRT(2)/C26*D26</f>
        <v>4.9921738751770253</v>
      </c>
      <c r="H26" s="15">
        <v>10</v>
      </c>
    </row>
    <row r="27" spans="1:13">
      <c r="A27" s="25"/>
      <c r="B27" s="25"/>
      <c r="C27" s="25"/>
      <c r="D27" s="15">
        <v>5.65</v>
      </c>
      <c r="E27" s="15">
        <f>D27/C26</f>
        <v>5.0900900900900901</v>
      </c>
      <c r="F27" s="15">
        <f>C26/C26*D27</f>
        <v>5.65</v>
      </c>
      <c r="G27" s="15">
        <f>C26*SQRT(2)/C26*D27</f>
        <v>7.9903066274079881</v>
      </c>
      <c r="H27" s="15">
        <v>16</v>
      </c>
    </row>
    <row r="28" spans="1:13">
      <c r="A28" s="25"/>
      <c r="B28" s="25"/>
      <c r="C28" s="25"/>
      <c r="D28" s="15">
        <v>7.06</v>
      </c>
      <c r="E28" s="15">
        <f>D28/C26</f>
        <v>6.3603603603603593</v>
      </c>
      <c r="F28" s="15">
        <f>C26/C26*D28</f>
        <v>7.06</v>
      </c>
      <c r="G28" s="15">
        <f>C26*SQRT(2)/C26*D28</f>
        <v>9.9843477503540505</v>
      </c>
      <c r="H28" s="15">
        <v>20</v>
      </c>
    </row>
    <row r="29" spans="1:13">
      <c r="A29" s="25" t="s">
        <v>88</v>
      </c>
      <c r="B29" s="25" t="s">
        <v>91</v>
      </c>
      <c r="C29" s="25" t="s">
        <v>92</v>
      </c>
      <c r="D29" s="15">
        <v>3.03</v>
      </c>
      <c r="E29" s="15">
        <f>D29/C26</f>
        <v>2.7297297297297294</v>
      </c>
      <c r="F29" s="15">
        <f>2/SQRT(3)*D29/1.11</f>
        <v>3.1520203885487676</v>
      </c>
      <c r="G29" s="15">
        <f>2/SQRT(3)*SQRT(3)/1.11*D29</f>
        <v>5.4594594594594588</v>
      </c>
      <c r="H29" s="15">
        <v>10</v>
      </c>
    </row>
    <row r="30" spans="1:13">
      <c r="A30" s="25"/>
      <c r="B30" s="25"/>
      <c r="C30" s="25"/>
      <c r="D30" s="15">
        <v>4.8499999999999996</v>
      </c>
      <c r="E30" s="15">
        <f>D30/C26</f>
        <v>4.3693693693693687</v>
      </c>
      <c r="F30" s="15">
        <f t="shared" ref="F30:F31" si="5">2/SQRT(3)*D30/1.11</f>
        <v>5.0453131631886219</v>
      </c>
      <c r="G30" s="15">
        <f>2/SQRT(3)*SQRT(3)/1.11*D30</f>
        <v>8.7387387387387374</v>
      </c>
      <c r="H30" s="15">
        <v>16</v>
      </c>
    </row>
    <row r="31" spans="1:13" ht="17" thickBot="1">
      <c r="A31" s="25"/>
      <c r="B31" s="25"/>
      <c r="C31" s="25"/>
      <c r="D31" s="15">
        <v>6.06</v>
      </c>
      <c r="E31" s="15">
        <f>D31/C26</f>
        <v>5.4594594594594588</v>
      </c>
      <c r="F31" s="15">
        <f t="shared" si="5"/>
        <v>6.3040407770975353</v>
      </c>
      <c r="G31" s="15">
        <f>2/SQRT(3)*SQRT(3)/1.11*D31</f>
        <v>10.918918918918918</v>
      </c>
      <c r="H31" s="15">
        <v>20</v>
      </c>
    </row>
    <row r="32" spans="1:13">
      <c r="A32" s="25" t="s">
        <v>89</v>
      </c>
      <c r="B32" s="25">
        <v>1</v>
      </c>
      <c r="C32" s="25">
        <v>1</v>
      </c>
      <c r="D32" s="15">
        <v>5.57</v>
      </c>
      <c r="E32" s="15">
        <f>D32/C26</f>
        <v>5.0180180180180178</v>
      </c>
      <c r="F32" s="15">
        <f>1*D32/1.11</f>
        <v>5.0180180180180178</v>
      </c>
      <c r="G32" s="15">
        <f>1*1/1.11*D32</f>
        <v>5.0180180180180178</v>
      </c>
      <c r="H32" s="15">
        <v>10</v>
      </c>
      <c r="K32" s="70" t="s">
        <v>159</v>
      </c>
      <c r="L32" s="71"/>
      <c r="M32" s="72"/>
    </row>
    <row r="33" spans="1:13">
      <c r="A33" s="25"/>
      <c r="B33" s="25"/>
      <c r="C33" s="25"/>
      <c r="D33" s="15">
        <v>8.91</v>
      </c>
      <c r="E33" s="15">
        <f>D33/C26</f>
        <v>8.0270270270270263</v>
      </c>
      <c r="F33" s="15">
        <f t="shared" ref="F33:F34" si="6">1*D33/1.11</f>
        <v>8.0270270270270263</v>
      </c>
      <c r="G33" s="15">
        <f t="shared" ref="G33:G34" si="7">1*1/1.11*D33</f>
        <v>8.0270270270270263</v>
      </c>
      <c r="H33" s="15">
        <v>16</v>
      </c>
      <c r="K33" s="73" t="s">
        <v>160</v>
      </c>
      <c r="L33" s="66"/>
      <c r="M33" s="74"/>
    </row>
    <row r="34" spans="1:13" ht="17" thickBot="1">
      <c r="A34" s="25"/>
      <c r="B34" s="25"/>
      <c r="C34" s="25"/>
      <c r="D34" s="15">
        <v>11.14</v>
      </c>
      <c r="E34" s="15">
        <f>D34/C26</f>
        <v>10.036036036036036</v>
      </c>
      <c r="F34" s="15">
        <f t="shared" si="6"/>
        <v>10.036036036036036</v>
      </c>
      <c r="G34" s="15">
        <f t="shared" si="7"/>
        <v>10.036036036036036</v>
      </c>
      <c r="H34" s="15">
        <v>20</v>
      </c>
      <c r="K34" s="75" t="s">
        <v>161</v>
      </c>
      <c r="L34" s="76"/>
      <c r="M34" s="77"/>
    </row>
    <row r="35" spans="1:13" ht="17" thickBot="1">
      <c r="A35" s="5"/>
      <c r="B35" s="5"/>
      <c r="C35" s="5"/>
    </row>
    <row r="36" spans="1:13">
      <c r="G36" s="67" t="s">
        <v>162</v>
      </c>
    </row>
    <row r="37" spans="1:13">
      <c r="A37" s="49" t="s">
        <v>147</v>
      </c>
      <c r="B37" s="49" t="s">
        <v>148</v>
      </c>
      <c r="C37" s="49" t="s">
        <v>149</v>
      </c>
      <c r="D37" s="49" t="s">
        <v>148</v>
      </c>
      <c r="G37" s="68" t="s">
        <v>163</v>
      </c>
    </row>
    <row r="38" spans="1:13" ht="17" thickBot="1">
      <c r="A38" s="81"/>
      <c r="B38" s="81"/>
      <c r="C38" s="81"/>
      <c r="D38" s="15">
        <v>6.0000000000000001E-3</v>
      </c>
      <c r="G38" s="69" t="s">
        <v>164</v>
      </c>
    </row>
    <row r="39" spans="1:13">
      <c r="A39" s="82" t="s">
        <v>150</v>
      </c>
      <c r="B39" s="83"/>
      <c r="C39" s="84"/>
    </row>
    <row r="40" spans="1:13">
      <c r="A40" s="85" t="s">
        <v>151</v>
      </c>
      <c r="B40" s="63"/>
      <c r="C40" s="86"/>
    </row>
    <row r="41" spans="1:13">
      <c r="A41" s="85" t="s">
        <v>152</v>
      </c>
      <c r="B41" s="63"/>
      <c r="C41" s="86"/>
    </row>
    <row r="42" spans="1:13">
      <c r="A42" s="85" t="s">
        <v>154</v>
      </c>
      <c r="B42" s="63"/>
      <c r="C42" s="86"/>
    </row>
    <row r="43" spans="1:13" ht="17" thickBot="1">
      <c r="A43" s="87" t="s">
        <v>155</v>
      </c>
      <c r="B43" s="88"/>
      <c r="C43" s="89"/>
    </row>
  </sheetData>
  <mergeCells count="12">
    <mergeCell ref="C26:C28"/>
    <mergeCell ref="C29:C31"/>
    <mergeCell ref="C32:C34"/>
    <mergeCell ref="A25:C25"/>
    <mergeCell ref="A26:A28"/>
    <mergeCell ref="A29:A31"/>
    <mergeCell ref="A32:A34"/>
    <mergeCell ref="B26:B28"/>
    <mergeCell ref="B29:B31"/>
    <mergeCell ref="B32:B34"/>
    <mergeCell ref="A6:C6"/>
    <mergeCell ref="C11:D1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09A35-EAD8-4A45-8963-D55753D4841D}">
  <dimension ref="A1:K36"/>
  <sheetViews>
    <sheetView workbookViewId="0">
      <selection activeCell="H1" sqref="H1"/>
    </sheetView>
  </sheetViews>
  <sheetFormatPr baseColWidth="10" defaultRowHeight="16"/>
  <sheetData>
    <row r="1" spans="1:11">
      <c r="A1" s="12" t="s">
        <v>46</v>
      </c>
      <c r="B1" s="12" t="s">
        <v>58</v>
      </c>
      <c r="C1" s="13" t="s">
        <v>47</v>
      </c>
      <c r="D1" s="13"/>
      <c r="E1" s="13"/>
      <c r="F1" s="13" t="s">
        <v>48</v>
      </c>
      <c r="G1" s="13"/>
      <c r="H1" s="12" t="s">
        <v>49</v>
      </c>
      <c r="I1" s="12" t="s">
        <v>50</v>
      </c>
      <c r="J1" s="12" t="s">
        <v>51</v>
      </c>
      <c r="K1" s="12" t="s">
        <v>52</v>
      </c>
    </row>
    <row r="2" spans="1:11">
      <c r="A2" s="11"/>
      <c r="B2" s="11"/>
      <c r="C2" s="10" t="s">
        <v>53</v>
      </c>
      <c r="D2" s="10"/>
      <c r="E2" s="11" t="s">
        <v>20</v>
      </c>
      <c r="F2" s="10" t="s">
        <v>54</v>
      </c>
      <c r="G2" s="10"/>
      <c r="H2" s="11"/>
      <c r="I2" s="11"/>
      <c r="J2" s="11"/>
      <c r="K2" s="11"/>
    </row>
    <row r="3" spans="1:11">
      <c r="A3" s="11" t="s">
        <v>55</v>
      </c>
      <c r="B3" s="11"/>
      <c r="C3" s="11" t="s">
        <v>56</v>
      </c>
      <c r="D3" s="11" t="s">
        <v>55</v>
      </c>
      <c r="E3" s="11" t="s">
        <v>55</v>
      </c>
      <c r="F3" s="11" t="s">
        <v>56</v>
      </c>
      <c r="G3" s="11" t="s">
        <v>55</v>
      </c>
      <c r="H3" s="11" t="s">
        <v>55</v>
      </c>
      <c r="I3" s="11" t="s">
        <v>38</v>
      </c>
      <c r="J3" s="11"/>
      <c r="K3" s="11" t="s">
        <v>57</v>
      </c>
    </row>
    <row r="4" spans="1:11">
      <c r="A4" s="9">
        <v>75</v>
      </c>
      <c r="B4" s="9">
        <f>75/6</f>
        <v>12.5</v>
      </c>
      <c r="C4" s="8">
        <v>30</v>
      </c>
      <c r="D4" s="8">
        <v>6</v>
      </c>
      <c r="E4" s="8">
        <f>0.5*C4</f>
        <v>15</v>
      </c>
      <c r="F4" s="8">
        <v>29</v>
      </c>
      <c r="G4" s="8">
        <f>0.5*F4</f>
        <v>14.5</v>
      </c>
      <c r="H4" s="8">
        <f>E4-G4</f>
        <v>0.5</v>
      </c>
      <c r="I4" s="8">
        <f>(E4-D4)/D4*100</f>
        <v>150</v>
      </c>
      <c r="J4" s="8">
        <f>B4-H4/D4</f>
        <v>12.416666666666666</v>
      </c>
      <c r="K4" s="8">
        <f>3/2*(B4-J4)/(B4-1)*(J4-2)*10</f>
        <v>1.1322463768116022</v>
      </c>
    </row>
    <row r="5" spans="1:11">
      <c r="A5" s="9"/>
      <c r="B5" s="9"/>
      <c r="C5" s="8">
        <v>60</v>
      </c>
      <c r="D5" s="8">
        <v>6</v>
      </c>
      <c r="E5" s="8">
        <f t="shared" ref="E5:E7" si="0">0.5*C5</f>
        <v>30</v>
      </c>
      <c r="F5" s="8">
        <v>58</v>
      </c>
      <c r="G5" s="8">
        <f>0.5*F5</f>
        <v>29</v>
      </c>
      <c r="H5" s="8">
        <f t="shared" ref="H5:H15" si="1">E5-G5</f>
        <v>1</v>
      </c>
      <c r="I5" s="8">
        <f t="shared" ref="I5:I15" si="2">(E5-D5)/D5*100</f>
        <v>400</v>
      </c>
      <c r="J5" s="8">
        <f>B4-H5/D5</f>
        <v>12.333333333333334</v>
      </c>
      <c r="K5" s="8">
        <f>3/2*(B4-J5)/(B4-1)*(J5-2)*10</f>
        <v>2.2463768115941951</v>
      </c>
    </row>
    <row r="6" spans="1:11">
      <c r="A6" s="9"/>
      <c r="B6" s="9"/>
      <c r="C6" s="8">
        <v>90</v>
      </c>
      <c r="D6" s="8">
        <v>6</v>
      </c>
      <c r="E6" s="8">
        <f t="shared" si="0"/>
        <v>45</v>
      </c>
      <c r="F6" s="8">
        <v>88</v>
      </c>
      <c r="G6" s="8">
        <f t="shared" ref="G5:G7" si="3">0.5*F6</f>
        <v>44</v>
      </c>
      <c r="H6" s="8">
        <f t="shared" si="1"/>
        <v>1</v>
      </c>
      <c r="I6" s="8">
        <f t="shared" si="2"/>
        <v>650</v>
      </c>
      <c r="J6" s="8">
        <f>B4-H6/D6</f>
        <v>12.333333333333334</v>
      </c>
      <c r="K6" s="8">
        <f>3/2*(B4-J6)/(B4-1)*(J6-2)*10</f>
        <v>2.2463768115941951</v>
      </c>
    </row>
    <row r="7" spans="1:11">
      <c r="A7" s="9"/>
      <c r="B7" s="9"/>
      <c r="C7" s="8">
        <v>120</v>
      </c>
      <c r="D7" s="8">
        <v>6</v>
      </c>
      <c r="E7" s="8">
        <f t="shared" si="0"/>
        <v>60</v>
      </c>
      <c r="F7" s="8">
        <v>117</v>
      </c>
      <c r="G7" s="8">
        <f t="shared" si="3"/>
        <v>58.5</v>
      </c>
      <c r="H7" s="8">
        <f t="shared" si="1"/>
        <v>1.5</v>
      </c>
      <c r="I7" s="8">
        <f t="shared" si="2"/>
        <v>900</v>
      </c>
      <c r="J7" s="8">
        <f>B4-H7/D7</f>
        <v>12.25</v>
      </c>
      <c r="K7" s="8">
        <f>3/2*(B4-J7)/(B4-1)*(J7-2)*10</f>
        <v>3.3423913043478262</v>
      </c>
    </row>
    <row r="8" spans="1:11">
      <c r="A8" s="9">
        <v>150</v>
      </c>
      <c r="B8" s="9">
        <f>150/6</f>
        <v>25</v>
      </c>
      <c r="C8" s="8">
        <v>30</v>
      </c>
      <c r="D8" s="8">
        <v>6</v>
      </c>
      <c r="E8" s="8">
        <f>1*C8</f>
        <v>30</v>
      </c>
      <c r="F8" s="8">
        <v>29</v>
      </c>
      <c r="G8" s="8">
        <f>1*F8</f>
        <v>29</v>
      </c>
      <c r="H8" s="8">
        <f t="shared" si="1"/>
        <v>1</v>
      </c>
      <c r="I8" s="8">
        <f t="shared" si="2"/>
        <v>400</v>
      </c>
      <c r="J8" s="8">
        <f>B8-H8/D8</f>
        <v>24.833333333333332</v>
      </c>
      <c r="K8" s="8">
        <f>3/2*(B8-J8)/(B8-1)*(J8-2)*10</f>
        <v>2.3784722222222392</v>
      </c>
    </row>
    <row r="9" spans="1:11">
      <c r="A9" s="9"/>
      <c r="B9" s="9"/>
      <c r="C9" s="8">
        <v>60</v>
      </c>
      <c r="D9" s="8">
        <v>6</v>
      </c>
      <c r="E9" s="8">
        <f t="shared" ref="E9:E11" si="4">1*C9</f>
        <v>60</v>
      </c>
      <c r="F9" s="8">
        <v>58</v>
      </c>
      <c r="G9" s="8">
        <f t="shared" ref="G9:G11" si="5">1*F9</f>
        <v>58</v>
      </c>
      <c r="H9" s="8">
        <f t="shared" si="1"/>
        <v>2</v>
      </c>
      <c r="I9" s="8">
        <f t="shared" si="2"/>
        <v>900</v>
      </c>
      <c r="J9" s="8">
        <f>B8-H9/D9</f>
        <v>24.666666666666668</v>
      </c>
      <c r="K9" s="8">
        <f>3/2*(B8-J9)/(B8-1)*(J9-2)*10</f>
        <v>4.7222222222222054</v>
      </c>
    </row>
    <row r="10" spans="1:11">
      <c r="A10" s="9"/>
      <c r="B10" s="9"/>
      <c r="C10" s="8">
        <v>90</v>
      </c>
      <c r="D10" s="8">
        <v>6</v>
      </c>
      <c r="E10" s="8">
        <f t="shared" si="4"/>
        <v>90</v>
      </c>
      <c r="F10" s="8">
        <v>86</v>
      </c>
      <c r="G10" s="8">
        <f t="shared" si="5"/>
        <v>86</v>
      </c>
      <c r="H10" s="8">
        <f t="shared" si="1"/>
        <v>4</v>
      </c>
      <c r="I10" s="8">
        <f t="shared" si="2"/>
        <v>1400</v>
      </c>
      <c r="J10" s="8">
        <f>B8-H10/D10</f>
        <v>24.333333333333332</v>
      </c>
      <c r="K10" s="8">
        <f>3/2*(B8-J10)/(B8-1)*(J10-2)*10</f>
        <v>9.3055555555555713</v>
      </c>
    </row>
    <row r="11" spans="1:11">
      <c r="A11" s="9"/>
      <c r="B11" s="9"/>
      <c r="C11" s="8">
        <v>120</v>
      </c>
      <c r="D11" s="8">
        <v>6</v>
      </c>
      <c r="E11" s="8">
        <f t="shared" si="4"/>
        <v>120</v>
      </c>
      <c r="F11" s="8">
        <v>115</v>
      </c>
      <c r="G11" s="8">
        <f t="shared" si="5"/>
        <v>115</v>
      </c>
      <c r="H11" s="8">
        <f t="shared" si="1"/>
        <v>5</v>
      </c>
      <c r="I11" s="8">
        <f t="shared" si="2"/>
        <v>1900</v>
      </c>
      <c r="J11" s="8">
        <f>B8-H11/D11</f>
        <v>24.166666666666668</v>
      </c>
      <c r="K11" s="8">
        <f>3/2*(B8-J11)/(B8-1)*(J11-2)*10</f>
        <v>11.545138888888873</v>
      </c>
    </row>
    <row r="12" spans="1:11">
      <c r="A12" s="9">
        <v>300</v>
      </c>
      <c r="B12" s="9">
        <f>300/6</f>
        <v>50</v>
      </c>
      <c r="C12" s="8">
        <v>30</v>
      </c>
      <c r="D12" s="8">
        <v>6</v>
      </c>
      <c r="E12" s="8">
        <f>2*C12</f>
        <v>60</v>
      </c>
      <c r="F12" s="8">
        <v>28</v>
      </c>
      <c r="G12" s="8">
        <f>2*F12</f>
        <v>56</v>
      </c>
      <c r="H12" s="8">
        <f t="shared" si="1"/>
        <v>4</v>
      </c>
      <c r="I12" s="8">
        <f t="shared" si="2"/>
        <v>900</v>
      </c>
      <c r="J12" s="8">
        <f>B12-H12/D12</f>
        <v>49.333333333333336</v>
      </c>
      <c r="K12" s="8">
        <f>3/2*(B12-J12)/(B12-1)*(J12-2)*10</f>
        <v>9.6598639455781985</v>
      </c>
    </row>
    <row r="13" spans="1:11">
      <c r="A13" s="9"/>
      <c r="B13" s="9"/>
      <c r="C13" s="8">
        <v>60</v>
      </c>
      <c r="D13" s="8">
        <v>6</v>
      </c>
      <c r="E13" s="8">
        <f t="shared" ref="E13:E15" si="6">2*C13</f>
        <v>120</v>
      </c>
      <c r="F13" s="8">
        <v>56</v>
      </c>
      <c r="G13" s="8">
        <f t="shared" ref="G13:G15" si="7">2*F13</f>
        <v>112</v>
      </c>
      <c r="H13" s="8">
        <f t="shared" si="1"/>
        <v>8</v>
      </c>
      <c r="I13" s="8">
        <f t="shared" si="2"/>
        <v>1900</v>
      </c>
      <c r="J13" s="8">
        <f>B12-H13/D13</f>
        <v>48.666666666666664</v>
      </c>
      <c r="K13" s="8">
        <f>3/2*(B12-J13)/(B12-1)*(J13-2)*10</f>
        <v>19.047619047619079</v>
      </c>
    </row>
    <row r="14" spans="1:11">
      <c r="A14" s="9"/>
      <c r="B14" s="9"/>
      <c r="C14" s="8">
        <v>90</v>
      </c>
      <c r="D14" s="8">
        <v>6</v>
      </c>
      <c r="E14" s="8">
        <f t="shared" si="6"/>
        <v>180</v>
      </c>
      <c r="F14" s="8">
        <v>85</v>
      </c>
      <c r="G14" s="8">
        <f t="shared" si="7"/>
        <v>170</v>
      </c>
      <c r="H14" s="8">
        <f t="shared" si="1"/>
        <v>10</v>
      </c>
      <c r="I14" s="8">
        <f t="shared" si="2"/>
        <v>2900</v>
      </c>
      <c r="J14" s="8">
        <f>B12-H14/D14</f>
        <v>48.333333333333336</v>
      </c>
      <c r="K14" s="8">
        <f>3/2*(B12-J14)/(B12-1)*(J14-2)*10</f>
        <v>23.639455782312893</v>
      </c>
    </row>
    <row r="15" spans="1:11">
      <c r="A15" s="9"/>
      <c r="B15" s="9"/>
      <c r="C15" s="8">
        <v>120</v>
      </c>
      <c r="D15" s="8">
        <v>6</v>
      </c>
      <c r="E15" s="8">
        <f t="shared" si="6"/>
        <v>240</v>
      </c>
      <c r="F15" s="8">
        <v>113</v>
      </c>
      <c r="G15" s="8">
        <f t="shared" si="7"/>
        <v>226</v>
      </c>
      <c r="H15" s="8">
        <f t="shared" si="1"/>
        <v>14</v>
      </c>
      <c r="I15" s="8">
        <f t="shared" si="2"/>
        <v>3900</v>
      </c>
      <c r="J15" s="8">
        <f t="shared" ref="J8:J15" si="8">B12-H15/D15</f>
        <v>47.666666666666664</v>
      </c>
      <c r="K15" s="8">
        <f>3/2*(B12-J15)/(B12-1)*(J15-2)*10</f>
        <v>32.619047619047656</v>
      </c>
    </row>
    <row r="16" spans="1:11" ht="17" thickBot="1"/>
    <row r="17" spans="1:11">
      <c r="A17" s="53" t="s">
        <v>59</v>
      </c>
      <c r="B17" s="54" t="s">
        <v>62</v>
      </c>
      <c r="C17" s="54"/>
      <c r="D17" s="55"/>
    </row>
    <row r="18" spans="1:11">
      <c r="A18" s="56" t="s">
        <v>60</v>
      </c>
      <c r="B18" s="57" t="s">
        <v>66</v>
      </c>
      <c r="C18" s="57"/>
      <c r="D18" s="58"/>
    </row>
    <row r="19" spans="1:11">
      <c r="A19" s="56" t="s">
        <v>61</v>
      </c>
      <c r="B19" s="57" t="s">
        <v>67</v>
      </c>
      <c r="C19" s="57"/>
      <c r="D19" s="58"/>
    </row>
    <row r="20" spans="1:11" ht="17" thickBot="1">
      <c r="A20" s="59" t="s">
        <v>68</v>
      </c>
      <c r="B20" s="60" t="s">
        <v>69</v>
      </c>
      <c r="C20" s="61"/>
      <c r="D20" s="62"/>
    </row>
    <row r="22" spans="1:11">
      <c r="A22" s="12" t="s">
        <v>46</v>
      </c>
      <c r="B22" s="12" t="s">
        <v>58</v>
      </c>
      <c r="C22" s="13" t="s">
        <v>47</v>
      </c>
      <c r="D22" s="13"/>
      <c r="E22" s="13"/>
      <c r="F22" s="13" t="s">
        <v>48</v>
      </c>
      <c r="G22" s="13"/>
      <c r="H22" s="12" t="s">
        <v>49</v>
      </c>
      <c r="I22" s="12" t="s">
        <v>50</v>
      </c>
      <c r="J22" s="12" t="s">
        <v>51</v>
      </c>
      <c r="K22" s="12" t="s">
        <v>52</v>
      </c>
    </row>
    <row r="23" spans="1:11">
      <c r="A23" s="6"/>
      <c r="B23" s="6"/>
      <c r="C23" s="7" t="s">
        <v>53</v>
      </c>
      <c r="D23" s="7"/>
      <c r="E23" s="6" t="s">
        <v>20</v>
      </c>
      <c r="F23" s="7" t="s">
        <v>54</v>
      </c>
      <c r="G23" s="7"/>
      <c r="H23" s="6"/>
      <c r="I23" s="6"/>
      <c r="J23" s="6"/>
      <c r="K23" s="6"/>
    </row>
    <row r="24" spans="1:11">
      <c r="A24" s="6" t="s">
        <v>55</v>
      </c>
      <c r="B24" s="6"/>
      <c r="C24" s="6" t="s">
        <v>56</v>
      </c>
      <c r="D24" s="6" t="s">
        <v>55</v>
      </c>
      <c r="E24" s="6" t="s">
        <v>55</v>
      </c>
      <c r="F24" s="6" t="s">
        <v>56</v>
      </c>
      <c r="G24" s="6" t="s">
        <v>55</v>
      </c>
      <c r="H24" s="6" t="s">
        <v>55</v>
      </c>
      <c r="I24" s="6" t="s">
        <v>38</v>
      </c>
      <c r="J24" s="6"/>
      <c r="K24" s="6" t="s">
        <v>57</v>
      </c>
    </row>
    <row r="25" spans="1:11">
      <c r="A25" s="10">
        <v>75</v>
      </c>
      <c r="B25" s="10">
        <f>75/6</f>
        <v>12.5</v>
      </c>
      <c r="C25" s="11">
        <v>30</v>
      </c>
      <c r="D25" s="11">
        <v>6</v>
      </c>
      <c r="E25" s="11">
        <f>0.5*C25</f>
        <v>15</v>
      </c>
      <c r="F25" s="11">
        <v>30</v>
      </c>
      <c r="G25" s="11">
        <f>F25*0.5</f>
        <v>15</v>
      </c>
      <c r="H25" s="11">
        <f>E25-G25</f>
        <v>0</v>
      </c>
      <c r="I25" s="11">
        <f>(E25-D25)/D25*100</f>
        <v>150</v>
      </c>
      <c r="J25" s="11">
        <f>B25-H25/D25</f>
        <v>12.5</v>
      </c>
      <c r="K25" s="11">
        <f>3/2*(B25-J25)/(B25-1)*(J25-2)*10</f>
        <v>0</v>
      </c>
    </row>
    <row r="26" spans="1:11">
      <c r="A26" s="10"/>
      <c r="B26" s="10"/>
      <c r="C26" s="11">
        <v>60</v>
      </c>
      <c r="D26" s="11">
        <v>6</v>
      </c>
      <c r="E26" s="11">
        <f t="shared" ref="E26:E28" si="9">0.5*C26</f>
        <v>30</v>
      </c>
      <c r="F26" s="11">
        <v>60</v>
      </c>
      <c r="G26" s="11">
        <f t="shared" ref="G26:G28" si="10">F26*0.5</f>
        <v>30</v>
      </c>
      <c r="H26" s="11">
        <f t="shared" ref="H26:H36" si="11">E26-G26</f>
        <v>0</v>
      </c>
      <c r="I26" s="11">
        <f t="shared" ref="I26:I36" si="12">(E26-D26)/D26*100</f>
        <v>400</v>
      </c>
      <c r="J26" s="11">
        <f>B25-H26/D26</f>
        <v>12.5</v>
      </c>
      <c r="K26" s="11">
        <f>3/2*(B25-J26)/(B25-1)*(J26-2)*10</f>
        <v>0</v>
      </c>
    </row>
    <row r="27" spans="1:11">
      <c r="A27" s="10"/>
      <c r="B27" s="10"/>
      <c r="C27" s="11">
        <v>90</v>
      </c>
      <c r="D27" s="11">
        <v>6</v>
      </c>
      <c r="E27" s="11">
        <f t="shared" si="9"/>
        <v>45</v>
      </c>
      <c r="F27" s="11">
        <v>91</v>
      </c>
      <c r="G27" s="11">
        <f t="shared" si="10"/>
        <v>45.5</v>
      </c>
      <c r="H27" s="11">
        <f t="shared" si="11"/>
        <v>-0.5</v>
      </c>
      <c r="I27" s="11">
        <f t="shared" si="12"/>
        <v>650</v>
      </c>
      <c r="J27" s="11">
        <f>B25-H27/D27</f>
        <v>12.583333333333334</v>
      </c>
      <c r="K27" s="11">
        <f>3/2*(B25-J27)/(B25-1)*(J27-2)*10</f>
        <v>-1.150362318840588</v>
      </c>
    </row>
    <row r="28" spans="1:11">
      <c r="A28" s="10"/>
      <c r="B28" s="10"/>
      <c r="C28" s="11">
        <v>120</v>
      </c>
      <c r="D28" s="11">
        <v>6</v>
      </c>
      <c r="E28" s="11">
        <f t="shared" si="9"/>
        <v>60</v>
      </c>
      <c r="F28" s="11">
        <v>122</v>
      </c>
      <c r="G28" s="11">
        <f t="shared" si="10"/>
        <v>61</v>
      </c>
      <c r="H28" s="11">
        <f t="shared" si="11"/>
        <v>-1</v>
      </c>
      <c r="I28" s="11">
        <f t="shared" si="12"/>
        <v>900</v>
      </c>
      <c r="J28" s="11">
        <f>B25-H28/D28</f>
        <v>12.666666666666666</v>
      </c>
      <c r="K28" s="11">
        <f>3/2*(B25-J28)/(B25-1)*(J28-2)*10</f>
        <v>-2.3188405797101366</v>
      </c>
    </row>
    <row r="29" spans="1:11">
      <c r="A29" s="10">
        <v>150</v>
      </c>
      <c r="B29" s="10">
        <f>150/6</f>
        <v>25</v>
      </c>
      <c r="C29" s="11">
        <v>30</v>
      </c>
      <c r="D29" s="11">
        <v>6</v>
      </c>
      <c r="E29" s="11">
        <f>1*C29</f>
        <v>30</v>
      </c>
      <c r="F29" s="11">
        <v>30</v>
      </c>
      <c r="G29" s="11">
        <f>F29*1</f>
        <v>30</v>
      </c>
      <c r="H29" s="11">
        <f t="shared" si="11"/>
        <v>0</v>
      </c>
      <c r="I29" s="11">
        <f t="shared" si="12"/>
        <v>400</v>
      </c>
      <c r="J29" s="11">
        <f>B29-H29/D29</f>
        <v>25</v>
      </c>
      <c r="K29" s="11">
        <f>3/2*(B29-J29)/(B29-1)*(J29-2)*10</f>
        <v>0</v>
      </c>
    </row>
    <row r="30" spans="1:11">
      <c r="A30" s="10"/>
      <c r="B30" s="10"/>
      <c r="C30" s="11">
        <v>60</v>
      </c>
      <c r="D30" s="11">
        <v>6</v>
      </c>
      <c r="E30" s="11">
        <f t="shared" ref="E30:E32" si="13">1*C30</f>
        <v>60</v>
      </c>
      <c r="F30" s="11">
        <v>60</v>
      </c>
      <c r="G30" s="11">
        <f t="shared" ref="G30:G32" si="14">F30*1</f>
        <v>60</v>
      </c>
      <c r="H30" s="11">
        <f t="shared" si="11"/>
        <v>0</v>
      </c>
      <c r="I30" s="11">
        <f t="shared" si="12"/>
        <v>900</v>
      </c>
      <c r="J30" s="11">
        <f>B29-H30/D30</f>
        <v>25</v>
      </c>
      <c r="K30" s="11">
        <f>3/2*(B29-J30)/(B29-1)*(J30-2)*10</f>
        <v>0</v>
      </c>
    </row>
    <row r="31" spans="1:11">
      <c r="A31" s="10"/>
      <c r="B31" s="10"/>
      <c r="C31" s="11">
        <v>90</v>
      </c>
      <c r="D31" s="11">
        <v>6</v>
      </c>
      <c r="E31" s="11">
        <f t="shared" si="13"/>
        <v>90</v>
      </c>
      <c r="F31" s="11">
        <v>90</v>
      </c>
      <c r="G31" s="11">
        <f t="shared" si="14"/>
        <v>90</v>
      </c>
      <c r="H31" s="11">
        <f t="shared" si="11"/>
        <v>0</v>
      </c>
      <c r="I31" s="11">
        <f t="shared" si="12"/>
        <v>1400</v>
      </c>
      <c r="J31" s="11">
        <f>B29-H31/D31</f>
        <v>25</v>
      </c>
      <c r="K31" s="11">
        <f>3/2*(B29-J31)/(B29-1)*(J31-2)*10</f>
        <v>0</v>
      </c>
    </row>
    <row r="32" spans="1:11">
      <c r="A32" s="10"/>
      <c r="B32" s="10"/>
      <c r="C32" s="11">
        <v>120</v>
      </c>
      <c r="D32" s="11">
        <v>6</v>
      </c>
      <c r="E32" s="11">
        <f t="shared" si="13"/>
        <v>120</v>
      </c>
      <c r="F32" s="11">
        <v>120</v>
      </c>
      <c r="G32" s="11">
        <f t="shared" si="14"/>
        <v>120</v>
      </c>
      <c r="H32" s="11">
        <f t="shared" si="11"/>
        <v>0</v>
      </c>
      <c r="I32" s="11">
        <f t="shared" si="12"/>
        <v>1900</v>
      </c>
      <c r="J32" s="11">
        <f>B29-H32/D32</f>
        <v>25</v>
      </c>
      <c r="K32" s="11">
        <f>3/2*(B29-J32)/(B29-1)*(J32-2)*10</f>
        <v>0</v>
      </c>
    </row>
    <row r="33" spans="1:11">
      <c r="A33" s="10">
        <v>300</v>
      </c>
      <c r="B33" s="10">
        <f>300/6</f>
        <v>50</v>
      </c>
      <c r="C33" s="11">
        <v>30</v>
      </c>
      <c r="D33" s="11">
        <v>6</v>
      </c>
      <c r="E33" s="11">
        <f>2*C33</f>
        <v>60</v>
      </c>
      <c r="F33" s="11">
        <v>30</v>
      </c>
      <c r="G33" s="11">
        <f>F33*2</f>
        <v>60</v>
      </c>
      <c r="H33" s="11">
        <f t="shared" si="11"/>
        <v>0</v>
      </c>
      <c r="I33" s="11">
        <f t="shared" si="12"/>
        <v>900</v>
      </c>
      <c r="J33" s="11">
        <f>B33-H33/D33</f>
        <v>50</v>
      </c>
      <c r="K33" s="11">
        <f>3/2*(B33-J33)/(B33-1)*(J33-2)*10</f>
        <v>0</v>
      </c>
    </row>
    <row r="34" spans="1:11">
      <c r="A34" s="10"/>
      <c r="B34" s="10"/>
      <c r="C34" s="11">
        <v>60</v>
      </c>
      <c r="D34" s="11">
        <v>6</v>
      </c>
      <c r="E34" s="11">
        <f t="shared" ref="E34:E36" si="15">2*C34</f>
        <v>120</v>
      </c>
      <c r="F34" s="11">
        <v>60</v>
      </c>
      <c r="G34" s="11">
        <f t="shared" ref="G34:G36" si="16">F34*2</f>
        <v>120</v>
      </c>
      <c r="H34" s="11">
        <f t="shared" si="11"/>
        <v>0</v>
      </c>
      <c r="I34" s="11">
        <f t="shared" si="12"/>
        <v>1900</v>
      </c>
      <c r="J34" s="11">
        <f>B33-H34/D34</f>
        <v>50</v>
      </c>
      <c r="K34" s="11">
        <f>3/2*(B33-J34)/(B33-1)*(J34-2)*10</f>
        <v>0</v>
      </c>
    </row>
    <row r="35" spans="1:11">
      <c r="A35" s="10"/>
      <c r="B35" s="10"/>
      <c r="C35" s="11">
        <v>90</v>
      </c>
      <c r="D35" s="11">
        <v>6</v>
      </c>
      <c r="E35" s="11">
        <f t="shared" si="15"/>
        <v>180</v>
      </c>
      <c r="F35" s="11">
        <v>90</v>
      </c>
      <c r="G35" s="11">
        <f t="shared" si="16"/>
        <v>180</v>
      </c>
      <c r="H35" s="11">
        <f t="shared" si="11"/>
        <v>0</v>
      </c>
      <c r="I35" s="11">
        <f t="shared" si="12"/>
        <v>2900</v>
      </c>
      <c r="J35" s="11">
        <f>B33-H35/D35</f>
        <v>50</v>
      </c>
      <c r="K35" s="11">
        <f>3/2*(B33-J35)/(B33-1)*(J35-2)*10</f>
        <v>0</v>
      </c>
    </row>
    <row r="36" spans="1:11">
      <c r="A36" s="10"/>
      <c r="B36" s="10"/>
      <c r="C36" s="11">
        <v>120</v>
      </c>
      <c r="D36" s="11">
        <v>6</v>
      </c>
      <c r="E36" s="11">
        <f t="shared" si="15"/>
        <v>240</v>
      </c>
      <c r="F36" s="11">
        <v>120</v>
      </c>
      <c r="G36" s="11">
        <f t="shared" si="16"/>
        <v>240</v>
      </c>
      <c r="H36" s="11">
        <f t="shared" si="11"/>
        <v>0</v>
      </c>
      <c r="I36" s="11">
        <f t="shared" si="12"/>
        <v>3900</v>
      </c>
      <c r="J36" s="11">
        <f t="shared" ref="J36" si="17">B33-H36/D36</f>
        <v>50</v>
      </c>
      <c r="K36" s="11">
        <f>3/2*(B33-J36)/(B33-1)*(J36-2)*10</f>
        <v>0</v>
      </c>
    </row>
  </sheetData>
  <mergeCells count="20">
    <mergeCell ref="A33:A36"/>
    <mergeCell ref="B33:B36"/>
    <mergeCell ref="C23:D23"/>
    <mergeCell ref="F23:G23"/>
    <mergeCell ref="A25:A28"/>
    <mergeCell ref="B25:B28"/>
    <mergeCell ref="A29:A32"/>
    <mergeCell ref="B29:B32"/>
    <mergeCell ref="A12:A15"/>
    <mergeCell ref="B4:B7"/>
    <mergeCell ref="B8:B11"/>
    <mergeCell ref="B12:B15"/>
    <mergeCell ref="C22:E22"/>
    <mergeCell ref="F22:G22"/>
    <mergeCell ref="C1:E1"/>
    <mergeCell ref="F1:G1"/>
    <mergeCell ref="C2:D2"/>
    <mergeCell ref="F2:G2"/>
    <mergeCell ref="A4:A7"/>
    <mergeCell ref="A8:A1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C5F2-6DD3-CD4A-82DD-9DD1ED1A5C56}">
  <dimension ref="A1:N31"/>
  <sheetViews>
    <sheetView workbookViewId="0">
      <selection activeCell="F34" sqref="F34"/>
    </sheetView>
  </sheetViews>
  <sheetFormatPr baseColWidth="10" defaultRowHeight="16"/>
  <sheetData>
    <row r="1" spans="1:14">
      <c r="A1" s="3" t="s">
        <v>16</v>
      </c>
      <c r="B1" s="3" t="s">
        <v>0</v>
      </c>
      <c r="C1" s="3" t="s">
        <v>10</v>
      </c>
      <c r="D1" s="3" t="s">
        <v>11</v>
      </c>
      <c r="E1" s="3" t="s">
        <v>12</v>
      </c>
      <c r="F1" s="3" t="s">
        <v>1</v>
      </c>
      <c r="G1" s="3" t="s">
        <v>17</v>
      </c>
    </row>
    <row r="2" spans="1:14">
      <c r="A2" s="4">
        <v>1</v>
      </c>
      <c r="B2" s="4" t="s">
        <v>13</v>
      </c>
      <c r="C2" s="1">
        <v>150</v>
      </c>
      <c r="D2" s="1">
        <v>60</v>
      </c>
      <c r="E2" s="1">
        <v>2.5</v>
      </c>
      <c r="F2" s="1">
        <v>1</v>
      </c>
      <c r="G2" s="1">
        <f>C2*F2/100</f>
        <v>1.5</v>
      </c>
    </row>
    <row r="3" spans="1:14">
      <c r="A3" s="4">
        <v>2</v>
      </c>
      <c r="B3" s="4" t="s">
        <v>14</v>
      </c>
      <c r="C3" s="1">
        <v>5</v>
      </c>
      <c r="D3" s="1">
        <v>50</v>
      </c>
      <c r="E3" s="1">
        <v>0.1</v>
      </c>
      <c r="F3" s="1">
        <v>1</v>
      </c>
      <c r="G3" s="1">
        <f t="shared" ref="G3:G4" si="0">C3*F3/100</f>
        <v>0.05</v>
      </c>
    </row>
    <row r="4" spans="1:14">
      <c r="A4" s="4">
        <v>3</v>
      </c>
      <c r="B4" s="4" t="s">
        <v>15</v>
      </c>
      <c r="C4" s="1">
        <v>750</v>
      </c>
      <c r="D4" s="1">
        <v>75</v>
      </c>
      <c r="E4" s="1">
        <v>10</v>
      </c>
      <c r="F4" s="1">
        <v>0.5</v>
      </c>
      <c r="G4" s="1">
        <f t="shared" si="0"/>
        <v>3.75</v>
      </c>
    </row>
    <row r="6" spans="1:14">
      <c r="A6" s="2" t="s">
        <v>2</v>
      </c>
      <c r="B6" s="2"/>
      <c r="C6" s="2"/>
      <c r="D6" s="3" t="s">
        <v>3</v>
      </c>
      <c r="E6" s="3" t="s">
        <v>4</v>
      </c>
      <c r="F6" s="3" t="s">
        <v>5</v>
      </c>
      <c r="G6" s="3" t="s">
        <v>6</v>
      </c>
      <c r="H6" s="3" t="s">
        <v>30</v>
      </c>
      <c r="I6" s="3" t="s">
        <v>31</v>
      </c>
    </row>
    <row r="7" spans="1:14">
      <c r="A7" s="29" t="s">
        <v>7</v>
      </c>
      <c r="B7" s="29" t="s">
        <v>8</v>
      </c>
      <c r="C7" s="29" t="s">
        <v>9</v>
      </c>
      <c r="D7" s="29"/>
      <c r="E7" s="29"/>
      <c r="F7" s="29"/>
      <c r="G7" s="29"/>
      <c r="H7" s="29"/>
      <c r="I7" s="29"/>
    </row>
    <row r="8" spans="1:14">
      <c r="A8" s="1">
        <v>5</v>
      </c>
      <c r="B8" s="1">
        <v>150</v>
      </c>
      <c r="C8" s="1">
        <v>750</v>
      </c>
      <c r="D8" s="1">
        <v>4.5</v>
      </c>
      <c r="E8" s="1">
        <v>5.98</v>
      </c>
      <c r="F8" s="1">
        <v>4.2</v>
      </c>
      <c r="G8" s="1">
        <v>18.79</v>
      </c>
      <c r="H8" s="1">
        <f>D8+F8</f>
        <v>8.6999999999999993</v>
      </c>
      <c r="I8" s="1">
        <f>(1/E8+1/G8)^(-1)</f>
        <v>4.5363019781994351</v>
      </c>
    </row>
    <row r="10" spans="1:14">
      <c r="A10" s="3" t="s">
        <v>18</v>
      </c>
      <c r="B10" s="3" t="s">
        <v>19</v>
      </c>
      <c r="C10" s="3" t="s">
        <v>20</v>
      </c>
      <c r="D10" s="2" t="s">
        <v>21</v>
      </c>
      <c r="E10" s="2"/>
      <c r="F10" s="3" t="s">
        <v>45</v>
      </c>
      <c r="G10" s="3" t="s">
        <v>33</v>
      </c>
      <c r="H10" s="3" t="s">
        <v>32</v>
      </c>
      <c r="I10" s="3" t="s">
        <v>34</v>
      </c>
      <c r="J10" s="3" t="s">
        <v>35</v>
      </c>
      <c r="K10" s="3" t="s">
        <v>36</v>
      </c>
      <c r="L10" s="3" t="s">
        <v>40</v>
      </c>
      <c r="M10" s="3" t="s">
        <v>41</v>
      </c>
      <c r="N10" s="3" t="s">
        <v>42</v>
      </c>
    </row>
    <row r="11" spans="1:14">
      <c r="A11" s="4" t="s">
        <v>22</v>
      </c>
      <c r="B11" s="4" t="s">
        <v>23</v>
      </c>
      <c r="C11" s="4" t="s">
        <v>24</v>
      </c>
      <c r="D11" s="4" t="s">
        <v>25</v>
      </c>
      <c r="E11" s="4"/>
      <c r="F11" s="4" t="s">
        <v>37</v>
      </c>
      <c r="G11" s="4" t="s">
        <v>38</v>
      </c>
      <c r="H11" s="4" t="s">
        <v>39</v>
      </c>
      <c r="I11" s="4" t="s">
        <v>39</v>
      </c>
      <c r="J11" s="4" t="s">
        <v>39</v>
      </c>
      <c r="K11" s="4"/>
      <c r="L11" s="4" t="s">
        <v>43</v>
      </c>
      <c r="M11" s="4" t="s">
        <v>44</v>
      </c>
      <c r="N11" s="4" t="s">
        <v>43</v>
      </c>
    </row>
    <row r="12" spans="1:14">
      <c r="A12" s="29" t="s">
        <v>26</v>
      </c>
      <c r="B12" s="1">
        <v>140</v>
      </c>
      <c r="C12" s="1">
        <v>1</v>
      </c>
      <c r="D12" s="1">
        <v>13</v>
      </c>
      <c r="E12" s="1">
        <f>D12*10</f>
        <v>130</v>
      </c>
      <c r="F12" s="1">
        <f>H8*(C12*C12)</f>
        <v>8.6999999999999993</v>
      </c>
      <c r="G12" s="1">
        <f>F12/E12*100</f>
        <v>6.6923076923076916</v>
      </c>
      <c r="H12" s="1">
        <f>SQRT(B12*B12-H8*(2*E12-H8*C12*C12))/C12</f>
        <v>131.96094119094482</v>
      </c>
      <c r="I12" s="1">
        <f>H12*K12</f>
        <v>0.82246394512244514</v>
      </c>
      <c r="J12" s="1">
        <f>H12*SQRT(1-K12*K12)</f>
        <v>131.95837810862551</v>
      </c>
      <c r="K12" s="1">
        <f>(E12-H8*C12*C12)/(C12*(B12*B12-H8*SQRT(2*E12-H8*C12*C12)))</f>
        <v>6.2326316991961764E-3</v>
      </c>
      <c r="L12" s="1">
        <f>E12-(H8*C12*C12)</f>
        <v>121.3</v>
      </c>
      <c r="M12" s="1">
        <f>B12*C12</f>
        <v>140</v>
      </c>
      <c r="N12" s="1">
        <f>SQRT(M12*M12-L12*L12)</f>
        <v>69.902145889807997</v>
      </c>
    </row>
    <row r="13" spans="1:14">
      <c r="A13" s="29" t="s">
        <v>27</v>
      </c>
      <c r="B13" s="1">
        <v>140</v>
      </c>
      <c r="C13" s="1">
        <v>1</v>
      </c>
      <c r="D13" s="1">
        <v>9</v>
      </c>
      <c r="E13" s="1">
        <f t="shared" ref="E13:E23" si="1">D13*10</f>
        <v>90</v>
      </c>
      <c r="F13" s="1">
        <f>H8*(C13*C13)</f>
        <v>8.6999999999999993</v>
      </c>
      <c r="G13" s="1">
        <f t="shared" ref="G13:G23" si="2">F13/E13*100</f>
        <v>9.6666666666666661</v>
      </c>
      <c r="H13" s="1">
        <f t="shared" ref="H13" si="3">SQRT(B13*B13-H9*(2*E13-H9*C13*C13))/C13</f>
        <v>140</v>
      </c>
      <c r="I13" s="1">
        <f t="shared" ref="I13:I23" si="4">H13*K13</f>
        <v>0.58410768357643228</v>
      </c>
      <c r="J13" s="1">
        <f t="shared" ref="J13:J23" si="5">H13*SQRT(1-K13*K13)</f>
        <v>139.99878148831863</v>
      </c>
      <c r="K13" s="1">
        <f>(E13-H8*C13*C13)/(C13*(B13*B13-H8*SQRT(2*E13-H8*C13*C13)))</f>
        <v>4.1721977398316594E-3</v>
      </c>
      <c r="L13" s="1">
        <f>E13-(H8*C13*C13)</f>
        <v>81.3</v>
      </c>
      <c r="M13" s="1">
        <f t="shared" ref="M13:M22" si="6">B13*C13</f>
        <v>140</v>
      </c>
      <c r="N13" s="1">
        <f t="shared" ref="N13:N23" si="7">SQRT(M13*M13-L13*L13)</f>
        <v>113.97504112743282</v>
      </c>
    </row>
    <row r="14" spans="1:14">
      <c r="A14" s="29" t="s">
        <v>28</v>
      </c>
      <c r="B14" s="1">
        <v>140</v>
      </c>
      <c r="C14" s="1">
        <v>1</v>
      </c>
      <c r="D14" s="1">
        <v>12</v>
      </c>
      <c r="E14" s="1">
        <f t="shared" si="1"/>
        <v>120</v>
      </c>
      <c r="F14" s="1">
        <f>H8*(C14*C14)</f>
        <v>8.6999999999999993</v>
      </c>
      <c r="G14" s="1">
        <f t="shared" si="2"/>
        <v>7.2499999999999991</v>
      </c>
      <c r="H14" s="1">
        <f>SQRT(B14*B14-H8*(2*E14-H8*C14*C14))/C14</f>
        <v>132.61858844068578</v>
      </c>
      <c r="I14" s="1">
        <f t="shared" si="4"/>
        <v>0.75820255097868972</v>
      </c>
      <c r="J14" s="1">
        <f t="shared" si="5"/>
        <v>132.61642103786275</v>
      </c>
      <c r="K14" s="1">
        <f>(E14-H8*C14*C14)/(C14*(B14*B14-H8*SQRT(2*E14-H8*C14*C14)))</f>
        <v>5.7171664990070302E-3</v>
      </c>
      <c r="L14" s="1">
        <f>E14-(H8*C14*C14)</f>
        <v>111.3</v>
      </c>
      <c r="M14" s="1">
        <f t="shared" si="6"/>
        <v>140</v>
      </c>
      <c r="N14" s="1">
        <f t="shared" si="7"/>
        <v>84.925320134810221</v>
      </c>
    </row>
    <row r="15" spans="1:14">
      <c r="A15" s="29" t="s">
        <v>29</v>
      </c>
      <c r="B15" s="1">
        <v>140</v>
      </c>
      <c r="C15" s="1">
        <v>1</v>
      </c>
      <c r="D15" s="1">
        <v>12</v>
      </c>
      <c r="E15" s="1">
        <f t="shared" si="1"/>
        <v>120</v>
      </c>
      <c r="F15" s="1">
        <f>H8*(C15*C15)</f>
        <v>8.6999999999999993</v>
      </c>
      <c r="G15" s="1">
        <f t="shared" si="2"/>
        <v>7.2499999999999991</v>
      </c>
      <c r="H15" s="1">
        <f>SQRT(B15*B15-H8*(2*E15-H8*C15*C15))/C15</f>
        <v>132.61858844068578</v>
      </c>
      <c r="I15" s="1">
        <f t="shared" si="4"/>
        <v>0.75820255097868972</v>
      </c>
      <c r="J15" s="1">
        <f t="shared" si="5"/>
        <v>132.61642103786275</v>
      </c>
      <c r="K15" s="1">
        <f>(E15-H8*C15*C15)/(C15*(B15*B15-H8*SQRT(2*E15-H8*C15*C15)))</f>
        <v>5.7171664990070302E-3</v>
      </c>
      <c r="L15" s="1">
        <f>E15-(H8*C15*C15)</f>
        <v>111.3</v>
      </c>
      <c r="M15" s="1">
        <f t="shared" si="6"/>
        <v>140</v>
      </c>
      <c r="N15" s="1">
        <f t="shared" si="7"/>
        <v>84.925320134810221</v>
      </c>
    </row>
    <row r="16" spans="1:14">
      <c r="A16" s="29" t="s">
        <v>26</v>
      </c>
      <c r="B16" s="1">
        <v>140</v>
      </c>
      <c r="C16" s="1">
        <v>2</v>
      </c>
      <c r="D16" s="1">
        <v>27</v>
      </c>
      <c r="E16" s="1">
        <f t="shared" si="1"/>
        <v>270</v>
      </c>
      <c r="F16" s="1">
        <f>H8*(C16*C16)</f>
        <v>34.799999999999997</v>
      </c>
      <c r="G16" s="1">
        <f t="shared" si="2"/>
        <v>12.888888888888889</v>
      </c>
      <c r="H16" s="1">
        <f>SQRT(B16*B16-H8*(2*E16-H8*C16*C16))/C16</f>
        <v>61.653791448701675</v>
      </c>
      <c r="I16" s="1">
        <f t="shared" si="4"/>
        <v>0.37365061694840301</v>
      </c>
      <c r="J16" s="1">
        <f t="shared" si="5"/>
        <v>61.652659190147297</v>
      </c>
      <c r="K16" s="1">
        <f>(E16-H8*C16*C16)/(C16*(B16*B16-H8*SQRT(2*E16-H8*C16*C16)))</f>
        <v>6.0604645418975518E-3</v>
      </c>
      <c r="L16" s="1">
        <f>E16-(H8*C16*C16)</f>
        <v>235.2</v>
      </c>
      <c r="M16" s="1">
        <f t="shared" si="6"/>
        <v>280</v>
      </c>
      <c r="N16" s="1">
        <f t="shared" si="7"/>
        <v>151.92419162200602</v>
      </c>
    </row>
    <row r="17" spans="1:14">
      <c r="A17" s="29" t="s">
        <v>27</v>
      </c>
      <c r="B17" s="1">
        <v>140</v>
      </c>
      <c r="C17" s="1">
        <v>2</v>
      </c>
      <c r="D17" s="1">
        <v>25</v>
      </c>
      <c r="E17" s="1">
        <f t="shared" si="1"/>
        <v>250</v>
      </c>
      <c r="F17" s="1">
        <f>H8*(C17*C17)</f>
        <v>34.799999999999997</v>
      </c>
      <c r="G17" s="1">
        <f t="shared" si="2"/>
        <v>13.919999999999998</v>
      </c>
      <c r="H17" s="1">
        <f>SQRT(B17*B17-H8*(2*E17-H8*C17*C17))/C17</f>
        <v>62.35535261707691</v>
      </c>
      <c r="I17" s="1">
        <f t="shared" si="4"/>
        <v>0.34562711513064953</v>
      </c>
      <c r="J17" s="1">
        <f t="shared" si="5"/>
        <v>62.354394728016459</v>
      </c>
      <c r="K17" s="1">
        <f>(E17-H8*C17*C17)/(C17*(B17*B17-H8*SQRT(2*E17-H8*C17*C17)))</f>
        <v>5.5428620098284002E-3</v>
      </c>
      <c r="L17" s="1">
        <f>E17-(H8*C17*C17)</f>
        <v>215.2</v>
      </c>
      <c r="M17" s="1">
        <f t="shared" si="6"/>
        <v>280</v>
      </c>
      <c r="N17" s="1">
        <f t="shared" si="7"/>
        <v>179.1339163865961</v>
      </c>
    </row>
    <row r="18" spans="1:14">
      <c r="A18" s="29" t="s">
        <v>28</v>
      </c>
      <c r="B18" s="1">
        <v>140</v>
      </c>
      <c r="C18" s="1">
        <v>2</v>
      </c>
      <c r="D18" s="1">
        <v>26</v>
      </c>
      <c r="E18" s="1">
        <f t="shared" si="1"/>
        <v>260</v>
      </c>
      <c r="F18" s="1">
        <f>H8*(C18*C18)</f>
        <v>34.799999999999997</v>
      </c>
      <c r="G18" s="1">
        <f t="shared" si="2"/>
        <v>13.384615384615383</v>
      </c>
      <c r="H18" s="1">
        <f>SQRT(B18*B18-H8*(2*E18-H8*C18*C18))/C18</f>
        <v>62.005564266443059</v>
      </c>
      <c r="I18" s="1">
        <f t="shared" si="4"/>
        <v>0.35973289358149746</v>
      </c>
      <c r="J18" s="1">
        <f t="shared" si="5"/>
        <v>62.004520740388564</v>
      </c>
      <c r="K18" s="1">
        <f>(E18-H8*C18*C18)/(C18*(B18*B18-H8*SQRT(2*E18-H8*C18*C18)))</f>
        <v>5.8016227710741466E-3</v>
      </c>
      <c r="L18" s="1">
        <f>E18-(H8*C18*C18)</f>
        <v>225.2</v>
      </c>
      <c r="M18" s="1">
        <f t="shared" si="6"/>
        <v>280</v>
      </c>
      <c r="N18" s="1">
        <f t="shared" si="7"/>
        <v>166.38798033511918</v>
      </c>
    </row>
    <row r="19" spans="1:14">
      <c r="A19" s="29" t="s">
        <v>29</v>
      </c>
      <c r="B19" s="1">
        <v>140</v>
      </c>
      <c r="C19" s="1">
        <v>2</v>
      </c>
      <c r="D19" s="1">
        <v>21</v>
      </c>
      <c r="E19" s="1">
        <f t="shared" si="1"/>
        <v>210</v>
      </c>
      <c r="F19" s="1">
        <f>H8*(C19*C19)</f>
        <v>34.799999999999997</v>
      </c>
      <c r="G19" s="1">
        <f t="shared" si="2"/>
        <v>16.571428571428569</v>
      </c>
      <c r="H19" s="1">
        <f>SQRT(B19*B19-H8*(2*E19-H8*C19*C19))/C19</f>
        <v>63.735312033440302</v>
      </c>
      <c r="I19" s="1">
        <f t="shared" si="4"/>
        <v>0.28736124780318273</v>
      </c>
      <c r="J19" s="1">
        <f t="shared" si="5"/>
        <v>63.734664222173961</v>
      </c>
      <c r="K19" s="1">
        <f>(E19-H8*C19*C19)/(C19*(B19*B19-H8*SQRT(2*E19-H8*C19*C19)))</f>
        <v>4.5086662108504557E-3</v>
      </c>
      <c r="L19" s="1">
        <f>E19-(H8*C19*C19)</f>
        <v>175.2</v>
      </c>
      <c r="M19" s="1">
        <f t="shared" si="6"/>
        <v>280</v>
      </c>
      <c r="N19" s="1">
        <f t="shared" si="7"/>
        <v>218.41465152319796</v>
      </c>
    </row>
    <row r="20" spans="1:14">
      <c r="A20" s="29" t="s">
        <v>26</v>
      </c>
      <c r="B20" s="1">
        <v>140</v>
      </c>
      <c r="C20" s="1">
        <v>4</v>
      </c>
      <c r="D20" s="1">
        <v>53</v>
      </c>
      <c r="E20" s="1">
        <f t="shared" si="1"/>
        <v>530</v>
      </c>
      <c r="F20" s="1">
        <f>H8*(C20*C20)</f>
        <v>139.19999999999999</v>
      </c>
      <c r="G20" s="1">
        <f t="shared" si="2"/>
        <v>26.264150943396224</v>
      </c>
      <c r="H20" s="1">
        <f>SQRT(B20*B20-H8*(2*E20-H8*C20*C20))/C20</f>
        <v>26.913100899004561</v>
      </c>
      <c r="I20" s="1">
        <f t="shared" si="4"/>
        <v>0.13598519812481549</v>
      </c>
      <c r="J20" s="1">
        <f t="shared" si="5"/>
        <v>26.912757347137269</v>
      </c>
      <c r="K20" s="1">
        <f>(E20-H8*C20*C20)/(C20*(B20*B20-H8*SQRT(2*E20-H8*C20*C20)))</f>
        <v>5.0527510239388729E-3</v>
      </c>
      <c r="L20" s="1">
        <f>E20-(H8*C20*C20)</f>
        <v>390.8</v>
      </c>
      <c r="M20" s="1">
        <f t="shared" si="6"/>
        <v>560</v>
      </c>
      <c r="N20" s="1">
        <f t="shared" si="7"/>
        <v>401.09270748793227</v>
      </c>
    </row>
    <row r="21" spans="1:14">
      <c r="A21" s="29" t="s">
        <v>27</v>
      </c>
      <c r="B21" s="1">
        <v>140</v>
      </c>
      <c r="C21" s="1">
        <v>4</v>
      </c>
      <c r="D21" s="1">
        <v>52</v>
      </c>
      <c r="E21" s="1">
        <f t="shared" si="1"/>
        <v>520</v>
      </c>
      <c r="F21" s="1">
        <f>H8*(C21*C21)</f>
        <v>139.19999999999999</v>
      </c>
      <c r="G21" s="1">
        <f t="shared" si="2"/>
        <v>26.769230769230766</v>
      </c>
      <c r="H21" s="1">
        <f>SQRT(B21*B21-H8*(2*E21-H8*C21*C21))/C21</f>
        <v>27.114387324813372</v>
      </c>
      <c r="I21" s="1">
        <f t="shared" si="4"/>
        <v>0.13347666131525632</v>
      </c>
      <c r="J21" s="1">
        <f t="shared" si="5"/>
        <v>27.114058788401344</v>
      </c>
      <c r="K21" s="1">
        <f>(E21-H8*C21*C21)/(C21*(B21*B21-H8*SQRT(2*E21-H8*C21*C21)))</f>
        <v>4.9227245932681254E-3</v>
      </c>
      <c r="L21" s="1">
        <f>E21-(H8*C21*C21)</f>
        <v>380.8</v>
      </c>
      <c r="M21" s="1">
        <f t="shared" si="6"/>
        <v>560</v>
      </c>
      <c r="N21" s="1">
        <f t="shared" si="7"/>
        <v>410.59878226804324</v>
      </c>
    </row>
    <row r="22" spans="1:14">
      <c r="A22" s="29" t="s">
        <v>28</v>
      </c>
      <c r="B22" s="1">
        <v>135</v>
      </c>
      <c r="C22" s="1">
        <v>4</v>
      </c>
      <c r="D22" s="1">
        <v>53</v>
      </c>
      <c r="E22" s="1">
        <f t="shared" si="1"/>
        <v>530</v>
      </c>
      <c r="F22" s="1">
        <f>H8*(C22*C22)</f>
        <v>139.19999999999999</v>
      </c>
      <c r="G22" s="1">
        <f t="shared" si="2"/>
        <v>26.264150943396224</v>
      </c>
      <c r="H22" s="1">
        <f>SQRT(B22*B22-H8*(2*E22-H8*C22*C22))/C22</f>
        <v>25.266133459633274</v>
      </c>
      <c r="I22" s="1">
        <f t="shared" si="4"/>
        <v>0.13743672792903686</v>
      </c>
      <c r="J22" s="1">
        <f t="shared" si="5"/>
        <v>25.265759658989403</v>
      </c>
      <c r="K22" s="1">
        <f>(E22-H8*C22*C22)/(C22*(B22*B22-H8*SQRT(2*E22-H8*C22*C22)))</f>
        <v>5.4395631270061249E-3</v>
      </c>
      <c r="L22" s="1">
        <f>E22-(H8*C22*C22)</f>
        <v>390.8</v>
      </c>
      <c r="M22" s="1">
        <f t="shared" si="6"/>
        <v>540</v>
      </c>
      <c r="N22" s="1">
        <f t="shared" si="7"/>
        <v>372.6598448988031</v>
      </c>
    </row>
    <row r="23" spans="1:14">
      <c r="A23" s="29" t="s">
        <v>29</v>
      </c>
      <c r="B23" s="1">
        <v>135</v>
      </c>
      <c r="C23" s="1">
        <v>4</v>
      </c>
      <c r="D23" s="1">
        <v>53</v>
      </c>
      <c r="E23" s="1">
        <f t="shared" si="1"/>
        <v>530</v>
      </c>
      <c r="F23" s="1">
        <f>H8*(C23*C23)</f>
        <v>139.19999999999999</v>
      </c>
      <c r="G23" s="1">
        <f t="shared" si="2"/>
        <v>26.264150943396224</v>
      </c>
      <c r="H23" s="1">
        <f>SQRT(B23*B23-H8*(2*E23-H8*C23*C23))/C23</f>
        <v>25.266133459633274</v>
      </c>
      <c r="I23" s="1">
        <f t="shared" si="4"/>
        <v>0.13743672792903686</v>
      </c>
      <c r="J23" s="1">
        <f t="shared" si="5"/>
        <v>25.265759658989403</v>
      </c>
      <c r="K23" s="1">
        <f>(E23-H8*C23*C23)/(C23*(B23*B23-H8*SQRT(2*E23-H8*C23*C23)))</f>
        <v>5.4395631270061249E-3</v>
      </c>
      <c r="L23" s="1">
        <f>E23-(H8*C23*C23)</f>
        <v>390.8</v>
      </c>
      <c r="M23" s="1">
        <f>B23*C23</f>
        <v>540</v>
      </c>
      <c r="N23" s="1">
        <f t="shared" si="7"/>
        <v>372.6598448988031</v>
      </c>
    </row>
    <row r="24" spans="1:14" ht="17" thickBot="1"/>
    <row r="25" spans="1:14">
      <c r="A25" s="107" t="s">
        <v>65</v>
      </c>
      <c r="B25" s="108"/>
      <c r="C25" s="108"/>
      <c r="D25" s="109"/>
    </row>
    <row r="26" spans="1:14">
      <c r="A26" s="110" t="s">
        <v>117</v>
      </c>
      <c r="B26" s="30"/>
      <c r="C26" s="30"/>
      <c r="D26" s="111"/>
    </row>
    <row r="27" spans="1:14">
      <c r="A27" s="110" t="s">
        <v>114</v>
      </c>
      <c r="B27" s="30"/>
      <c r="C27" s="30"/>
      <c r="D27" s="111"/>
    </row>
    <row r="28" spans="1:14">
      <c r="A28" s="110" t="s">
        <v>63</v>
      </c>
      <c r="B28" s="30"/>
      <c r="C28" s="30"/>
      <c r="D28" s="111"/>
    </row>
    <row r="29" spans="1:14">
      <c r="A29" s="110" t="s">
        <v>64</v>
      </c>
      <c r="B29" s="30"/>
      <c r="C29" s="30"/>
      <c r="D29" s="111"/>
    </row>
    <row r="30" spans="1:14">
      <c r="A30" s="110" t="s">
        <v>115</v>
      </c>
      <c r="B30" s="30"/>
      <c r="C30" s="30"/>
      <c r="D30" s="111"/>
    </row>
    <row r="31" spans="1:14" ht="17" thickBot="1">
      <c r="A31" s="112" t="s">
        <v>116</v>
      </c>
      <c r="B31" s="113"/>
      <c r="C31" s="113"/>
      <c r="D31" s="114"/>
    </row>
  </sheetData>
  <mergeCells count="2">
    <mergeCell ref="A6:C6"/>
    <mergeCell ref="D10:E10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Wheatstone Bridge</vt:lpstr>
      <vt:lpstr>Analog&amp;DigMeasInstr</vt:lpstr>
      <vt:lpstr>Extension of Domain</vt:lpstr>
      <vt:lpstr>Single Phase AC circuit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2020-12-03T18:14:22Z</dcterms:created>
  <dcterms:modified xsi:type="dcterms:W3CDTF">2020-12-06T17:18:14Z</dcterms:modified>
</cp:coreProperties>
</file>