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Samsung\Desktop\MSF\Valuation\Caterpillar\"/>
    </mc:Choice>
  </mc:AlternateContent>
  <bookViews>
    <workbookView xWindow="0" yWindow="0" windowWidth="28800" windowHeight="15435" tabRatio="740" firstSheet="3" activeTab="7"/>
  </bookViews>
  <sheets>
    <sheet name="Cover Page" sheetId="144" r:id="rId1"/>
    <sheet name="Assumptions" sheetId="142" r:id="rId2"/>
    <sheet name="Income Statement and NOPLAT" sheetId="134" r:id="rId3"/>
    <sheet name="Balance Sheet and Invested Capi" sheetId="133" r:id="rId4"/>
    <sheet name="ROIC Decomp &amp; Funding Statement" sheetId="140" r:id="rId5"/>
    <sheet name="Caterpillar ROIC tree" sheetId="138" r:id="rId6"/>
    <sheet name="WACC Calculation" sheetId="141" r:id="rId7"/>
    <sheet name="Forecast &amp; Matrix" sheetId="145" r:id="rId8"/>
    <sheet name="Competition" sheetId="139" r:id="rId9"/>
  </sheets>
  <definedNames>
    <definedName name="MSN_MoneyCentral_Stock_Quotes" localSheetId="1">Assumptions!#REF!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45" l="1"/>
  <c r="B4" i="141"/>
  <c r="B5" i="141"/>
  <c r="B6" i="141"/>
  <c r="B7" i="141"/>
  <c r="B8" i="141"/>
  <c r="B14" i="141"/>
  <c r="B9" i="141"/>
  <c r="B15" i="141"/>
  <c r="B33" i="139"/>
  <c r="C33" i="139"/>
  <c r="D33" i="139"/>
  <c r="E33" i="139"/>
  <c r="B18" i="141"/>
  <c r="F5" i="134"/>
  <c r="F12" i="134"/>
  <c r="F13" i="134"/>
  <c r="F17" i="134"/>
  <c r="F21" i="140"/>
  <c r="B19" i="141"/>
  <c r="B16" i="141"/>
  <c r="B20" i="141"/>
  <c r="B13" i="142"/>
  <c r="D19" i="145"/>
  <c r="C19" i="145"/>
  <c r="F13" i="140"/>
  <c r="G13" i="140"/>
  <c r="H13" i="140"/>
  <c r="I13" i="140"/>
  <c r="J13" i="140"/>
  <c r="K13" i="140"/>
  <c r="F33" i="140"/>
  <c r="G33" i="140"/>
  <c r="H33" i="140"/>
  <c r="I33" i="140"/>
  <c r="J33" i="140"/>
  <c r="K33" i="140"/>
  <c r="K15" i="140"/>
  <c r="F34" i="140"/>
  <c r="G34" i="140"/>
  <c r="H34" i="140"/>
  <c r="I34" i="140"/>
  <c r="J34" i="140"/>
  <c r="K34" i="140"/>
  <c r="K16" i="140"/>
  <c r="F17" i="140"/>
  <c r="G17" i="140"/>
  <c r="H17" i="140"/>
  <c r="I17" i="140"/>
  <c r="J17" i="140"/>
  <c r="K17" i="140"/>
  <c r="B19" i="140"/>
  <c r="C19" i="140"/>
  <c r="D19" i="140"/>
  <c r="E19" i="140"/>
  <c r="F19" i="140"/>
  <c r="K19" i="140"/>
  <c r="K20" i="140"/>
  <c r="G21" i="140"/>
  <c r="H21" i="140"/>
  <c r="I21" i="140"/>
  <c r="J21" i="140"/>
  <c r="K21" i="140"/>
  <c r="K22" i="140"/>
  <c r="B5" i="134"/>
  <c r="B12" i="134"/>
  <c r="B13" i="134"/>
  <c r="B17" i="134"/>
  <c r="B21" i="140"/>
  <c r="B23" i="140"/>
  <c r="C5" i="134"/>
  <c r="C12" i="134"/>
  <c r="C13" i="134"/>
  <c r="C17" i="134"/>
  <c r="C21" i="140"/>
  <c r="C23" i="140"/>
  <c r="D5" i="134"/>
  <c r="D12" i="134"/>
  <c r="D13" i="134"/>
  <c r="D17" i="134"/>
  <c r="D21" i="140"/>
  <c r="D23" i="140"/>
  <c r="E5" i="134"/>
  <c r="E12" i="134"/>
  <c r="E13" i="134"/>
  <c r="E17" i="134"/>
  <c r="E21" i="140"/>
  <c r="E23" i="140"/>
  <c r="F23" i="140"/>
  <c r="K23" i="140"/>
  <c r="K24" i="140"/>
  <c r="R3" i="140"/>
  <c r="L4" i="133"/>
  <c r="L6" i="133"/>
  <c r="L7" i="133"/>
  <c r="L8" i="133"/>
  <c r="L9" i="133"/>
  <c r="L10" i="133"/>
  <c r="L13" i="133"/>
  <c r="L14" i="133"/>
  <c r="L15" i="133"/>
  <c r="L16" i="133"/>
  <c r="L17" i="133"/>
  <c r="L18" i="133"/>
  <c r="L19" i="133"/>
  <c r="L21" i="133"/>
  <c r="F41" i="140"/>
  <c r="G41" i="140"/>
  <c r="H41" i="140"/>
  <c r="I41" i="140"/>
  <c r="J41" i="140"/>
  <c r="J3" i="140"/>
  <c r="K41" i="140"/>
  <c r="K3" i="140"/>
  <c r="R4" i="140"/>
  <c r="F42" i="140"/>
  <c r="G42" i="140"/>
  <c r="H42" i="140"/>
  <c r="I42" i="140"/>
  <c r="J42" i="140"/>
  <c r="J4" i="140"/>
  <c r="K42" i="140"/>
  <c r="K4" i="140"/>
  <c r="R5" i="140"/>
  <c r="L23" i="133"/>
  <c r="L24" i="133"/>
  <c r="L25" i="133"/>
  <c r="L27" i="133"/>
  <c r="F44" i="140"/>
  <c r="G44" i="140"/>
  <c r="H44" i="140"/>
  <c r="I44" i="140"/>
  <c r="J44" i="140"/>
  <c r="J6" i="140"/>
  <c r="K44" i="140"/>
  <c r="K6" i="140"/>
  <c r="R6" i="140"/>
  <c r="R7" i="140"/>
  <c r="F3" i="145"/>
  <c r="G3" i="145"/>
  <c r="G5" i="145"/>
  <c r="B4" i="145"/>
  <c r="G15" i="140"/>
  <c r="G16" i="140"/>
  <c r="G19" i="140"/>
  <c r="G20" i="140"/>
  <c r="G22" i="140"/>
  <c r="G23" i="140"/>
  <c r="G24" i="140"/>
  <c r="N3" i="140"/>
  <c r="F3" i="140"/>
  <c r="G3" i="140"/>
  <c r="N4" i="140"/>
  <c r="F4" i="140"/>
  <c r="G4" i="140"/>
  <c r="N5" i="140"/>
  <c r="L28" i="133"/>
  <c r="L30" i="133"/>
  <c r="L31" i="133"/>
  <c r="L32" i="133"/>
  <c r="F5" i="140"/>
  <c r="F6" i="140"/>
  <c r="G6" i="140"/>
  <c r="N6" i="140"/>
  <c r="N7" i="140"/>
  <c r="B3" i="145"/>
  <c r="B5" i="145"/>
  <c r="C4" i="145"/>
  <c r="H15" i="140"/>
  <c r="H16" i="140"/>
  <c r="H19" i="140"/>
  <c r="H20" i="140"/>
  <c r="H22" i="140"/>
  <c r="H23" i="140"/>
  <c r="H24" i="140"/>
  <c r="O3" i="140"/>
  <c r="H3" i="140"/>
  <c r="O4" i="140"/>
  <c r="H4" i="140"/>
  <c r="O5" i="140"/>
  <c r="H6" i="140"/>
  <c r="O6" i="140"/>
  <c r="O7" i="140"/>
  <c r="C3" i="145"/>
  <c r="C5" i="145"/>
  <c r="D4" i="145"/>
  <c r="I15" i="140"/>
  <c r="I16" i="140"/>
  <c r="I19" i="140"/>
  <c r="I20" i="140"/>
  <c r="I22" i="140"/>
  <c r="I23" i="140"/>
  <c r="I24" i="140"/>
  <c r="P3" i="140"/>
  <c r="I3" i="140"/>
  <c r="P4" i="140"/>
  <c r="I4" i="140"/>
  <c r="P5" i="140"/>
  <c r="I6" i="140"/>
  <c r="P6" i="140"/>
  <c r="P7" i="140"/>
  <c r="D3" i="145"/>
  <c r="D5" i="145"/>
  <c r="E4" i="145"/>
  <c r="J15" i="140"/>
  <c r="J16" i="140"/>
  <c r="J19" i="140"/>
  <c r="J20" i="140"/>
  <c r="J22" i="140"/>
  <c r="J23" i="140"/>
  <c r="J24" i="140"/>
  <c r="Q3" i="140"/>
  <c r="Q4" i="140"/>
  <c r="Q5" i="140"/>
  <c r="Q6" i="140"/>
  <c r="Q7" i="140"/>
  <c r="E3" i="145"/>
  <c r="E5" i="145"/>
  <c r="F4" i="145"/>
  <c r="F5" i="145"/>
  <c r="B7" i="145"/>
  <c r="L34" i="133"/>
  <c r="B8" i="145"/>
  <c r="B9" i="145"/>
  <c r="L42" i="133"/>
  <c r="L43" i="133"/>
  <c r="L44" i="133"/>
  <c r="L45" i="133"/>
  <c r="B10" i="145"/>
  <c r="B11" i="145"/>
  <c r="B6" i="142"/>
  <c r="B12" i="145"/>
  <c r="B13" i="145"/>
  <c r="B19" i="145"/>
  <c r="F19" i="145"/>
  <c r="G19" i="145"/>
  <c r="B23" i="145"/>
  <c r="B24" i="145"/>
  <c r="B21" i="145"/>
  <c r="B20" i="145"/>
  <c r="B2" i="134"/>
  <c r="B2" i="140"/>
  <c r="C2" i="140"/>
  <c r="D2" i="140"/>
  <c r="E2" i="140"/>
  <c r="F2" i="140"/>
  <c r="G2" i="140"/>
  <c r="N2" i="140"/>
  <c r="B2" i="145"/>
  <c r="C2" i="145"/>
  <c r="D2" i="145"/>
  <c r="E2" i="145"/>
  <c r="F2" i="145"/>
  <c r="B9" i="142"/>
  <c r="I4" i="133"/>
  <c r="I6" i="133"/>
  <c r="J4" i="133"/>
  <c r="J6" i="133"/>
  <c r="K4" i="133"/>
  <c r="K6" i="133"/>
  <c r="H4" i="133"/>
  <c r="H6" i="133"/>
  <c r="H2" i="133"/>
  <c r="B2" i="133"/>
  <c r="H2" i="134"/>
  <c r="C2" i="134"/>
  <c r="N10" i="140"/>
  <c r="O10" i="140"/>
  <c r="P10" i="140"/>
  <c r="Q10" i="140"/>
  <c r="R10" i="140"/>
  <c r="H9" i="140"/>
  <c r="I9" i="140"/>
  <c r="J9" i="140"/>
  <c r="K9" i="140"/>
  <c r="G9" i="140"/>
  <c r="F30" i="140"/>
  <c r="G30" i="140"/>
  <c r="F29" i="140"/>
  <c r="G29" i="140"/>
  <c r="N8" i="140"/>
  <c r="L47" i="133"/>
  <c r="L48" i="133"/>
  <c r="L49" i="133"/>
  <c r="L50" i="133"/>
  <c r="L51" i="133"/>
  <c r="L52" i="133"/>
  <c r="L53" i="133"/>
  <c r="F10" i="140"/>
  <c r="G10" i="140"/>
  <c r="N22" i="140"/>
  <c r="N9" i="140"/>
  <c r="N11" i="140"/>
  <c r="N13" i="140"/>
  <c r="N15" i="140"/>
  <c r="N17" i="140"/>
  <c r="N21" i="140"/>
  <c r="N20" i="140"/>
  <c r="N23" i="140"/>
  <c r="O20" i="140"/>
  <c r="O24" i="140"/>
  <c r="O25" i="140"/>
  <c r="O8" i="140"/>
  <c r="H10" i="140"/>
  <c r="N28" i="140"/>
  <c r="O15" i="140"/>
  <c r="O22" i="140"/>
  <c r="O9" i="140"/>
  <c r="O11" i="140"/>
  <c r="O13" i="140"/>
  <c r="O17" i="140"/>
  <c r="O21" i="140"/>
  <c r="O23" i="140"/>
  <c r="P20" i="140"/>
  <c r="H30" i="140"/>
  <c r="P24" i="140"/>
  <c r="P25" i="140"/>
  <c r="P8" i="140"/>
  <c r="I10" i="140"/>
  <c r="O28" i="140"/>
  <c r="P15" i="140"/>
  <c r="P22" i="140"/>
  <c r="P9" i="140"/>
  <c r="P11" i="140"/>
  <c r="P13" i="140"/>
  <c r="P17" i="140"/>
  <c r="P21" i="140"/>
  <c r="P23" i="140"/>
  <c r="Q20" i="140"/>
  <c r="I30" i="140"/>
  <c r="Q24" i="140"/>
  <c r="Q25" i="140"/>
  <c r="Q8" i="140"/>
  <c r="J10" i="140"/>
  <c r="P28" i="140"/>
  <c r="Q15" i="140"/>
  <c r="Q22" i="140"/>
  <c r="Q9" i="140"/>
  <c r="Q11" i="140"/>
  <c r="Q13" i="140"/>
  <c r="Q17" i="140"/>
  <c r="Q21" i="140"/>
  <c r="Q23" i="140"/>
  <c r="R20" i="140"/>
  <c r="J30" i="140"/>
  <c r="R24" i="140"/>
  <c r="R25" i="140"/>
  <c r="R8" i="140"/>
  <c r="K10" i="140"/>
  <c r="O18" i="140"/>
  <c r="P18" i="140"/>
  <c r="Q18" i="140"/>
  <c r="Q28" i="140"/>
  <c r="R15" i="140"/>
  <c r="R22" i="140"/>
  <c r="R9" i="140"/>
  <c r="R11" i="140"/>
  <c r="R13" i="140"/>
  <c r="R17" i="140"/>
  <c r="R18" i="140"/>
  <c r="R21" i="140"/>
  <c r="R23" i="140"/>
  <c r="R28" i="140"/>
  <c r="N27" i="140"/>
  <c r="N29" i="140"/>
  <c r="O27" i="140"/>
  <c r="O29" i="140"/>
  <c r="P27" i="140"/>
  <c r="P29" i="140"/>
  <c r="Q27" i="140"/>
  <c r="Q29" i="140"/>
  <c r="R27" i="140"/>
  <c r="R29" i="140"/>
  <c r="N24" i="140"/>
  <c r="N25" i="140"/>
  <c r="N18" i="140"/>
  <c r="H7" i="133"/>
  <c r="H8" i="133"/>
  <c r="H9" i="133"/>
  <c r="H10" i="133"/>
  <c r="H13" i="133"/>
  <c r="H14" i="133"/>
  <c r="H15" i="133"/>
  <c r="H16" i="133"/>
  <c r="H17" i="133"/>
  <c r="H18" i="133"/>
  <c r="H19" i="133"/>
  <c r="H21" i="133"/>
  <c r="H23" i="133"/>
  <c r="H24" i="133"/>
  <c r="H25" i="133"/>
  <c r="H27" i="133"/>
  <c r="H28" i="133"/>
  <c r="H30" i="133"/>
  <c r="H31" i="133"/>
  <c r="H32" i="133"/>
  <c r="B3" i="140"/>
  <c r="B4" i="140"/>
  <c r="B5" i="140"/>
  <c r="B6" i="140"/>
  <c r="O2" i="140"/>
  <c r="P2" i="140"/>
  <c r="Q2" i="140"/>
  <c r="R2" i="140"/>
  <c r="E13" i="140"/>
  <c r="F14" i="140"/>
  <c r="G5" i="140"/>
  <c r="G7" i="140"/>
  <c r="F7" i="140"/>
  <c r="G8" i="140"/>
  <c r="H5" i="140"/>
  <c r="H7" i="140"/>
  <c r="H8" i="140"/>
  <c r="I5" i="140"/>
  <c r="I7" i="140"/>
  <c r="I8" i="140"/>
  <c r="J5" i="140"/>
  <c r="J7" i="140"/>
  <c r="J8" i="140"/>
  <c r="K5" i="140"/>
  <c r="K7" i="140"/>
  <c r="K8" i="140"/>
  <c r="H11" i="140"/>
  <c r="I11" i="140"/>
  <c r="J11" i="140"/>
  <c r="K11" i="140"/>
  <c r="K2" i="134"/>
  <c r="J2" i="134"/>
  <c r="I2" i="134"/>
  <c r="G45" i="140"/>
  <c r="H45" i="140"/>
  <c r="I45" i="140"/>
  <c r="J45" i="140"/>
  <c r="K45" i="140"/>
  <c r="F15" i="140"/>
  <c r="F16" i="140"/>
  <c r="F18" i="140"/>
  <c r="F20" i="140"/>
  <c r="F22" i="140"/>
  <c r="F24" i="140"/>
  <c r="K7" i="133"/>
  <c r="K8" i="133"/>
  <c r="K9" i="133"/>
  <c r="K10" i="133"/>
  <c r="K13" i="133"/>
  <c r="K14" i="133"/>
  <c r="K15" i="133"/>
  <c r="K16" i="133"/>
  <c r="K17" i="133"/>
  <c r="K18" i="133"/>
  <c r="K19" i="133"/>
  <c r="K21" i="133"/>
  <c r="E3" i="140"/>
  <c r="E4" i="140"/>
  <c r="E5" i="140"/>
  <c r="K23" i="133"/>
  <c r="K24" i="133"/>
  <c r="K25" i="133"/>
  <c r="K27" i="133"/>
  <c r="K28" i="133"/>
  <c r="K30" i="133"/>
  <c r="K31" i="133"/>
  <c r="K32" i="133"/>
  <c r="E6" i="140"/>
  <c r="E7" i="140"/>
  <c r="F8" i="140"/>
  <c r="F9" i="140"/>
  <c r="F11" i="140"/>
  <c r="F26" i="140"/>
  <c r="G26" i="140"/>
  <c r="H26" i="140"/>
  <c r="I26" i="140"/>
  <c r="J26" i="140"/>
  <c r="K26" i="140"/>
  <c r="F27" i="140"/>
  <c r="G27" i="140"/>
  <c r="H27" i="140"/>
  <c r="I27" i="140"/>
  <c r="J27" i="140"/>
  <c r="K27" i="140"/>
  <c r="F28" i="140"/>
  <c r="G28" i="140"/>
  <c r="H28" i="140"/>
  <c r="I28" i="140"/>
  <c r="J28" i="140"/>
  <c r="K28" i="140"/>
  <c r="H29" i="140"/>
  <c r="I29" i="140"/>
  <c r="J29" i="140"/>
  <c r="K29" i="140"/>
  <c r="K30" i="140"/>
  <c r="C13" i="140"/>
  <c r="C15" i="140"/>
  <c r="C16" i="140"/>
  <c r="C17" i="140"/>
  <c r="C18" i="140"/>
  <c r="C20" i="140"/>
  <c r="C22" i="140"/>
  <c r="C24" i="140"/>
  <c r="B13" i="140"/>
  <c r="B15" i="140"/>
  <c r="B16" i="140"/>
  <c r="B17" i="140"/>
  <c r="B18" i="140"/>
  <c r="B20" i="140"/>
  <c r="B22" i="140"/>
  <c r="B24" i="140"/>
  <c r="C31" i="140"/>
  <c r="D13" i="140"/>
  <c r="D15" i="140"/>
  <c r="D16" i="140"/>
  <c r="D17" i="140"/>
  <c r="D18" i="140"/>
  <c r="D20" i="140"/>
  <c r="D22" i="140"/>
  <c r="D24" i="140"/>
  <c r="D31" i="140"/>
  <c r="E15" i="140"/>
  <c r="E16" i="140"/>
  <c r="E17" i="140"/>
  <c r="E18" i="140"/>
  <c r="E20" i="140"/>
  <c r="E22" i="140"/>
  <c r="E24" i="140"/>
  <c r="E31" i="140"/>
  <c r="F31" i="140"/>
  <c r="G31" i="140"/>
  <c r="H31" i="140"/>
  <c r="I31" i="140"/>
  <c r="J31" i="140"/>
  <c r="K31" i="140"/>
  <c r="F32" i="140"/>
  <c r="G32" i="140"/>
  <c r="H32" i="140"/>
  <c r="I32" i="140"/>
  <c r="J32" i="140"/>
  <c r="K32" i="140"/>
  <c r="F35" i="140"/>
  <c r="G35" i="140"/>
  <c r="H35" i="140"/>
  <c r="I35" i="140"/>
  <c r="J35" i="140"/>
  <c r="K35" i="140"/>
  <c r="F36" i="140"/>
  <c r="G36" i="140"/>
  <c r="H36" i="140"/>
  <c r="I36" i="140"/>
  <c r="J36" i="140"/>
  <c r="K36" i="140"/>
  <c r="L3" i="134"/>
  <c r="L4" i="134"/>
  <c r="L5" i="134"/>
  <c r="L6" i="134"/>
  <c r="L7" i="134"/>
  <c r="L8" i="134"/>
  <c r="L9" i="134"/>
  <c r="F38" i="140"/>
  <c r="G38" i="140"/>
  <c r="H38" i="140"/>
  <c r="I38" i="140"/>
  <c r="J38" i="140"/>
  <c r="K38" i="140"/>
  <c r="L10" i="134"/>
  <c r="L11" i="134"/>
  <c r="L12" i="134"/>
  <c r="L13" i="134"/>
  <c r="F39" i="140"/>
  <c r="G39" i="140"/>
  <c r="H39" i="140"/>
  <c r="I39" i="140"/>
  <c r="J39" i="140"/>
  <c r="K39" i="140"/>
  <c r="F40" i="140"/>
  <c r="G40" i="140"/>
  <c r="H40" i="140"/>
  <c r="I40" i="140"/>
  <c r="J40" i="140"/>
  <c r="K40" i="140"/>
  <c r="F43" i="140"/>
  <c r="G43" i="140"/>
  <c r="H43" i="140"/>
  <c r="I43" i="140"/>
  <c r="J43" i="140"/>
  <c r="K43" i="140"/>
  <c r="D2" i="134"/>
  <c r="E2" i="134"/>
  <c r="F2" i="134"/>
  <c r="I2" i="133"/>
  <c r="J2" i="133"/>
  <c r="K2" i="133"/>
  <c r="L2" i="133"/>
  <c r="C2" i="133"/>
  <c r="D2" i="133"/>
  <c r="E2" i="133"/>
  <c r="F2" i="133"/>
  <c r="H2" i="140"/>
  <c r="I2" i="140"/>
  <c r="J2" i="140"/>
  <c r="K2" i="140"/>
  <c r="F45" i="140"/>
  <c r="J7" i="133"/>
  <c r="J8" i="133"/>
  <c r="J9" i="133"/>
  <c r="J10" i="133"/>
  <c r="J13" i="133"/>
  <c r="J14" i="133"/>
  <c r="J15" i="133"/>
  <c r="J16" i="133"/>
  <c r="J17" i="133"/>
  <c r="J18" i="133"/>
  <c r="J19" i="133"/>
  <c r="J21" i="133"/>
  <c r="D3" i="140"/>
  <c r="D4" i="140"/>
  <c r="D5" i="140"/>
  <c r="J23" i="133"/>
  <c r="J24" i="133"/>
  <c r="J25" i="133"/>
  <c r="J27" i="133"/>
  <c r="J28" i="133"/>
  <c r="J30" i="133"/>
  <c r="J31" i="133"/>
  <c r="J32" i="133"/>
  <c r="D6" i="140"/>
  <c r="D7" i="140"/>
  <c r="E8" i="140"/>
  <c r="E45" i="140"/>
  <c r="I7" i="133"/>
  <c r="I8" i="133"/>
  <c r="I9" i="133"/>
  <c r="I10" i="133"/>
  <c r="I13" i="133"/>
  <c r="I14" i="133"/>
  <c r="I15" i="133"/>
  <c r="I16" i="133"/>
  <c r="I17" i="133"/>
  <c r="I18" i="133"/>
  <c r="I19" i="133"/>
  <c r="I21" i="133"/>
  <c r="C3" i="140"/>
  <c r="C4" i="140"/>
  <c r="C5" i="140"/>
  <c r="I23" i="133"/>
  <c r="I24" i="133"/>
  <c r="I25" i="133"/>
  <c r="I27" i="133"/>
  <c r="I28" i="133"/>
  <c r="I30" i="133"/>
  <c r="I31" i="133"/>
  <c r="I32" i="133"/>
  <c r="C6" i="140"/>
  <c r="C7" i="140"/>
  <c r="D8" i="140"/>
  <c r="D45" i="140"/>
  <c r="B7" i="140"/>
  <c r="C8" i="140"/>
  <c r="C45" i="140"/>
  <c r="B45" i="140"/>
  <c r="E44" i="140"/>
  <c r="D44" i="140"/>
  <c r="C44" i="140"/>
  <c r="B44" i="140"/>
  <c r="E43" i="140"/>
  <c r="D43" i="140"/>
  <c r="C43" i="140"/>
  <c r="B43" i="140"/>
  <c r="E42" i="140"/>
  <c r="D42" i="140"/>
  <c r="C42" i="140"/>
  <c r="B42" i="140"/>
  <c r="E41" i="140"/>
  <c r="D41" i="140"/>
  <c r="C41" i="140"/>
  <c r="B41" i="140"/>
  <c r="E40" i="140"/>
  <c r="D40" i="140"/>
  <c r="C40" i="140"/>
  <c r="B40" i="140"/>
  <c r="K3" i="134"/>
  <c r="K4" i="134"/>
  <c r="K5" i="134"/>
  <c r="K6" i="134"/>
  <c r="K7" i="134"/>
  <c r="K8" i="134"/>
  <c r="K9" i="134"/>
  <c r="K10" i="134"/>
  <c r="K11" i="134"/>
  <c r="K12" i="134"/>
  <c r="K13" i="134"/>
  <c r="E39" i="140"/>
  <c r="J3" i="134"/>
  <c r="J4" i="134"/>
  <c r="J5" i="134"/>
  <c r="J6" i="134"/>
  <c r="J7" i="134"/>
  <c r="J8" i="134"/>
  <c r="J9" i="134"/>
  <c r="J10" i="134"/>
  <c r="J11" i="134"/>
  <c r="J12" i="134"/>
  <c r="J13" i="134"/>
  <c r="D39" i="140"/>
  <c r="I3" i="134"/>
  <c r="I4" i="134"/>
  <c r="I5" i="134"/>
  <c r="I6" i="134"/>
  <c r="I7" i="134"/>
  <c r="I8" i="134"/>
  <c r="I9" i="134"/>
  <c r="I10" i="134"/>
  <c r="I11" i="134"/>
  <c r="I12" i="134"/>
  <c r="I13" i="134"/>
  <c r="C39" i="140"/>
  <c r="H3" i="134"/>
  <c r="H4" i="134"/>
  <c r="H5" i="134"/>
  <c r="H6" i="134"/>
  <c r="H7" i="134"/>
  <c r="H8" i="134"/>
  <c r="H9" i="134"/>
  <c r="H10" i="134"/>
  <c r="H11" i="134"/>
  <c r="H12" i="134"/>
  <c r="H13" i="134"/>
  <c r="B39" i="140"/>
  <c r="E38" i="140"/>
  <c r="D38" i="140"/>
  <c r="C38" i="140"/>
  <c r="B38" i="140"/>
  <c r="E36" i="140"/>
  <c r="D36" i="140"/>
  <c r="C36" i="140"/>
  <c r="B36" i="140"/>
  <c r="E35" i="140"/>
  <c r="D35" i="140"/>
  <c r="C35" i="140"/>
  <c r="B35" i="140"/>
  <c r="E34" i="140"/>
  <c r="D34" i="140"/>
  <c r="C34" i="140"/>
  <c r="B34" i="140"/>
  <c r="E33" i="140"/>
  <c r="D33" i="140"/>
  <c r="C33" i="140"/>
  <c r="B33" i="140"/>
  <c r="E32" i="140"/>
  <c r="D32" i="140"/>
  <c r="C32" i="140"/>
  <c r="B32" i="140"/>
  <c r="E30" i="140"/>
  <c r="D30" i="140"/>
  <c r="C30" i="140"/>
  <c r="B30" i="140"/>
  <c r="E29" i="140"/>
  <c r="D29" i="140"/>
  <c r="C29" i="140"/>
  <c r="B29" i="140"/>
  <c r="K47" i="133"/>
  <c r="K48" i="133"/>
  <c r="K49" i="133"/>
  <c r="K50" i="133"/>
  <c r="K51" i="133"/>
  <c r="K52" i="133"/>
  <c r="K53" i="133"/>
  <c r="E28" i="140"/>
  <c r="J47" i="133"/>
  <c r="J48" i="133"/>
  <c r="J49" i="133"/>
  <c r="J50" i="133"/>
  <c r="J51" i="133"/>
  <c r="J52" i="133"/>
  <c r="J53" i="133"/>
  <c r="D28" i="140"/>
  <c r="I47" i="133"/>
  <c r="I48" i="133"/>
  <c r="I49" i="133"/>
  <c r="I50" i="133"/>
  <c r="I51" i="133"/>
  <c r="I52" i="133"/>
  <c r="I53" i="133"/>
  <c r="C28" i="140"/>
  <c r="H47" i="133"/>
  <c r="H48" i="133"/>
  <c r="H49" i="133"/>
  <c r="H50" i="133"/>
  <c r="H51" i="133"/>
  <c r="H52" i="133"/>
  <c r="H53" i="133"/>
  <c r="B28" i="140"/>
  <c r="E9" i="140"/>
  <c r="E27" i="140"/>
  <c r="D9" i="140"/>
  <c r="D27" i="140"/>
  <c r="C9" i="140"/>
  <c r="C27" i="140"/>
  <c r="B9" i="140"/>
  <c r="B27" i="140"/>
  <c r="E10" i="140"/>
  <c r="E11" i="140"/>
  <c r="E26" i="140"/>
  <c r="D10" i="140"/>
  <c r="D11" i="140"/>
  <c r="D26" i="140"/>
  <c r="C10" i="140"/>
  <c r="C11" i="140"/>
  <c r="C26" i="140"/>
  <c r="B10" i="140"/>
  <c r="B11" i="140"/>
  <c r="B26" i="140"/>
  <c r="E14" i="140"/>
  <c r="D14" i="140"/>
  <c r="C14" i="140"/>
  <c r="B19" i="134"/>
  <c r="B22" i="134"/>
  <c r="B25" i="134"/>
  <c r="H18" i="134"/>
  <c r="C19" i="134"/>
  <c r="C22" i="134"/>
  <c r="C25" i="134"/>
  <c r="I18" i="134"/>
  <c r="D19" i="134"/>
  <c r="D22" i="134"/>
  <c r="D25" i="134"/>
  <c r="J18" i="134"/>
  <c r="E19" i="134"/>
  <c r="E22" i="134"/>
  <c r="E25" i="134"/>
  <c r="K18" i="134"/>
  <c r="F19" i="134"/>
  <c r="F22" i="134"/>
  <c r="F25" i="134"/>
  <c r="L18" i="134"/>
  <c r="H19" i="134"/>
  <c r="I19" i="134"/>
  <c r="J19" i="134"/>
  <c r="K19" i="134"/>
  <c r="L19" i="134"/>
  <c r="H20" i="134"/>
  <c r="I20" i="134"/>
  <c r="J20" i="134"/>
  <c r="K20" i="134"/>
  <c r="L20" i="134"/>
  <c r="H21" i="134"/>
  <c r="I21" i="134"/>
  <c r="J21" i="134"/>
  <c r="K21" i="134"/>
  <c r="L21" i="134"/>
  <c r="H22" i="134"/>
  <c r="I22" i="134"/>
  <c r="J22" i="134"/>
  <c r="K22" i="134"/>
  <c r="L22" i="134"/>
  <c r="H23" i="134"/>
  <c r="I23" i="134"/>
  <c r="J23" i="134"/>
  <c r="K23" i="134"/>
  <c r="L23" i="134"/>
  <c r="H24" i="134"/>
  <c r="I24" i="134"/>
  <c r="J24" i="134"/>
  <c r="K24" i="134"/>
  <c r="L24" i="134"/>
  <c r="H25" i="134"/>
  <c r="I25" i="134"/>
  <c r="J25" i="134"/>
  <c r="K25" i="134"/>
  <c r="L25" i="134"/>
  <c r="H34" i="133"/>
  <c r="I34" i="133"/>
  <c r="J34" i="133"/>
  <c r="K34" i="133"/>
  <c r="H35" i="133"/>
  <c r="I35" i="133"/>
  <c r="J35" i="133"/>
  <c r="K35" i="133"/>
  <c r="L35" i="133"/>
  <c r="H36" i="133"/>
  <c r="I36" i="133"/>
  <c r="J36" i="133"/>
  <c r="K36" i="133"/>
  <c r="L36" i="133"/>
  <c r="H37" i="133"/>
  <c r="I37" i="133"/>
  <c r="J37" i="133"/>
  <c r="K37" i="133"/>
  <c r="L37" i="133"/>
  <c r="H38" i="133"/>
  <c r="I38" i="133"/>
  <c r="J38" i="133"/>
  <c r="K38" i="133"/>
  <c r="L38" i="133"/>
  <c r="H42" i="133"/>
  <c r="I42" i="133"/>
  <c r="J42" i="133"/>
  <c r="K42" i="133"/>
  <c r="H43" i="133"/>
  <c r="I43" i="133"/>
  <c r="J43" i="133"/>
  <c r="K43" i="133"/>
  <c r="H44" i="133"/>
  <c r="I44" i="133"/>
  <c r="J44" i="133"/>
  <c r="K44" i="133"/>
  <c r="H45" i="133"/>
  <c r="I45" i="133"/>
  <c r="J45" i="133"/>
  <c r="K45" i="133"/>
  <c r="H55" i="133"/>
  <c r="I55" i="133"/>
  <c r="J55" i="133"/>
  <c r="K55" i="133"/>
  <c r="L55" i="133"/>
  <c r="B31" i="133"/>
  <c r="B35" i="133"/>
  <c r="B45" i="133"/>
  <c r="B46" i="133"/>
  <c r="C31" i="133"/>
  <c r="C35" i="133"/>
  <c r="C45" i="133"/>
  <c r="C46" i="133"/>
  <c r="D31" i="133"/>
  <c r="D35" i="133"/>
  <c r="D45" i="133"/>
  <c r="D46" i="133"/>
  <c r="E31" i="133"/>
  <c r="E35" i="133"/>
  <c r="E45" i="133"/>
  <c r="E46" i="133"/>
  <c r="F31" i="133"/>
  <c r="F35" i="133"/>
  <c r="F45" i="133"/>
  <c r="F46" i="133"/>
  <c r="E10" i="133"/>
  <c r="E19" i="133"/>
  <c r="D10" i="133"/>
  <c r="D19" i="133"/>
  <c r="C10" i="133"/>
  <c r="C19" i="133"/>
  <c r="B10" i="133"/>
  <c r="B19" i="133"/>
  <c r="F10" i="133"/>
  <c r="F19" i="133"/>
  <c r="A1" i="138"/>
  <c r="D27" i="139"/>
  <c r="I24" i="138"/>
  <c r="C27" i="139"/>
  <c r="I23" i="138"/>
  <c r="I22" i="138"/>
  <c r="I18" i="138"/>
  <c r="D26" i="139"/>
  <c r="I20" i="138"/>
  <c r="C26" i="139"/>
  <c r="I19" i="138"/>
  <c r="D25" i="139"/>
  <c r="I15" i="138"/>
  <c r="C25" i="139"/>
  <c r="I14" i="138"/>
  <c r="I13" i="138"/>
  <c r="I11" i="138"/>
  <c r="I10" i="138"/>
  <c r="I9" i="138"/>
  <c r="I7" i="138"/>
  <c r="I6" i="138"/>
  <c r="I5" i="138"/>
  <c r="D22" i="139"/>
  <c r="G22" i="138"/>
  <c r="C16" i="139"/>
  <c r="C22" i="139"/>
  <c r="G21" i="138"/>
  <c r="G20" i="138"/>
  <c r="D21" i="139"/>
  <c r="G11" i="138"/>
  <c r="G10" i="138"/>
  <c r="G9" i="138"/>
  <c r="E20" i="138"/>
  <c r="E19" i="138"/>
  <c r="E18" i="138"/>
  <c r="E14" i="138"/>
  <c r="C4" i="139"/>
  <c r="C7" i="139"/>
  <c r="C19" i="139"/>
  <c r="E13" i="138"/>
  <c r="E12" i="138"/>
  <c r="C17" i="138"/>
  <c r="C18" i="139"/>
  <c r="C16" i="138"/>
  <c r="B10" i="138"/>
  <c r="B9" i="138"/>
  <c r="C15" i="138"/>
  <c r="B8" i="138"/>
  <c r="B7" i="138"/>
  <c r="G11" i="140"/>
</calcChain>
</file>

<file path=xl/sharedStrings.xml><?xml version="1.0" encoding="utf-8"?>
<sst xmlns="http://schemas.openxmlformats.org/spreadsheetml/2006/main" count="326" uniqueCount="241">
  <si>
    <t>Operating costs:</t>
  </si>
  <si>
    <t>Cost of goods sold</t>
  </si>
  <si>
    <t>Research and development expenses</t>
  </si>
  <si>
    <t>Goodwill impairment charge</t>
  </si>
  <si>
    <t>Other operating (income) expenses</t>
  </si>
  <si>
    <t>Total operating costs</t>
  </si>
  <si>
    <t>Operating profit</t>
  </si>
  <si>
    <t>Other income (expense)</t>
  </si>
  <si>
    <t>Provision (benefit) for income taxes</t>
  </si>
  <si>
    <t>Equity in profit (loss) of unconsolidated affiliated companies</t>
  </si>
  <si>
    <t>Profit of consolidated and affiliated companies</t>
  </si>
  <si>
    <t>Less: Profit (loss) attributable to noncontrolling interests</t>
  </si>
  <si>
    <t>Cash and short-term investments</t>
  </si>
  <si>
    <t>Receivables - trade and other</t>
  </si>
  <si>
    <t>Deferred and refundable income taxes</t>
  </si>
  <si>
    <t>Prepaid expenses and other current assets</t>
  </si>
  <si>
    <t>Inventories</t>
  </si>
  <si>
    <t>Total current assets</t>
  </si>
  <si>
    <t>Long-term receivables - trade and other</t>
  </si>
  <si>
    <t>Investments in unconsolidated affiliated companies</t>
  </si>
  <si>
    <t>Noncurrent deferred and refundable income taxes</t>
  </si>
  <si>
    <t>Intangible assets</t>
  </si>
  <si>
    <t>Goodwill</t>
  </si>
  <si>
    <t>Other assets</t>
  </si>
  <si>
    <t>Total assets</t>
  </si>
  <si>
    <t>Accounts payable</t>
  </si>
  <si>
    <t>Accrued expenses</t>
  </si>
  <si>
    <t>Customer advances</t>
  </si>
  <si>
    <t>Dividends payable</t>
  </si>
  <si>
    <t>Other current liabilities</t>
  </si>
  <si>
    <t>Total current liabilities</t>
  </si>
  <si>
    <t>Other liabilities</t>
  </si>
  <si>
    <t>Total liabilities</t>
  </si>
  <si>
    <t>Stockholders' equity</t>
  </si>
  <si>
    <t>Total stockholders' equity</t>
  </si>
  <si>
    <t>Treasury stock</t>
  </si>
  <si>
    <t>Assets</t>
  </si>
  <si>
    <t>Liabilities</t>
  </si>
  <si>
    <t>Redeemable noncontrolling interest</t>
  </si>
  <si>
    <t>Common stock</t>
  </si>
  <si>
    <t>Current liabilities:</t>
  </si>
  <si>
    <t>Retained earnings</t>
  </si>
  <si>
    <t>Short-term borrowings</t>
  </si>
  <si>
    <t>Long-term debt due within one year</t>
  </si>
  <si>
    <t>Long-term debt due after one year</t>
  </si>
  <si>
    <t>Operating working capital</t>
  </si>
  <si>
    <t>Net property, plant &amp; equipment</t>
  </si>
  <si>
    <t xml:space="preserve">     Invested capital</t>
  </si>
  <si>
    <t>Operating cash taxes</t>
  </si>
  <si>
    <t xml:space="preserve">     NOPLAT</t>
  </si>
  <si>
    <t>ROIC (on year end IC)</t>
  </si>
  <si>
    <t>Reconciliation with net income</t>
  </si>
  <si>
    <t>Net income</t>
  </si>
  <si>
    <t>After tax interest expense</t>
  </si>
  <si>
    <t>NOPLAT</t>
  </si>
  <si>
    <t>Capitalized operating leases</t>
  </si>
  <si>
    <t>Net other assets</t>
  </si>
  <si>
    <t>Net investment</t>
  </si>
  <si>
    <t>Equity</t>
  </si>
  <si>
    <t>ROIC (on year end invested capital)</t>
  </si>
  <si>
    <t>Adjusted debt/invested capital</t>
  </si>
  <si>
    <t>Equity/invested capital</t>
  </si>
  <si>
    <t>Tax rate</t>
  </si>
  <si>
    <t>Growth (NOPLAT)</t>
  </si>
  <si>
    <t>Investment rate (net investment/NOPLAT)</t>
  </si>
  <si>
    <t>Cost of sales/net sales</t>
  </si>
  <si>
    <t>SG&amp;A/net sales</t>
  </si>
  <si>
    <t>Depreciation &amp; amortization/net sales</t>
  </si>
  <si>
    <t>Adjusted EBIT/net sales</t>
  </si>
  <si>
    <t>NOPLAT/net sales</t>
  </si>
  <si>
    <t>Net Sales/invested capital</t>
  </si>
  <si>
    <t>Operating working capital/net sales</t>
  </si>
  <si>
    <t>Net PP&amp;E/net sales</t>
  </si>
  <si>
    <t>Net other assets/net sales</t>
  </si>
  <si>
    <t xml:space="preserve">    Free cash flow</t>
  </si>
  <si>
    <t>Gross Profit Margin</t>
  </si>
  <si>
    <t>Operating Margin</t>
  </si>
  <si>
    <t>SG&amp;A/Sales</t>
  </si>
  <si>
    <t>Pre-Tax ROIC</t>
  </si>
  <si>
    <t>Depreciation/Sales</t>
  </si>
  <si>
    <t>ROIC</t>
  </si>
  <si>
    <t>Tax Rate</t>
  </si>
  <si>
    <t>OWC/Sales</t>
  </si>
  <si>
    <t>Sales/IC</t>
  </si>
  <si>
    <t>NFA/Sales</t>
  </si>
  <si>
    <t>Deere &amp; Co.</t>
  </si>
  <si>
    <t>Joy Global</t>
  </si>
  <si>
    <t>Sales</t>
  </si>
  <si>
    <t>EBIT</t>
  </si>
  <si>
    <t>Adjustments for Retirement Libability</t>
  </si>
  <si>
    <t>Operating Lease Interest</t>
  </si>
  <si>
    <t>Adjusted EBIT</t>
  </si>
  <si>
    <t>Pre-tax ROIC</t>
  </si>
  <si>
    <t>Currents assets:</t>
  </si>
  <si>
    <t>Property, plant, and equipment - net</t>
  </si>
  <si>
    <t>Accrued wages, salaries, and employee benefits</t>
  </si>
  <si>
    <t>Liabilities for postemployment benefits</t>
  </si>
  <si>
    <t>Accumulated other comprensive income (loss)</t>
  </si>
  <si>
    <t>Noncontrolling interest</t>
  </si>
  <si>
    <t>Total liabilities and stockholders' equity</t>
  </si>
  <si>
    <t>(Millions of dollars)</t>
  </si>
  <si>
    <t>Selling, general, and administrative expenses</t>
  </si>
  <si>
    <t>Interest expense</t>
  </si>
  <si>
    <t>Profit before taxes</t>
  </si>
  <si>
    <t>Equity in profit of Financial Products' subsidiaries</t>
  </si>
  <si>
    <t>Profit after taxes</t>
  </si>
  <si>
    <t>Invested Capital</t>
  </si>
  <si>
    <t>Balance Sheet</t>
  </si>
  <si>
    <t>Total funds invested: Uses</t>
  </si>
  <si>
    <t>Investments in Financial Products subsidiaries</t>
  </si>
  <si>
    <t>Gross profit</t>
  </si>
  <si>
    <t>ROIC Decomposition</t>
  </si>
  <si>
    <t>Implied after-tax lease interest</t>
  </si>
  <si>
    <t>Income Statement</t>
  </si>
  <si>
    <t>After tax profit (loss) attributable to noncontrolling interests</t>
  </si>
  <si>
    <r>
      <rPr>
        <sz val="12"/>
        <color theme="1"/>
        <rFont val="Times New Roman"/>
        <family val="2"/>
      </rPr>
      <t>After tax e</t>
    </r>
    <r>
      <rPr>
        <sz val="12"/>
        <color theme="1"/>
        <rFont val="Times New Roman"/>
        <family val="2"/>
      </rPr>
      <t>quity in profit (loss) of unconsolidated affiliated companies</t>
    </r>
  </si>
  <si>
    <r>
      <rPr>
        <sz val="12"/>
        <color theme="1"/>
        <rFont val="Times New Roman"/>
        <family val="2"/>
      </rPr>
      <t>After tax e</t>
    </r>
    <r>
      <rPr>
        <sz val="12"/>
        <color theme="1"/>
        <rFont val="Times New Roman"/>
        <family val="2"/>
      </rPr>
      <t>quity in profit of Financial Products' subsidiaries</t>
    </r>
  </si>
  <si>
    <t>After tax other income (expense)</t>
  </si>
  <si>
    <t>Selling, general, &amp; administrative expenses</t>
  </si>
  <si>
    <t>Working cash</t>
  </si>
  <si>
    <t>Invested capital</t>
  </si>
  <si>
    <t>Total funds invested: Sources</t>
  </si>
  <si>
    <t>Short-term debt</t>
  </si>
  <si>
    <t>Long-term debt</t>
  </si>
  <si>
    <t>Total funds invested</t>
  </si>
  <si>
    <t>Equity and equity equivalents</t>
  </si>
  <si>
    <r>
      <rPr>
        <sz val="12"/>
        <color theme="1"/>
        <rFont val="Times New Roman"/>
        <family val="2"/>
      </rPr>
      <t>Operating c</t>
    </r>
    <r>
      <rPr>
        <sz val="12"/>
        <color theme="1"/>
        <rFont val="Times New Roman"/>
        <family val="2"/>
      </rPr>
      <t>urrent assets:</t>
    </r>
  </si>
  <si>
    <t>Total operating current assets:</t>
  </si>
  <si>
    <t>Operating current liabilities:</t>
  </si>
  <si>
    <t>Total operating current liabilities:</t>
  </si>
  <si>
    <t>Net operating working capital</t>
  </si>
  <si>
    <t>Intagible assets</t>
  </si>
  <si>
    <t>Invested capital (without intangible assets and goodwill)</t>
  </si>
  <si>
    <t>Non-equity equivalent deferred taxes</t>
  </si>
  <si>
    <t>Interest rate</t>
  </si>
  <si>
    <t>Operating lease interest/net sales</t>
  </si>
  <si>
    <t>Adjustment for retirement liability/net sales</t>
  </si>
  <si>
    <t>Capitalized operating leases/net sales</t>
  </si>
  <si>
    <t>Present value of operating lease liability payments</t>
  </si>
  <si>
    <t>Debt, less excess cash and dividends payable</t>
  </si>
  <si>
    <t>Sales growth</t>
  </si>
  <si>
    <t xml:space="preserve">     EBIT</t>
  </si>
  <si>
    <r>
      <rPr>
        <sz val="12"/>
        <color theme="1"/>
        <rFont val="Times New Roman"/>
        <family val="2"/>
      </rPr>
      <t>Estimated p</t>
    </r>
    <r>
      <rPr>
        <sz val="12"/>
        <color theme="1"/>
        <rFont val="Times New Roman"/>
        <family val="2"/>
      </rPr>
      <t>resent value of operating lease liability payments</t>
    </r>
  </si>
  <si>
    <t>N/A</t>
  </si>
  <si>
    <t>(Increase) decrease in working capital</t>
  </si>
  <si>
    <t>(Increase) decrease in net PPE</t>
  </si>
  <si>
    <t>(Increase) decrease in net other operating assets</t>
  </si>
  <si>
    <t xml:space="preserve">   Free cash flow</t>
  </si>
  <si>
    <t>After tax interest on existing debt</t>
  </si>
  <si>
    <t>Debt payment</t>
  </si>
  <si>
    <t>Dividends¹</t>
  </si>
  <si>
    <t xml:space="preserve">   Cash flow from existing financing </t>
  </si>
  <si>
    <t>Funding surplus (deficit)</t>
  </si>
  <si>
    <t>(Increase) decrease in excess cash</t>
  </si>
  <si>
    <t>New Equity issuance (repayment)</t>
  </si>
  <si>
    <t>New Debt issuance (repayment)</t>
  </si>
  <si>
    <t xml:space="preserve">   New funding</t>
  </si>
  <si>
    <t>Beginning Year Debt</t>
  </si>
  <si>
    <t>Existing Debt Payment</t>
  </si>
  <si>
    <t xml:space="preserve">   Ending Year Debt </t>
  </si>
  <si>
    <t xml:space="preserve">Interest Rate on Debt </t>
  </si>
  <si>
    <t>Interest Expense on Beginning Year Debt</t>
  </si>
  <si>
    <t>Beginning Year Excess Cash</t>
  </si>
  <si>
    <t>Change in Excess Cash</t>
  </si>
  <si>
    <t>Ending Year Excess Cash</t>
  </si>
  <si>
    <t>¹Rate of increase of dividends</t>
  </si>
  <si>
    <t>Funding Statement</t>
  </si>
  <si>
    <t>WACC Calculation</t>
  </si>
  <si>
    <t>Debt</t>
  </si>
  <si>
    <t>Total debt</t>
  </si>
  <si>
    <t>WACC</t>
  </si>
  <si>
    <t>Total equity</t>
  </si>
  <si>
    <t>Equity as percentage of capital structure</t>
  </si>
  <si>
    <t>Debt as percentage of capital structure</t>
  </si>
  <si>
    <t>After-tax cost of debt¹</t>
  </si>
  <si>
    <t>¹Calculated as the average of the yield to maturity of Caterpillar's long-term debt</t>
  </si>
  <si>
    <t>CNH Global NV</t>
  </si>
  <si>
    <t>Terex</t>
  </si>
  <si>
    <t>Levered beta</t>
  </si>
  <si>
    <t>Unlevered beta</t>
  </si>
  <si>
    <r>
      <t>Cost of equity</t>
    </r>
    <r>
      <rPr>
        <vertAlign val="superscript"/>
        <sz val="12"/>
        <color theme="1"/>
        <rFont val="Times New Roman"/>
      </rPr>
      <t>3</t>
    </r>
  </si>
  <si>
    <r>
      <t>Market value of equity</t>
    </r>
    <r>
      <rPr>
        <vertAlign val="superscript"/>
        <sz val="12"/>
        <color theme="1"/>
        <rFont val="Times New Roman"/>
      </rPr>
      <t>2</t>
    </r>
  </si>
  <si>
    <r>
      <t>Unlevered beta</t>
    </r>
    <r>
      <rPr>
        <vertAlign val="superscript"/>
        <sz val="12"/>
        <color theme="1"/>
        <rFont val="Times New Roman"/>
      </rPr>
      <t>4</t>
    </r>
  </si>
  <si>
    <r>
      <rPr>
        <vertAlign val="superscript"/>
        <sz val="12"/>
        <color theme="1"/>
        <rFont val="Times New Roman"/>
      </rPr>
      <t>4</t>
    </r>
    <r>
      <rPr>
        <sz val="12"/>
        <color theme="1"/>
        <rFont val="Times New Roman"/>
        <family val="2"/>
      </rPr>
      <t>Calculated as the average of Caterpillar's competitors' unlevered betas</t>
    </r>
  </si>
  <si>
    <r>
      <rPr>
        <vertAlign val="superscript"/>
        <sz val="12"/>
        <color theme="1"/>
        <rFont val="Times New Roman"/>
      </rPr>
      <t>3</t>
    </r>
    <r>
      <rPr>
        <sz val="12"/>
        <color theme="1"/>
        <rFont val="Times New Roman"/>
        <family val="2"/>
      </rPr>
      <t>We used the ten-year S&amp;P 500 geometric average return for the market return and the 10-year Treasury Bond yield for the risk free rate</t>
    </r>
  </si>
  <si>
    <t>Key Assumptions of Valuation Model</t>
  </si>
  <si>
    <t>Ticker Symbol</t>
  </si>
  <si>
    <t>Current Share Price</t>
  </si>
  <si>
    <t>CAT</t>
  </si>
  <si>
    <t>Fiscal Year End</t>
  </si>
  <si>
    <t>Working Cash (as percentage of sales)</t>
  </si>
  <si>
    <t>Risk-Free Rate</t>
  </si>
  <si>
    <t>Market Return</t>
  </si>
  <si>
    <t>After-Tax Cost of Debt</t>
  </si>
  <si>
    <t>Levered Beta</t>
  </si>
  <si>
    <t>Terminal Period Cost of Sales (as percentage of sales)</t>
  </si>
  <si>
    <t>Terminal Period ROIC</t>
  </si>
  <si>
    <t>Actual</t>
  </si>
  <si>
    <t>Forecasted</t>
  </si>
  <si>
    <t>Terminal Period Dividen Growth</t>
  </si>
  <si>
    <t>Muhammed Khan       |       William Foiles       |       Matthew Retzloff</t>
  </si>
  <si>
    <t>Valuation Research Report</t>
  </si>
  <si>
    <t>DCF Price Result</t>
  </si>
  <si>
    <t>Free Cash Flow</t>
  </si>
  <si>
    <t>Discounted Free Cash Flow</t>
  </si>
  <si>
    <t>Terminal Value</t>
  </si>
  <si>
    <t>Terminal Period Growth</t>
  </si>
  <si>
    <t>Shares Outstanding</t>
  </si>
  <si>
    <t>Operating Value</t>
  </si>
  <si>
    <r>
      <t>Excess Cash</t>
    </r>
    <r>
      <rPr>
        <vertAlign val="superscript"/>
        <sz val="12"/>
        <color theme="1"/>
        <rFont val="Times New Roman"/>
      </rPr>
      <t>1</t>
    </r>
  </si>
  <si>
    <r>
      <t>1</t>
    </r>
    <r>
      <rPr>
        <sz val="12"/>
        <color theme="1"/>
        <rFont val="Times New Roman"/>
        <family val="2"/>
      </rPr>
      <t>We used 2012 Excess Cash</t>
    </r>
  </si>
  <si>
    <t>Enterprise Value</t>
  </si>
  <si>
    <r>
      <t>Debt and debt equivalents</t>
    </r>
    <r>
      <rPr>
        <vertAlign val="superscript"/>
        <sz val="12"/>
        <color theme="1"/>
        <rFont val="Times New Roman"/>
      </rPr>
      <t>2</t>
    </r>
  </si>
  <si>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  <family val="2"/>
      </rPr>
      <t>We used 2012 Debt and Debt Equivalents</t>
    </r>
  </si>
  <si>
    <t>Equity Value</t>
  </si>
  <si>
    <t>Equity Value per Share</t>
  </si>
  <si>
    <t>Shares Outstanding (in millions)</t>
  </si>
  <si>
    <t>Terminal Growth Rate</t>
  </si>
  <si>
    <t>Discount Rate</t>
  </si>
  <si>
    <t>Forecast and Matrix</t>
  </si>
  <si>
    <t>Equity Value Per Share Sensitivity Tablw</t>
  </si>
  <si>
    <t>operating value table</t>
  </si>
  <si>
    <t>TV table</t>
  </si>
  <si>
    <t>EBIT to NOPLAT</t>
  </si>
  <si>
    <t>Profit less taxes for IS</t>
  </si>
  <si>
    <t>Tax rate (why is this different from EBIT?)</t>
  </si>
  <si>
    <t>Why add after tax to net come?</t>
  </si>
  <si>
    <t>Which taxes do you add and which do you subtract?</t>
  </si>
  <si>
    <t>no plat start with sales-&gt;Ebit</t>
  </si>
  <si>
    <t>Balance Sheet- operating liabilites, operating assets</t>
  </si>
  <si>
    <t>Other liabilities (already counted in net operating working capital?)</t>
  </si>
  <si>
    <t xml:space="preserve">net operating+property plant </t>
  </si>
  <si>
    <r>
      <t xml:space="preserve">Debt and debt </t>
    </r>
    <r>
      <rPr>
        <b/>
        <sz val="12"/>
        <color theme="1"/>
        <rFont val="Times New Roman"/>
        <family val="1"/>
      </rPr>
      <t>equivalents?</t>
    </r>
  </si>
  <si>
    <t>Common stock when do we subtract this? Only when outstanding?</t>
  </si>
  <si>
    <t>Customer advances (to customers)</t>
  </si>
  <si>
    <r>
      <rPr>
        <b/>
        <sz val="12"/>
        <color theme="1"/>
        <rFont val="Times New Roman"/>
        <family val="1"/>
      </rPr>
      <t>Excess cash</t>
    </r>
    <r>
      <rPr>
        <sz val="12"/>
        <color theme="1"/>
        <rFont val="Times New Roman"/>
        <family val="2"/>
      </rPr>
      <t>, less dividends</t>
    </r>
  </si>
  <si>
    <r>
      <rPr>
        <b/>
        <sz val="12"/>
        <color theme="1"/>
        <rFont val="Times New Roman"/>
        <family val="1"/>
      </rPr>
      <t xml:space="preserve">Investments </t>
    </r>
    <r>
      <rPr>
        <sz val="12"/>
        <color theme="1"/>
        <rFont val="Times New Roman"/>
        <family val="2"/>
      </rPr>
      <t>in unconsolidated affiliated companies</t>
    </r>
  </si>
  <si>
    <t>FCF/(1+WACC)</t>
  </si>
  <si>
    <t>sum of DCF+excess</t>
  </si>
  <si>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Current market capitalization</t>
    </r>
  </si>
  <si>
    <t xml:space="preserve">lveraged of competitor/(1-t)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</si>
</sst>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$-409]mmmm\ d\,\ yyyy;@"/>
    <numFmt numFmtId="165" formatCode="&quot;Caterpillar:&quot;\ 0%"/>
    <numFmt numFmtId="166" formatCode="&quot;Joy Global:&quot;\ 0%"/>
    <numFmt numFmtId="167" formatCode="&quot;Deere &amp; Co.:&quot;\ 0%"/>
    <numFmt numFmtId="168" formatCode="#,##0;\(#,##0\)"/>
    <numFmt numFmtId="169" formatCode="0%;\(0%\)"/>
    <numFmt numFmtId="170" formatCode="&quot;$&quot;* #,##0;&quot;$&quot;* \(#,##0\)"/>
    <numFmt numFmtId="171" formatCode="#,##0.00;\(#,##0.00\)"/>
    <numFmt numFmtId="172" formatCode="&quot;$&quot;#,##0.00;\(&quot;$&quot;#,##0.00\)"/>
    <numFmt numFmtId="173" formatCode="mmmm\ dd"/>
    <numFmt numFmtId="174" formatCode="0.00%;\(0.00%\)"/>
    <numFmt numFmtId="175" formatCode="&quot;$&quot;* #,##0.00;&quot;$&quot;* \(#,##0.00\)"/>
  </numFmts>
  <fonts count="5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name val="Times New Roman"/>
    </font>
    <font>
      <b/>
      <u/>
      <sz val="12"/>
      <color theme="1"/>
      <name val="Times New Roman"/>
    </font>
    <font>
      <u/>
      <sz val="12"/>
      <color theme="1"/>
      <name val="Times New Roman"/>
    </font>
    <font>
      <sz val="12"/>
      <color rgb="FFFF0000"/>
      <name val="Times New Roman"/>
    </font>
    <font>
      <sz val="8"/>
      <name val="Calibri"/>
      <family val="2"/>
      <scheme val="minor"/>
    </font>
    <font>
      <sz val="12"/>
      <color rgb="FF000000"/>
      <name val="Times New Roman"/>
      <family val="2"/>
    </font>
    <font>
      <b/>
      <sz val="12"/>
      <name val="Times New Roman"/>
    </font>
    <font>
      <sz val="12"/>
      <color theme="0"/>
      <name val="Times New Roman"/>
    </font>
    <font>
      <b/>
      <u/>
      <sz val="12"/>
      <name val="Times New Roman"/>
    </font>
    <font>
      <vertAlign val="superscript"/>
      <sz val="12"/>
      <color theme="1"/>
      <name val="Times New Roman"/>
    </font>
    <font>
      <sz val="12"/>
      <color rgb="FF0000FF"/>
      <name val="Times New Roman"/>
    </font>
    <font>
      <sz val="28"/>
      <color theme="1"/>
      <name val="Times New Roman"/>
    </font>
    <font>
      <b/>
      <sz val="22"/>
      <color theme="1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71">
    <xf numFmtId="0" fontId="0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13" fillId="8" borderId="8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9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1" fillId="0" borderId="0" xfId="0" applyFont="1"/>
    <xf numFmtId="0" fontId="34" fillId="0" borderId="0" xfId="259" applyFont="1"/>
    <xf numFmtId="0" fontId="34" fillId="0" borderId="0" xfId="0" applyFont="1"/>
    <xf numFmtId="10" fontId="11" fillId="0" borderId="0" xfId="252" applyNumberFormat="1" applyFont="1"/>
    <xf numFmtId="9" fontId="11" fillId="0" borderId="0" xfId="0" applyNumberFormat="1" applyFont="1"/>
    <xf numFmtId="0" fontId="30" fillId="0" borderId="0" xfId="0" applyFont="1" applyAlignment="1">
      <alignment horizontal="center"/>
    </xf>
    <xf numFmtId="0" fontId="36" fillId="0" borderId="14" xfId="0" applyFont="1" applyBorder="1" applyAlignment="1">
      <alignment horizontal="center"/>
    </xf>
    <xf numFmtId="0" fontId="35" fillId="0" borderId="0" xfId="0" applyFont="1" applyAlignment="1">
      <alignment horizontal="center" wrapText="1"/>
    </xf>
    <xf numFmtId="165" fontId="11" fillId="0" borderId="0" xfId="252" applyNumberFormat="1" applyFont="1"/>
    <xf numFmtId="8" fontId="11" fillId="0" borderId="0" xfId="0" applyNumberFormat="1" applyFont="1" applyAlignment="1">
      <alignment wrapText="1"/>
    </xf>
    <xf numFmtId="6" fontId="11" fillId="0" borderId="0" xfId="0" applyNumberFormat="1" applyFont="1" applyAlignment="1">
      <alignment wrapText="1"/>
    </xf>
    <xf numFmtId="4" fontId="11" fillId="0" borderId="0" xfId="0" applyNumberFormat="1" applyFont="1" applyAlignment="1">
      <alignment wrapText="1"/>
    </xf>
    <xf numFmtId="4" fontId="11" fillId="0" borderId="0" xfId="0" applyNumberFormat="1" applyFont="1"/>
    <xf numFmtId="0" fontId="37" fillId="0" borderId="0" xfId="0" applyFont="1"/>
    <xf numFmtId="3" fontId="11" fillId="0" borderId="0" xfId="0" applyNumberFormat="1" applyFont="1"/>
    <xf numFmtId="10" fontId="11" fillId="0" borderId="0" xfId="0" applyNumberFormat="1" applyFont="1"/>
    <xf numFmtId="40" fontId="11" fillId="0" borderId="0" xfId="0" applyNumberFormat="1" applyFont="1"/>
    <xf numFmtId="167" fontId="11" fillId="0" borderId="15" xfId="252" applyNumberFormat="1" applyFont="1" applyBorder="1" applyAlignment="1">
      <alignment horizontal="left"/>
    </xf>
    <xf numFmtId="165" fontId="11" fillId="0" borderId="15" xfId="252" applyNumberFormat="1" applyFont="1" applyBorder="1" applyAlignment="1">
      <alignment horizontal="left"/>
    </xf>
    <xf numFmtId="166" fontId="11" fillId="0" borderId="16" xfId="252" applyNumberFormat="1" applyFont="1" applyBorder="1" applyAlignment="1">
      <alignment horizontal="left"/>
    </xf>
    <xf numFmtId="0" fontId="10" fillId="0" borderId="0" xfId="0" applyFont="1"/>
    <xf numFmtId="0" fontId="30" fillId="0" borderId="0" xfId="0" applyFont="1"/>
    <xf numFmtId="164" fontId="30" fillId="0" borderId="1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168" fontId="12" fillId="0" borderId="0" xfId="0" applyNumberFormat="1" applyFont="1"/>
    <xf numFmtId="168" fontId="12" fillId="0" borderId="12" xfId="0" applyNumberFormat="1" applyFont="1" applyBorder="1"/>
    <xf numFmtId="168" fontId="12" fillId="0" borderId="0" xfId="0" applyNumberFormat="1" applyFont="1" applyBorder="1"/>
    <xf numFmtId="168" fontId="12" fillId="0" borderId="10" xfId="0" applyNumberFormat="1" applyFont="1" applyBorder="1"/>
    <xf numFmtId="164" fontId="30" fillId="0" borderId="0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/>
    </xf>
    <xf numFmtId="169" fontId="12" fillId="0" borderId="0" xfId="252" applyNumberFormat="1" applyFont="1"/>
    <xf numFmtId="168" fontId="9" fillId="0" borderId="0" xfId="0" applyNumberFormat="1" applyFont="1"/>
    <xf numFmtId="0" fontId="39" fillId="0" borderId="0" xfId="0" applyFont="1"/>
    <xf numFmtId="0" fontId="8" fillId="0" borderId="0" xfId="0" applyFont="1"/>
    <xf numFmtId="0" fontId="8" fillId="0" borderId="0" xfId="0" applyFont="1" applyBorder="1" applyAlignment="1">
      <alignment horizontal="left"/>
    </xf>
    <xf numFmtId="168" fontId="8" fillId="0" borderId="12" xfId="0" applyNumberFormat="1" applyFont="1" applyBorder="1"/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/>
    </xf>
    <xf numFmtId="0" fontId="40" fillId="0" borderId="0" xfId="0" applyFont="1"/>
    <xf numFmtId="0" fontId="34" fillId="0" borderId="0" xfId="0" applyFont="1" applyAlignment="1">
      <alignment horizontal="left" indent="1"/>
    </xf>
    <xf numFmtId="0" fontId="34" fillId="0" borderId="0" xfId="0" applyFont="1" applyAlignment="1">
      <alignment horizontal="left" indent="2"/>
    </xf>
    <xf numFmtId="168" fontId="34" fillId="0" borderId="0" xfId="0" applyNumberFormat="1" applyFont="1"/>
    <xf numFmtId="168" fontId="34" fillId="0" borderId="12" xfId="0" applyNumberFormat="1" applyFont="1" applyBorder="1"/>
    <xf numFmtId="168" fontId="34" fillId="0" borderId="0" xfId="0" quotePrefix="1" applyNumberFormat="1" applyFont="1"/>
    <xf numFmtId="168" fontId="34" fillId="0" borderId="11" xfId="0" applyNumberFormat="1" applyFont="1" applyBorder="1"/>
    <xf numFmtId="168" fontId="34" fillId="0" borderId="0" xfId="0" applyNumberFormat="1" applyFont="1" applyBorder="1"/>
    <xf numFmtId="168" fontId="34" fillId="0" borderId="10" xfId="0" applyNumberFormat="1" applyFont="1" applyBorder="1"/>
    <xf numFmtId="168" fontId="41" fillId="0" borderId="0" xfId="0" applyNumberFormat="1" applyFont="1"/>
    <xf numFmtId="0" fontId="42" fillId="0" borderId="0" xfId="259" applyFont="1"/>
    <xf numFmtId="0" fontId="6" fillId="0" borderId="0" xfId="0" applyFont="1"/>
    <xf numFmtId="168" fontId="6" fillId="0" borderId="0" xfId="0" applyNumberFormat="1" applyFont="1"/>
    <xf numFmtId="170" fontId="12" fillId="0" borderId="0" xfId="0" applyNumberFormat="1" applyFont="1"/>
    <xf numFmtId="170" fontId="12" fillId="0" borderId="13" xfId="0" applyNumberFormat="1" applyFont="1" applyBorder="1"/>
    <xf numFmtId="0" fontId="5" fillId="0" borderId="0" xfId="0" applyFont="1"/>
    <xf numFmtId="170" fontId="5" fillId="0" borderId="0" xfId="0" applyNumberFormat="1" applyFont="1"/>
    <xf numFmtId="168" fontId="5" fillId="0" borderId="0" xfId="0" applyNumberFormat="1" applyFont="1"/>
    <xf numFmtId="0" fontId="5" fillId="0" borderId="0" xfId="0" applyFont="1" applyAlignment="1">
      <alignment horizontal="left" indent="1"/>
    </xf>
    <xf numFmtId="170" fontId="5" fillId="0" borderId="13" xfId="0" applyNumberFormat="1" applyFont="1" applyBorder="1"/>
    <xf numFmtId="170" fontId="5" fillId="0" borderId="0" xfId="0" applyNumberFormat="1" applyFont="1" applyAlignment="1">
      <alignment horizontal="right"/>
    </xf>
    <xf numFmtId="169" fontId="5" fillId="0" borderId="0" xfId="252" applyNumberFormat="1" applyFont="1" applyAlignment="1">
      <alignment horizontal="right"/>
    </xf>
    <xf numFmtId="169" fontId="5" fillId="0" borderId="0" xfId="252" applyNumberFormat="1" applyFont="1"/>
    <xf numFmtId="168" fontId="5" fillId="0" borderId="12" xfId="0" applyNumberFormat="1" applyFont="1" applyBorder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/>
    <xf numFmtId="2" fontId="11" fillId="0" borderId="0" xfId="0" applyNumberFormat="1" applyFont="1"/>
    <xf numFmtId="171" fontId="12" fillId="0" borderId="0" xfId="0" applyNumberFormat="1" applyFont="1"/>
    <xf numFmtId="9" fontId="12" fillId="0" borderId="0" xfId="252" applyNumberFormat="1" applyFont="1"/>
    <xf numFmtId="0" fontId="3" fillId="0" borderId="0" xfId="0" applyFont="1"/>
    <xf numFmtId="0" fontId="2" fillId="0" borderId="0" xfId="0" applyFont="1"/>
    <xf numFmtId="0" fontId="3" fillId="0" borderId="18" xfId="0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/>
    <xf numFmtId="172" fontId="3" fillId="0" borderId="21" xfId="0" applyNumberFormat="1" applyFont="1" applyBorder="1" applyAlignment="1">
      <alignment horizontal="right"/>
    </xf>
    <xf numFmtId="0" fontId="2" fillId="0" borderId="20" xfId="0" applyFont="1" applyBorder="1"/>
    <xf numFmtId="173" fontId="2" fillId="0" borderId="21" xfId="0" applyNumberFormat="1" applyFont="1" applyBorder="1" applyAlignment="1">
      <alignment horizontal="right"/>
    </xf>
    <xf numFmtId="0" fontId="2" fillId="0" borderId="22" xfId="0" applyFont="1" applyBorder="1"/>
    <xf numFmtId="174" fontId="5" fillId="0" borderId="23" xfId="252" applyNumberFormat="1" applyFont="1" applyBorder="1" applyAlignment="1">
      <alignment horizontal="right"/>
    </xf>
    <xf numFmtId="0" fontId="2" fillId="0" borderId="18" xfId="0" applyFont="1" applyBorder="1"/>
    <xf numFmtId="171" fontId="12" fillId="0" borderId="19" xfId="0" applyNumberFormat="1" applyFont="1" applyBorder="1"/>
    <xf numFmtId="174" fontId="5" fillId="0" borderId="21" xfId="252" applyNumberFormat="1" applyFont="1" applyBorder="1" applyAlignment="1">
      <alignment horizontal="right"/>
    </xf>
    <xf numFmtId="174" fontId="5" fillId="0" borderId="19" xfId="252" applyNumberFormat="1" applyFont="1" applyBorder="1" applyAlignment="1">
      <alignment horizontal="right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/>
    </xf>
    <xf numFmtId="164" fontId="30" fillId="0" borderId="28" xfId="0" applyNumberFormat="1" applyFont="1" applyBorder="1" applyAlignment="1">
      <alignment horizontal="center" vertical="center" wrapText="1"/>
    </xf>
    <xf numFmtId="164" fontId="30" fillId="0" borderId="29" xfId="0" applyNumberFormat="1" applyFont="1" applyBorder="1" applyAlignment="1">
      <alignment horizontal="center" vertical="center" wrapText="1"/>
    </xf>
    <xf numFmtId="164" fontId="30" fillId="0" borderId="30" xfId="0" applyNumberFormat="1" applyFont="1" applyBorder="1" applyAlignment="1">
      <alignment horizontal="center" vertical="center" wrapText="1"/>
    </xf>
    <xf numFmtId="164" fontId="30" fillId="0" borderId="31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46" fillId="0" borderId="0" xfId="0" applyFont="1"/>
    <xf numFmtId="0" fontId="1" fillId="0" borderId="0" xfId="0" applyFont="1"/>
    <xf numFmtId="9" fontId="1" fillId="0" borderId="0" xfId="0" applyNumberFormat="1" applyFont="1"/>
    <xf numFmtId="9" fontId="5" fillId="0" borderId="0" xfId="252" applyFont="1"/>
    <xf numFmtId="0" fontId="1" fillId="0" borderId="18" xfId="0" applyFont="1" applyBorder="1"/>
    <xf numFmtId="168" fontId="1" fillId="0" borderId="0" xfId="0" applyNumberFormat="1" applyFont="1"/>
    <xf numFmtId="0" fontId="1" fillId="0" borderId="20" xfId="0" applyFont="1" applyBorder="1"/>
    <xf numFmtId="0" fontId="43" fillId="0" borderId="0" xfId="0" applyFont="1" applyAlignment="1">
      <alignment horizontal="left"/>
    </xf>
    <xf numFmtId="168" fontId="1" fillId="0" borderId="12" xfId="0" applyNumberFormat="1" applyFont="1" applyBorder="1"/>
    <xf numFmtId="168" fontId="12" fillId="0" borderId="21" xfId="0" applyNumberFormat="1" applyFont="1" applyBorder="1"/>
    <xf numFmtId="175" fontId="12" fillId="0" borderId="13" xfId="0" applyNumberFormat="1" applyFont="1" applyBorder="1"/>
    <xf numFmtId="0" fontId="1" fillId="0" borderId="17" xfId="0" applyFont="1" applyBorder="1"/>
    <xf numFmtId="9" fontId="1" fillId="0" borderId="21" xfId="0" applyNumberFormat="1" applyFont="1" applyBorder="1"/>
    <xf numFmtId="9" fontId="30" fillId="0" borderId="21" xfId="0" applyNumberFormat="1" applyFont="1" applyBorder="1"/>
    <xf numFmtId="9" fontId="1" fillId="0" borderId="10" xfId="0" applyNumberFormat="1" applyFont="1" applyBorder="1"/>
    <xf numFmtId="9" fontId="30" fillId="0" borderId="10" xfId="0" applyNumberFormat="1" applyFont="1" applyBorder="1"/>
    <xf numFmtId="0" fontId="1" fillId="0" borderId="37" xfId="0" applyFont="1" applyBorder="1"/>
    <xf numFmtId="0" fontId="1" fillId="0" borderId="0" xfId="0" applyFont="1" applyBorder="1"/>
    <xf numFmtId="9" fontId="1" fillId="0" borderId="38" xfId="0" applyNumberFormat="1" applyFont="1" applyBorder="1"/>
    <xf numFmtId="171" fontId="12" fillId="0" borderId="0" xfId="0" applyNumberFormat="1" applyFont="1" applyBorder="1"/>
    <xf numFmtId="171" fontId="12" fillId="0" borderId="36" xfId="0" applyNumberFormat="1" applyFont="1" applyBorder="1"/>
    <xf numFmtId="9" fontId="1" fillId="0" borderId="28" xfId="0" applyNumberFormat="1" applyFont="1" applyBorder="1"/>
    <xf numFmtId="171" fontId="12" fillId="0" borderId="17" xfId="0" applyNumberFormat="1" applyFont="1" applyBorder="1"/>
    <xf numFmtId="171" fontId="12" fillId="0" borderId="35" xfId="0" applyNumberFormat="1" applyFont="1" applyBorder="1"/>
    <xf numFmtId="175" fontId="41" fillId="0" borderId="21" xfId="0" applyNumberFormat="1" applyFont="1" applyBorder="1"/>
    <xf numFmtId="0" fontId="48" fillId="0" borderId="0" xfId="0" applyFont="1"/>
    <xf numFmtId="0" fontId="49" fillId="0" borderId="0" xfId="0" applyFont="1" applyAlignment="1">
      <alignment horizontal="left" indent="2"/>
    </xf>
    <xf numFmtId="170" fontId="50" fillId="0" borderId="0" xfId="0" applyNumberFormat="1" applyFont="1"/>
    <xf numFmtId="0" fontId="51" fillId="0" borderId="0" xfId="259" applyFont="1"/>
    <xf numFmtId="0" fontId="47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1" fillId="0" borderId="0" xfId="0" applyFont="1" applyAlignment="1">
      <alignment horizontal="left" indent="1"/>
    </xf>
    <xf numFmtId="168" fontId="47" fillId="0" borderId="0" xfId="0" applyNumberFormat="1" applyFont="1"/>
    <xf numFmtId="0" fontId="52" fillId="0" borderId="0" xfId="0" applyFont="1"/>
    <xf numFmtId="0" fontId="47" fillId="0" borderId="0" xfId="0" applyFont="1"/>
    <xf numFmtId="0" fontId="47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4" fillId="33" borderId="29" xfId="0" applyFont="1" applyFill="1" applyBorder="1" applyAlignment="1">
      <alignment horizontal="center"/>
    </xf>
    <xf numFmtId="0" fontId="44" fillId="33" borderId="30" xfId="0" applyFont="1" applyFill="1" applyBorder="1" applyAlignment="1">
      <alignment horizontal="center"/>
    </xf>
    <xf numFmtId="0" fontId="44" fillId="33" borderId="31" xfId="0" applyFont="1" applyFill="1" applyBorder="1" applyAlignment="1">
      <alignment horizontal="center"/>
    </xf>
    <xf numFmtId="0" fontId="44" fillId="34" borderId="29" xfId="0" applyFont="1" applyFill="1" applyBorder="1" applyAlignment="1">
      <alignment horizontal="center"/>
    </xf>
    <xf numFmtId="0" fontId="44" fillId="34" borderId="30" xfId="0" applyFont="1" applyFill="1" applyBorder="1" applyAlignment="1">
      <alignment horizontal="center"/>
    </xf>
    <xf numFmtId="0" fontId="44" fillId="34" borderId="31" xfId="0" applyFont="1" applyFill="1" applyBorder="1" applyAlignment="1">
      <alignment horizontal="center"/>
    </xf>
    <xf numFmtId="0" fontId="4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0" fillId="0" borderId="26" xfId="0" applyFont="1" applyBorder="1" applyAlignment="1">
      <alignment horizontal="right" vertical="center" textRotation="90" wrapText="1"/>
    </xf>
    <xf numFmtId="0" fontId="30" fillId="0" borderId="39" xfId="0" applyFont="1" applyBorder="1" applyAlignment="1">
      <alignment horizontal="right" vertical="center" textRotation="90" wrapText="1"/>
    </xf>
    <xf numFmtId="0" fontId="30" fillId="0" borderId="27" xfId="0" applyFont="1" applyBorder="1" applyAlignment="1">
      <alignment horizontal="right" vertical="center" textRotation="90" wrapText="1"/>
    </xf>
    <xf numFmtId="0" fontId="30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30" fillId="0" borderId="31" xfId="0" applyFont="1" applyBorder="1" applyAlignment="1">
      <alignment horizontal="center"/>
    </xf>
  </cellXfs>
  <cellStyles count="7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260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3" builtinId="8" hidden="1"/>
    <cellStyle name="Hyperlink" xfId="255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259"/>
    <cellStyle name="Note" xfId="15" builtinId="10" customBuiltin="1"/>
    <cellStyle name="Output" xfId="10" builtinId="21" customBuiltin="1"/>
    <cellStyle name="Percent" xfId="25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24196</xdr:colOff>
      <xdr:row>0</xdr:row>
      <xdr:rowOff>0</xdr:rowOff>
    </xdr:from>
    <xdr:to>
      <xdr:col>12</xdr:col>
      <xdr:colOff>816676</xdr:colOff>
      <xdr:row>10</xdr:row>
      <xdr:rowOff>48637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6" y="0"/>
          <a:ext cx="10698480" cy="195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M22"/>
  <sheetViews>
    <sheetView workbookViewId="0"/>
  </sheetViews>
  <sheetFormatPr defaultColWidth="10.85546875" defaultRowHeight="15.75" x14ac:dyDescent="0.25"/>
  <cols>
    <col min="1" max="3" width="10.85546875" style="72"/>
    <col min="4" max="4" width="10.85546875" style="72" customWidth="1"/>
    <col min="5" max="16384" width="10.85546875" style="72"/>
  </cols>
  <sheetData>
    <row r="13" spans="1:13" ht="35.25" x14ac:dyDescent="0.5">
      <c r="A13" s="133" t="s">
        <v>201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</row>
    <row r="22" spans="1:13" s="97" customFormat="1" ht="27" x14ac:dyDescent="0.35">
      <c r="A22" s="134" t="s">
        <v>200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</row>
  </sheetData>
  <mergeCells count="2">
    <mergeCell ref="A13:M13"/>
    <mergeCell ref="A22:M22"/>
  </mergeCells>
  <phoneticPr fontId="38" type="noConversion"/>
  <pageMargins left="0.75" right="0.75" top="1" bottom="1" header="0.5" footer="0.5"/>
  <pageSetup scale="5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3" zoomScale="150" zoomScaleNormal="150" zoomScalePageLayoutView="150" workbookViewId="0">
      <selection activeCell="B13" sqref="B13"/>
    </sheetView>
  </sheetViews>
  <sheetFormatPr defaultColWidth="10.85546875" defaultRowHeight="15.75" x14ac:dyDescent="0.25"/>
  <cols>
    <col min="1" max="1" width="44.42578125" style="71" bestFit="1" customWidth="1"/>
    <col min="2" max="2" width="14.85546875" style="71" bestFit="1" customWidth="1"/>
    <col min="3" max="4" width="6.42578125" style="71" customWidth="1"/>
    <col min="5" max="8" width="10" style="71" customWidth="1"/>
    <col min="9" max="9" width="14.28515625" style="71" customWidth="1"/>
    <col min="10" max="11" width="8.42578125" style="71" customWidth="1"/>
    <col min="12" max="13" width="10" style="71" customWidth="1"/>
    <col min="14" max="14" width="15.7109375" style="71" customWidth="1"/>
    <col min="15" max="15" width="6.28515625" style="71" customWidth="1"/>
    <col min="16" max="16" width="8.42578125" style="71" customWidth="1"/>
    <col min="17" max="17" width="14.28515625" style="71" customWidth="1"/>
    <col min="18" max="16384" width="10.85546875" style="71"/>
  </cols>
  <sheetData>
    <row r="1" spans="1:2" x14ac:dyDescent="0.25">
      <c r="A1" s="85" t="s">
        <v>185</v>
      </c>
    </row>
    <row r="2" spans="1:2" ht="16.5" thickBot="1" x14ac:dyDescent="0.3">
      <c r="A2" s="86" t="s">
        <v>100</v>
      </c>
    </row>
    <row r="4" spans="1:2" x14ac:dyDescent="0.25">
      <c r="A4" s="73" t="s">
        <v>186</v>
      </c>
      <c r="B4" s="74" t="s">
        <v>188</v>
      </c>
    </row>
    <row r="5" spans="1:2" x14ac:dyDescent="0.25">
      <c r="A5" s="75" t="s">
        <v>187</v>
      </c>
      <c r="B5" s="76">
        <v>81.849999999999994</v>
      </c>
    </row>
    <row r="6" spans="1:2" x14ac:dyDescent="0.25">
      <c r="A6" s="103" t="s">
        <v>216</v>
      </c>
      <c r="B6" s="106">
        <f>657484946/1000000</f>
        <v>657.48494600000004</v>
      </c>
    </row>
    <row r="7" spans="1:2" x14ac:dyDescent="0.25">
      <c r="A7" s="77" t="s">
        <v>189</v>
      </c>
      <c r="B7" s="78">
        <v>41639</v>
      </c>
    </row>
    <row r="8" spans="1:2" x14ac:dyDescent="0.25">
      <c r="A8" s="79" t="s">
        <v>190</v>
      </c>
      <c r="B8" s="80">
        <v>0.02</v>
      </c>
    </row>
    <row r="9" spans="1:2" x14ac:dyDescent="0.25">
      <c r="A9" s="81" t="s">
        <v>194</v>
      </c>
      <c r="B9" s="82">
        <f>AVERAGE(Competition!B33:E33)*(1+(1-'ROIC Decomp &amp; Funding Statement'!F21)*('WACC Calculation'!B8/'WACC Calculation'!B14))</f>
        <v>1.5199974785059058</v>
      </c>
    </row>
    <row r="10" spans="1:2" x14ac:dyDescent="0.25">
      <c r="A10" s="77" t="s">
        <v>191</v>
      </c>
      <c r="B10" s="83">
        <v>2.4899999999999999E-2</v>
      </c>
    </row>
    <row r="11" spans="1:2" x14ac:dyDescent="0.25">
      <c r="A11" s="77" t="s">
        <v>192</v>
      </c>
      <c r="B11" s="83">
        <v>7.3999999999999996E-2</v>
      </c>
    </row>
    <row r="12" spans="1:2" x14ac:dyDescent="0.25">
      <c r="A12" s="77" t="s">
        <v>193</v>
      </c>
      <c r="B12" s="83">
        <v>2.7699999999999999E-2</v>
      </c>
    </row>
    <row r="13" spans="1:2" x14ac:dyDescent="0.25">
      <c r="A13" s="79" t="s">
        <v>170</v>
      </c>
      <c r="B13" s="80">
        <f>'WACC Calculation'!B20</f>
        <v>7.8158281699724802E-2</v>
      </c>
    </row>
    <row r="14" spans="1:2" x14ac:dyDescent="0.25">
      <c r="A14" s="101" t="s">
        <v>206</v>
      </c>
      <c r="B14" s="84">
        <v>0.02</v>
      </c>
    </row>
    <row r="15" spans="1:2" x14ac:dyDescent="0.25">
      <c r="A15" s="77" t="s">
        <v>196</v>
      </c>
      <c r="B15" s="83"/>
    </row>
    <row r="16" spans="1:2" x14ac:dyDescent="0.25">
      <c r="A16" s="77" t="s">
        <v>195</v>
      </c>
      <c r="B16" s="83">
        <v>0.75</v>
      </c>
    </row>
    <row r="17" spans="1:2" x14ac:dyDescent="0.25">
      <c r="A17" s="79" t="s">
        <v>199</v>
      </c>
      <c r="B17" s="83">
        <v>0.09</v>
      </c>
    </row>
    <row r="18" spans="1:2" x14ac:dyDescent="0.25">
      <c r="A18" s="95" t="s">
        <v>202</v>
      </c>
      <c r="B18" s="96"/>
    </row>
  </sheetData>
  <phoneticPr fontId="3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zoomScale="85" zoomScaleNormal="85" workbookViewId="0">
      <pane ySplit="2" topLeftCell="A3" activePane="bottomLeft" state="frozen"/>
      <selection pane="bottomLeft" activeCell="A13" sqref="A13"/>
    </sheetView>
  </sheetViews>
  <sheetFormatPr defaultColWidth="10.85546875" defaultRowHeight="15.75" x14ac:dyDescent="0.25"/>
  <cols>
    <col min="1" max="1" width="50" style="22" bestFit="1" customWidth="1"/>
    <col min="2" max="6" width="20.85546875" style="22" bestFit="1" customWidth="1"/>
    <col min="7" max="7" width="57.42578125" style="2" bestFit="1" customWidth="1"/>
    <col min="8" max="12" width="20.85546875" style="2" bestFit="1" customWidth="1"/>
    <col min="13" max="16384" width="10.85546875" style="22"/>
  </cols>
  <sheetData>
    <row r="1" spans="1:12" s="1" customFormat="1" ht="16.5" thickBot="1" x14ac:dyDescent="0.3">
      <c r="A1" s="85" t="s">
        <v>113</v>
      </c>
      <c r="B1" s="135" t="s">
        <v>197</v>
      </c>
      <c r="C1" s="136"/>
      <c r="D1" s="136"/>
      <c r="E1" s="136"/>
      <c r="F1" s="137"/>
      <c r="G1" s="85" t="s">
        <v>54</v>
      </c>
      <c r="H1" s="135" t="s">
        <v>197</v>
      </c>
      <c r="I1" s="136"/>
      <c r="J1" s="136"/>
      <c r="K1" s="136"/>
      <c r="L1" s="137"/>
    </row>
    <row r="2" spans="1:12" s="1" customFormat="1" ht="16.5" thickBot="1" x14ac:dyDescent="0.3">
      <c r="A2" s="86" t="s">
        <v>100</v>
      </c>
      <c r="B2" s="24">
        <f>DATE(YEAR(Assumptions!B7)-5,MONTH(Assumptions!B7),DAY(Assumptions!B7))</f>
        <v>39813</v>
      </c>
      <c r="C2" s="24">
        <f>DATE(YEAR(B2)+1,MONTH(B2),DAY(B2))</f>
        <v>40178</v>
      </c>
      <c r="D2" s="24">
        <f>DATE(YEAR(C2)+1,MONTH(C2),DAY(C2))</f>
        <v>40543</v>
      </c>
      <c r="E2" s="24">
        <f>DATE(YEAR(D2)+1,MONTH(D2),DAY(D2))</f>
        <v>40908</v>
      </c>
      <c r="F2" s="87">
        <f t="shared" ref="F2" si="0">DATE(YEAR(E2)+1,MONTH(E2),DAY(E2))</f>
        <v>41274</v>
      </c>
      <c r="G2" s="86" t="s">
        <v>100</v>
      </c>
      <c r="H2" s="24">
        <f>B2</f>
        <v>39813</v>
      </c>
      <c r="I2" s="24">
        <f>DATE(YEAR(J2)-1,MONTH(J2),DAY(J2))</f>
        <v>40178</v>
      </c>
      <c r="J2" s="24">
        <f>DATE(YEAR(K2)-1,MONTH(K2),DAY(K2))</f>
        <v>40543</v>
      </c>
      <c r="K2" s="24">
        <f>DATE(YEAR(L2)-1,MONTH(L2),DAY(L2))</f>
        <v>40908</v>
      </c>
      <c r="L2" s="87">
        <v>41274</v>
      </c>
    </row>
    <row r="3" spans="1:12" x14ac:dyDescent="0.25">
      <c r="A3" s="23" t="s">
        <v>87</v>
      </c>
      <c r="B3" s="54">
        <v>48044</v>
      </c>
      <c r="C3" s="54">
        <v>29540</v>
      </c>
      <c r="D3" s="54">
        <v>39867</v>
      </c>
      <c r="E3" s="54">
        <v>57392</v>
      </c>
      <c r="F3" s="54">
        <v>63068</v>
      </c>
      <c r="G3" s="3" t="s">
        <v>87</v>
      </c>
      <c r="H3" s="54">
        <f>'Income Statement and NOPLAT'!B3</f>
        <v>48044</v>
      </c>
      <c r="I3" s="54">
        <f>'Income Statement and NOPLAT'!C3</f>
        <v>29540</v>
      </c>
      <c r="J3" s="54">
        <f>'Income Statement and NOPLAT'!D3</f>
        <v>39867</v>
      </c>
      <c r="K3" s="54">
        <f>'Income Statement and NOPLAT'!E3</f>
        <v>57392</v>
      </c>
      <c r="L3" s="54">
        <f>'Income Statement and NOPLAT'!F3</f>
        <v>63068</v>
      </c>
    </row>
    <row r="4" spans="1:12" x14ac:dyDescent="0.25">
      <c r="A4" s="22" t="s">
        <v>1</v>
      </c>
      <c r="B4" s="26">
        <v>38415</v>
      </c>
      <c r="C4" s="26">
        <v>23886</v>
      </c>
      <c r="D4" s="26">
        <v>30367</v>
      </c>
      <c r="E4" s="26">
        <v>43578</v>
      </c>
      <c r="F4" s="26">
        <v>47055</v>
      </c>
      <c r="G4" s="3" t="s">
        <v>1</v>
      </c>
      <c r="H4" s="26">
        <f>'Income Statement and NOPLAT'!B4</f>
        <v>38415</v>
      </c>
      <c r="I4" s="26">
        <f>'Income Statement and NOPLAT'!C4</f>
        <v>23886</v>
      </c>
      <c r="J4" s="26">
        <f>'Income Statement and NOPLAT'!D4</f>
        <v>30367</v>
      </c>
      <c r="K4" s="26">
        <f>'Income Statement and NOPLAT'!E4</f>
        <v>43578</v>
      </c>
      <c r="L4" s="26">
        <f>'Income Statement and NOPLAT'!F4</f>
        <v>47055</v>
      </c>
    </row>
    <row r="5" spans="1:12" x14ac:dyDescent="0.25">
      <c r="A5" s="22" t="s">
        <v>110</v>
      </c>
      <c r="B5" s="27">
        <f>B3-B4</f>
        <v>9629</v>
      </c>
      <c r="C5" s="27">
        <f>C3-C4</f>
        <v>5654</v>
      </c>
      <c r="D5" s="27">
        <f>D3-D4</f>
        <v>9500</v>
      </c>
      <c r="E5" s="27">
        <f>E3-E4</f>
        <v>13814</v>
      </c>
      <c r="F5" s="27">
        <f>F3-F4</f>
        <v>16013</v>
      </c>
      <c r="G5" s="3" t="s">
        <v>118</v>
      </c>
      <c r="H5" s="26">
        <f>'Income Statement and NOPLAT'!B8</f>
        <v>3812</v>
      </c>
      <c r="I5" s="26">
        <f>'Income Statement and NOPLAT'!C8</f>
        <v>3085</v>
      </c>
      <c r="J5" s="26">
        <f>'Income Statement and NOPLAT'!D8</f>
        <v>3689</v>
      </c>
      <c r="K5" s="26">
        <f>'Income Statement and NOPLAT'!E8</f>
        <v>4631</v>
      </c>
      <c r="L5" s="26">
        <f>'Income Statement and NOPLAT'!F8</f>
        <v>5348</v>
      </c>
    </row>
    <row r="6" spans="1:12" x14ac:dyDescent="0.25">
      <c r="G6" s="22" t="s">
        <v>2</v>
      </c>
      <c r="H6" s="26">
        <f>'Income Statement and NOPLAT'!B9</f>
        <v>1728</v>
      </c>
      <c r="I6" s="26">
        <f>'Income Statement and NOPLAT'!C9</f>
        <v>1421</v>
      </c>
      <c r="J6" s="26">
        <f>'Income Statement and NOPLAT'!D9</f>
        <v>1905</v>
      </c>
      <c r="K6" s="26">
        <f>'Income Statement and NOPLAT'!E9</f>
        <v>2297</v>
      </c>
      <c r="L6" s="26">
        <f>'Income Statement and NOPLAT'!F9</f>
        <v>2466</v>
      </c>
    </row>
    <row r="7" spans="1:12" x14ac:dyDescent="0.25">
      <c r="A7" s="23" t="s">
        <v>0</v>
      </c>
      <c r="G7" s="34" t="s">
        <v>3</v>
      </c>
      <c r="H7" s="26">
        <f>'Income Statement and NOPLAT'!B10</f>
        <v>0</v>
      </c>
      <c r="I7" s="26">
        <f>'Income Statement and NOPLAT'!C10</f>
        <v>0</v>
      </c>
      <c r="J7" s="26">
        <f>'Income Statement and NOPLAT'!D10</f>
        <v>0</v>
      </c>
      <c r="K7" s="26">
        <f>'Income Statement and NOPLAT'!E10</f>
        <v>0</v>
      </c>
      <c r="L7" s="26">
        <f>'Income Statement and NOPLAT'!F10</f>
        <v>580</v>
      </c>
    </row>
    <row r="8" spans="1:12" x14ac:dyDescent="0.25">
      <c r="A8" s="22" t="s">
        <v>101</v>
      </c>
      <c r="B8" s="26">
        <v>3812</v>
      </c>
      <c r="C8" s="26">
        <v>3085</v>
      </c>
      <c r="D8" s="26">
        <v>3689</v>
      </c>
      <c r="E8" s="26">
        <v>4631</v>
      </c>
      <c r="F8" s="26">
        <v>5348</v>
      </c>
      <c r="G8" s="34" t="s">
        <v>4</v>
      </c>
      <c r="H8" s="26">
        <f>'Income Statement and NOPLAT'!B11</f>
        <v>-33</v>
      </c>
      <c r="I8" s="26">
        <f>'Income Statement and NOPLAT'!C11</f>
        <v>691</v>
      </c>
      <c r="J8" s="26">
        <f>'Income Statement and NOPLAT'!D11</f>
        <v>119</v>
      </c>
      <c r="K8" s="26">
        <f>'Income Statement and NOPLAT'!E11</f>
        <v>63</v>
      </c>
      <c r="L8" s="26">
        <f>'Income Statement and NOPLAT'!F11</f>
        <v>-495</v>
      </c>
    </row>
    <row r="9" spans="1:12" x14ac:dyDescent="0.25">
      <c r="A9" s="22" t="s">
        <v>2</v>
      </c>
      <c r="B9" s="26">
        <v>1728</v>
      </c>
      <c r="C9" s="26">
        <v>1421</v>
      </c>
      <c r="D9" s="26">
        <v>1905</v>
      </c>
      <c r="E9" s="26">
        <v>2297</v>
      </c>
      <c r="F9" s="26">
        <v>2466</v>
      </c>
      <c r="G9" s="3" t="s">
        <v>141</v>
      </c>
      <c r="H9" s="26">
        <f>H3-SUM(H4:H8)</f>
        <v>4122</v>
      </c>
      <c r="I9" s="26">
        <f>I3-SUM(I4:I8)</f>
        <v>457</v>
      </c>
      <c r="J9" s="26">
        <f>J3-SUM(J4:J8)</f>
        <v>3787</v>
      </c>
      <c r="K9" s="26">
        <f>K3-SUM(K4:K8)</f>
        <v>6823</v>
      </c>
      <c r="L9" s="26">
        <f>L3-SUM(L4:L8)</f>
        <v>8114</v>
      </c>
    </row>
    <row r="10" spans="1:12" x14ac:dyDescent="0.25">
      <c r="A10" s="22" t="s">
        <v>3</v>
      </c>
      <c r="B10" s="26">
        <v>0</v>
      </c>
      <c r="C10" s="26">
        <v>0</v>
      </c>
      <c r="D10" s="26">
        <v>0</v>
      </c>
      <c r="E10" s="26">
        <v>0</v>
      </c>
      <c r="F10" s="26">
        <v>580</v>
      </c>
      <c r="G10" s="3" t="s">
        <v>225</v>
      </c>
      <c r="H10" s="32">
        <f>'Income Statement and NOPLAT'!B18/'Income Statement and NOPLAT'!B17</f>
        <v>0.20825943754750442</v>
      </c>
      <c r="I10" s="32">
        <f>'Income Statement and NOPLAT'!C18/'Income Statement and NOPLAT'!C17</f>
        <v>-1.9655172413793103</v>
      </c>
      <c r="J10" s="32">
        <f>'Income Statement and NOPLAT'!D18/'Income Statement and NOPLAT'!D17</f>
        <v>0.2670299727520436</v>
      </c>
      <c r="K10" s="32">
        <f>'Income Statement and NOPLAT'!E18/'Income Statement and NOPLAT'!E17</f>
        <v>0.25683865683865686</v>
      </c>
      <c r="L10" s="32">
        <f>'Income Statement and NOPLAT'!F18/'Income Statement and NOPLAT'!F17</f>
        <v>0.3103540772532189</v>
      </c>
    </row>
    <row r="11" spans="1:12" x14ac:dyDescent="0.25">
      <c r="A11" s="22" t="s">
        <v>4</v>
      </c>
      <c r="B11" s="26">
        <v>-33</v>
      </c>
      <c r="C11" s="26">
        <v>691</v>
      </c>
      <c r="D11" s="26">
        <v>119</v>
      </c>
      <c r="E11" s="26">
        <v>63</v>
      </c>
      <c r="F11" s="26">
        <v>-495</v>
      </c>
      <c r="G11" s="125" t="s">
        <v>48</v>
      </c>
      <c r="H11" s="26">
        <f>H10*H9</f>
        <v>858.44540157081326</v>
      </c>
      <c r="I11" s="26">
        <f>I10*I9</f>
        <v>-898.24137931034477</v>
      </c>
      <c r="J11" s="26">
        <f>J10*J9</f>
        <v>1011.2425068119891</v>
      </c>
      <c r="K11" s="26">
        <f>K10*K9</f>
        <v>1752.4101556101557</v>
      </c>
      <c r="L11" s="26">
        <f>L10*L9</f>
        <v>2518.2129828326183</v>
      </c>
    </row>
    <row r="12" spans="1:12" x14ac:dyDescent="0.25">
      <c r="A12" s="22" t="s">
        <v>5</v>
      </c>
      <c r="B12" s="27">
        <f>SUM(B8:B11)</f>
        <v>5507</v>
      </c>
      <c r="C12" s="27">
        <f>SUM(C8:C11)</f>
        <v>5197</v>
      </c>
      <c r="D12" s="27">
        <f t="shared" ref="D12" si="1">SUM(D8:D11)</f>
        <v>5713</v>
      </c>
      <c r="E12" s="27">
        <f>SUM(E8:E11)</f>
        <v>6991</v>
      </c>
      <c r="F12" s="27">
        <f>SUM(F8:F11)</f>
        <v>7899</v>
      </c>
      <c r="G12" s="125" t="s">
        <v>112</v>
      </c>
      <c r="H12" s="33">
        <f>34.95*(1-H10)</f>
        <v>27.671332657714721</v>
      </c>
      <c r="I12" s="33">
        <f>35.21*(1-I10)</f>
        <v>104.41586206896552</v>
      </c>
      <c r="J12" s="33">
        <f>38.32*(1-J10)</f>
        <v>28.08741144414169</v>
      </c>
      <c r="K12" s="33">
        <f>39.81*(1-K10)</f>
        <v>29.585253071253071</v>
      </c>
      <c r="L12" s="33">
        <f>28.79*(1-L10)</f>
        <v>19.854906115879825</v>
      </c>
    </row>
    <row r="13" spans="1:12" ht="16.5" thickBot="1" x14ac:dyDescent="0.3">
      <c r="A13" s="22" t="s">
        <v>6</v>
      </c>
      <c r="B13" s="27">
        <f>B5-B12</f>
        <v>4122</v>
      </c>
      <c r="C13" s="27">
        <f>C5-C12</f>
        <v>457</v>
      </c>
      <c r="D13" s="27">
        <f t="shared" ref="D13" si="2">D5-D12</f>
        <v>3787</v>
      </c>
      <c r="E13" s="27">
        <f>E5-E12</f>
        <v>6823</v>
      </c>
      <c r="F13" s="27">
        <f>F5-F12</f>
        <v>8114</v>
      </c>
      <c r="G13" s="3" t="s">
        <v>49</v>
      </c>
      <c r="H13" s="55">
        <f>H9-H11+H12</f>
        <v>3291.2259310869013</v>
      </c>
      <c r="I13" s="55">
        <f>I9-I11+SUM(I12:I12)</f>
        <v>1459.6572413793101</v>
      </c>
      <c r="J13" s="55">
        <f>J9-J11+SUM(J12:J12)</f>
        <v>2803.8449046321525</v>
      </c>
      <c r="K13" s="55">
        <f>K9-K11+SUM(K12:K12)</f>
        <v>5100.1750974610968</v>
      </c>
      <c r="L13" s="55">
        <f>L9-L11+L12</f>
        <v>5615.6419232832623</v>
      </c>
    </row>
    <row r="14" spans="1:12" ht="16.5" thickTop="1" x14ac:dyDescent="0.25">
      <c r="A14" s="22" t="s">
        <v>102</v>
      </c>
      <c r="B14" s="26">
        <v>270</v>
      </c>
      <c r="C14" s="26">
        <v>475</v>
      </c>
      <c r="D14" s="26">
        <v>407</v>
      </c>
      <c r="E14" s="26">
        <v>439</v>
      </c>
      <c r="F14" s="26">
        <v>512</v>
      </c>
    </row>
    <row r="15" spans="1:12" x14ac:dyDescent="0.25">
      <c r="A15" s="22" t="s">
        <v>7</v>
      </c>
      <c r="B15" s="29">
        <v>95</v>
      </c>
      <c r="C15" s="29">
        <v>192</v>
      </c>
      <c r="D15" s="29">
        <v>-77</v>
      </c>
      <c r="E15" s="29">
        <v>-279</v>
      </c>
      <c r="F15" s="29">
        <v>-146</v>
      </c>
      <c r="G15" s="3" t="s">
        <v>50</v>
      </c>
    </row>
    <row r="16" spans="1:12" x14ac:dyDescent="0.25">
      <c r="B16" s="28"/>
      <c r="C16" s="28"/>
      <c r="D16" s="28"/>
      <c r="E16" s="28"/>
      <c r="F16" s="28"/>
    </row>
    <row r="17" spans="1:12" x14ac:dyDescent="0.25">
      <c r="A17" s="23" t="s">
        <v>103</v>
      </c>
      <c r="B17" s="26">
        <f>B13-B14+B15</f>
        <v>3947</v>
      </c>
      <c r="C17" s="26">
        <f>C13-C14+C15</f>
        <v>174</v>
      </c>
      <c r="D17" s="26">
        <f>D13-D14+D15</f>
        <v>3303</v>
      </c>
      <c r="E17" s="26">
        <f>E13-E14+E15</f>
        <v>6105</v>
      </c>
      <c r="F17" s="26">
        <f>F13-F14+F15</f>
        <v>7456</v>
      </c>
      <c r="G17" s="51" t="s">
        <v>51</v>
      </c>
      <c r="H17" s="52"/>
      <c r="I17" s="52"/>
      <c r="J17" s="52"/>
      <c r="K17" s="52"/>
      <c r="L17" s="52"/>
    </row>
    <row r="18" spans="1:12" x14ac:dyDescent="0.25">
      <c r="A18" s="131" t="s">
        <v>8</v>
      </c>
      <c r="B18" s="26">
        <v>822</v>
      </c>
      <c r="C18" s="26">
        <v>-342</v>
      </c>
      <c r="D18" s="26">
        <v>882</v>
      </c>
      <c r="E18" s="26">
        <v>1568</v>
      </c>
      <c r="F18" s="26">
        <v>2314</v>
      </c>
      <c r="G18" s="3" t="s">
        <v>52</v>
      </c>
      <c r="H18" s="54">
        <f>'Income Statement and NOPLAT'!B25</f>
        <v>3557</v>
      </c>
      <c r="I18" s="54">
        <f>'Income Statement and NOPLAT'!C25</f>
        <v>895</v>
      </c>
      <c r="J18" s="54">
        <f>'Income Statement and NOPLAT'!D25</f>
        <v>2700</v>
      </c>
      <c r="K18" s="54">
        <f>'Income Statement and NOPLAT'!E25</f>
        <v>4928</v>
      </c>
      <c r="L18" s="54">
        <f>'Income Statement and NOPLAT'!F25</f>
        <v>5681</v>
      </c>
    </row>
    <row r="19" spans="1:12" x14ac:dyDescent="0.25">
      <c r="A19" s="22" t="s">
        <v>105</v>
      </c>
      <c r="B19" s="27">
        <f>B17-B18</f>
        <v>3125</v>
      </c>
      <c r="C19" s="27">
        <f>C17-C18</f>
        <v>516</v>
      </c>
      <c r="D19" s="27">
        <f t="shared" ref="D19" si="3">D17-D18</f>
        <v>2421</v>
      </c>
      <c r="E19" s="27">
        <f>E17-E18</f>
        <v>4537</v>
      </c>
      <c r="F19" s="27">
        <f>F17-F18</f>
        <v>5142</v>
      </c>
      <c r="G19" s="3" t="s">
        <v>114</v>
      </c>
      <c r="H19" s="53">
        <f>'Income Statement and NOPLAT'!B23</f>
        <v>15</v>
      </c>
      <c r="I19" s="53">
        <f>'Income Statement and NOPLAT'!C23</f>
        <v>-84</v>
      </c>
      <c r="J19" s="53">
        <f>'Income Statement and NOPLAT'!D23</f>
        <v>47</v>
      </c>
      <c r="K19" s="53">
        <f>'Income Statement and NOPLAT'!E23</f>
        <v>38</v>
      </c>
      <c r="L19" s="53">
        <f>'Income Statement and NOPLAT'!F23</f>
        <v>30</v>
      </c>
    </row>
    <row r="20" spans="1:12" x14ac:dyDescent="0.25">
      <c r="A20" s="22" t="s">
        <v>9</v>
      </c>
      <c r="B20" s="26">
        <v>38</v>
      </c>
      <c r="C20" s="26">
        <v>-12</v>
      </c>
      <c r="D20" s="26">
        <v>-24</v>
      </c>
      <c r="E20" s="26">
        <v>-24</v>
      </c>
      <c r="F20" s="26">
        <v>14</v>
      </c>
      <c r="G20" s="52" t="s">
        <v>115</v>
      </c>
      <c r="H20" s="53">
        <f>'Income Statement and NOPLAT'!B20</f>
        <v>38</v>
      </c>
      <c r="I20" s="53">
        <f>'Income Statement and NOPLAT'!C20</f>
        <v>-12</v>
      </c>
      <c r="J20" s="53">
        <f>'Income Statement and NOPLAT'!D20</f>
        <v>-24</v>
      </c>
      <c r="K20" s="53">
        <f>'Income Statement and NOPLAT'!E20</f>
        <v>-24</v>
      </c>
      <c r="L20" s="53">
        <f>'Income Statement and NOPLAT'!F20</f>
        <v>14</v>
      </c>
    </row>
    <row r="21" spans="1:12" x14ac:dyDescent="0.25">
      <c r="A21" s="22" t="s">
        <v>104</v>
      </c>
      <c r="B21" s="26">
        <v>409</v>
      </c>
      <c r="C21" s="26">
        <v>307</v>
      </c>
      <c r="D21" s="26">
        <v>350</v>
      </c>
      <c r="E21" s="26">
        <v>453</v>
      </c>
      <c r="F21" s="26">
        <v>555</v>
      </c>
      <c r="G21" s="52" t="s">
        <v>116</v>
      </c>
      <c r="H21" s="53">
        <f>'Income Statement and NOPLAT'!B21</f>
        <v>409</v>
      </c>
      <c r="I21" s="53">
        <f>'Income Statement and NOPLAT'!C21</f>
        <v>307</v>
      </c>
      <c r="J21" s="53">
        <f>'Income Statement and NOPLAT'!D21</f>
        <v>350</v>
      </c>
      <c r="K21" s="53">
        <f>'Income Statement and NOPLAT'!E21</f>
        <v>453</v>
      </c>
      <c r="L21" s="53">
        <f>'Income Statement and NOPLAT'!F21</f>
        <v>555</v>
      </c>
    </row>
    <row r="22" spans="1:12" x14ac:dyDescent="0.25">
      <c r="A22" s="23" t="s">
        <v>10</v>
      </c>
      <c r="B22" s="27">
        <f>SUM(B19:B21)</f>
        <v>3572</v>
      </c>
      <c r="C22" s="27">
        <f>SUM(C19:C21)</f>
        <v>811</v>
      </c>
      <c r="D22" s="27">
        <f t="shared" ref="D22" si="4">SUM(D19:D21)</f>
        <v>2747</v>
      </c>
      <c r="E22" s="27">
        <f>SUM(E19:E21)</f>
        <v>4966</v>
      </c>
      <c r="F22" s="27">
        <f>SUM(F19:F21)</f>
        <v>5711</v>
      </c>
      <c r="G22" s="52" t="s">
        <v>53</v>
      </c>
      <c r="H22" s="53">
        <f>'Income Statement and NOPLAT'!B14*(1-H10)</f>
        <v>213.7699518621738</v>
      </c>
      <c r="I22" s="53">
        <f>'Income Statement and NOPLAT'!C14*(1-I10)</f>
        <v>1408.6206896551726</v>
      </c>
      <c r="J22" s="53">
        <f>'Income Statement and NOPLAT'!D14*(1-J10)</f>
        <v>298.31880108991828</v>
      </c>
      <c r="K22" s="53">
        <f>'Income Statement and NOPLAT'!E14*(1-K10)</f>
        <v>326.24782964782963</v>
      </c>
      <c r="L22" s="53">
        <f>'Income Statement and NOPLAT'!F14*(1-L10)</f>
        <v>353.0987124463519</v>
      </c>
    </row>
    <row r="23" spans="1:12" x14ac:dyDescent="0.25">
      <c r="A23" s="22" t="s">
        <v>11</v>
      </c>
      <c r="B23" s="29">
        <v>15</v>
      </c>
      <c r="C23" s="29">
        <v>-84</v>
      </c>
      <c r="D23" s="29">
        <v>47</v>
      </c>
      <c r="E23" s="29">
        <v>38</v>
      </c>
      <c r="F23" s="29">
        <v>30</v>
      </c>
      <c r="G23" s="52" t="s">
        <v>117</v>
      </c>
      <c r="H23" s="53">
        <f>'Income Statement and NOPLAT'!B15*(1-H10)</f>
        <v>75.215353432987087</v>
      </c>
      <c r="I23" s="53">
        <f>'Income Statement and NOPLAT'!C15*(1-I10)</f>
        <v>569.37931034482767</v>
      </c>
      <c r="J23" s="53">
        <f>'Income Statement and NOPLAT'!D15*(1-J10)</f>
        <v>-56.438692098092645</v>
      </c>
      <c r="K23" s="53">
        <f>'Income Statement and NOPLAT'!E15*(1-K10)</f>
        <v>-207.34201474201473</v>
      </c>
      <c r="L23" s="53">
        <f>'Income Statement and NOPLAT'!F15*(1-L10)</f>
        <v>-100.68830472103004</v>
      </c>
    </row>
    <row r="24" spans="1:12" x14ac:dyDescent="0.25">
      <c r="G24" s="3" t="s">
        <v>112</v>
      </c>
      <c r="H24" s="53">
        <f>H12</f>
        <v>27.671332657714721</v>
      </c>
      <c r="I24" s="53">
        <f>I12</f>
        <v>104.41586206896552</v>
      </c>
      <c r="J24" s="53">
        <f>J12</f>
        <v>28.08741144414169</v>
      </c>
      <c r="K24" s="53">
        <f>K12</f>
        <v>29.585253071253071</v>
      </c>
      <c r="L24" s="53">
        <f>L12</f>
        <v>19.854906115879825</v>
      </c>
    </row>
    <row r="25" spans="1:12" ht="16.5" thickBot="1" x14ac:dyDescent="0.3">
      <c r="A25" s="23" t="s">
        <v>52</v>
      </c>
      <c r="B25" s="55">
        <f>B22-B23</f>
        <v>3557</v>
      </c>
      <c r="C25" s="55">
        <f>C22-C23</f>
        <v>895</v>
      </c>
      <c r="D25" s="55">
        <f t="shared" ref="D25" si="5">D22-D23</f>
        <v>2700</v>
      </c>
      <c r="E25" s="55">
        <f>E22-E23</f>
        <v>4928</v>
      </c>
      <c r="F25" s="55">
        <f>F22-F23</f>
        <v>5681</v>
      </c>
      <c r="G25" s="3" t="s">
        <v>54</v>
      </c>
      <c r="H25" s="55">
        <f>SUM(H18:H19)-SUM(H20:H21)++H22-H23+H24</f>
        <v>3291.2259310869013</v>
      </c>
      <c r="I25" s="55">
        <f>SUM(I18:I19)-SUM(I20:I21)++I22-I23+I24</f>
        <v>1459.6572413793103</v>
      </c>
      <c r="J25" s="55">
        <f>SUM(J18:J19)-SUM(J20:J21)++J22-J23+J24</f>
        <v>2803.844904632153</v>
      </c>
      <c r="K25" s="55">
        <f>SUM(K18:K19)-SUM(K20:K21)++K22-K23+K24</f>
        <v>5100.1750974610968</v>
      </c>
      <c r="L25" s="55">
        <f>SUM(L18:L19)-SUM(L20:L21)++L22-L23+L24</f>
        <v>5615.6419232832623</v>
      </c>
    </row>
    <row r="26" spans="1:12" ht="16.5" thickTop="1" x14ac:dyDescent="0.25"/>
    <row r="27" spans="1:12" x14ac:dyDescent="0.25">
      <c r="A27" s="98" t="s">
        <v>224</v>
      </c>
      <c r="G27" s="98" t="s">
        <v>226</v>
      </c>
    </row>
    <row r="28" spans="1:12" x14ac:dyDescent="0.25">
      <c r="A28" s="98" t="s">
        <v>223</v>
      </c>
      <c r="G28" s="98" t="s">
        <v>227</v>
      </c>
    </row>
    <row r="29" spans="1:12" x14ac:dyDescent="0.25">
      <c r="G29" s="98" t="s">
        <v>228</v>
      </c>
    </row>
  </sheetData>
  <mergeCells count="2">
    <mergeCell ref="B1:F1"/>
    <mergeCell ref="H1:L1"/>
  </mergeCells>
  <phoneticPr fontId="38" type="noConversion"/>
  <pageMargins left="0.75" right="0.75" top="1" bottom="1" header="0.5" footer="0.5"/>
  <pageSetup scale="36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B1" zoomScale="85" zoomScaleNormal="85" workbookViewId="0">
      <pane ySplit="2" topLeftCell="A19" activePane="bottomLeft" state="frozen"/>
      <selection pane="bottomLeft" activeCell="L34" sqref="L34"/>
    </sheetView>
  </sheetViews>
  <sheetFormatPr defaultColWidth="10.85546875" defaultRowHeight="15.75" x14ac:dyDescent="0.25"/>
  <cols>
    <col min="1" max="1" width="52.42578125" style="4" bestFit="1" customWidth="1"/>
    <col min="2" max="4" width="17.28515625" style="4" bestFit="1" customWidth="1"/>
    <col min="5" max="5" width="17.140625" style="4" bestFit="1" customWidth="1"/>
    <col min="6" max="6" width="17.28515625" style="4" bestFit="1" customWidth="1"/>
    <col min="7" max="7" width="66.140625" bestFit="1" customWidth="1"/>
    <col min="8" max="8" width="17.28515625" bestFit="1" customWidth="1"/>
    <col min="9" max="10" width="17.28515625" style="4" bestFit="1" customWidth="1"/>
    <col min="11" max="11" width="17.140625" style="4" bestFit="1" customWidth="1"/>
    <col min="12" max="12" width="17.28515625" style="4" bestFit="1" customWidth="1"/>
    <col min="13" max="16384" width="10.85546875" style="4"/>
  </cols>
  <sheetData>
    <row r="1" spans="1:12" ht="16.5" thickBot="1" x14ac:dyDescent="0.3">
      <c r="A1" s="85" t="s">
        <v>107</v>
      </c>
      <c r="B1" s="135" t="s">
        <v>197</v>
      </c>
      <c r="C1" s="136"/>
      <c r="D1" s="136"/>
      <c r="E1" s="136"/>
      <c r="F1" s="137"/>
      <c r="G1" s="85" t="s">
        <v>106</v>
      </c>
      <c r="H1" s="135" t="s">
        <v>197</v>
      </c>
      <c r="I1" s="136"/>
      <c r="J1" s="136"/>
      <c r="K1" s="136"/>
      <c r="L1" s="137"/>
    </row>
    <row r="2" spans="1:12" ht="16.5" thickBot="1" x14ac:dyDescent="0.3">
      <c r="A2" s="86" t="s">
        <v>100</v>
      </c>
      <c r="B2" s="24">
        <f>'Income Statement and NOPLAT'!B2</f>
        <v>39813</v>
      </c>
      <c r="C2" s="24">
        <f>DATE(YEAR(B2)+1,MONTH(B2),DAY(B2))</f>
        <v>40178</v>
      </c>
      <c r="D2" s="24">
        <f t="shared" ref="D2:F2" si="0">DATE(YEAR(C2)+1,MONTH(C2),DAY(C2))</f>
        <v>40543</v>
      </c>
      <c r="E2" s="24">
        <f t="shared" si="0"/>
        <v>40908</v>
      </c>
      <c r="F2" s="87">
        <f t="shared" si="0"/>
        <v>41274</v>
      </c>
      <c r="G2" s="86" t="s">
        <v>100</v>
      </c>
      <c r="H2" s="24">
        <f>'Income Statement and NOPLAT'!B2</f>
        <v>39813</v>
      </c>
      <c r="I2" s="24">
        <f>DATE(YEAR(H2)+1,MONTH(H2),DAY(H2))</f>
        <v>40178</v>
      </c>
      <c r="J2" s="24">
        <f t="shared" ref="J2:L2" si="1">DATE(YEAR(I2)+1,MONTH(I2),DAY(I2))</f>
        <v>40543</v>
      </c>
      <c r="K2" s="24">
        <f t="shared" si="1"/>
        <v>40908</v>
      </c>
      <c r="L2" s="87">
        <f t="shared" si="1"/>
        <v>41274</v>
      </c>
    </row>
    <row r="3" spans="1:12" x14ac:dyDescent="0.25">
      <c r="A3" s="41" t="s">
        <v>36</v>
      </c>
      <c r="G3" s="31" t="s">
        <v>108</v>
      </c>
      <c r="H3" s="30"/>
      <c r="I3" s="30"/>
      <c r="J3" s="30"/>
      <c r="K3" s="30"/>
      <c r="L3" s="30"/>
    </row>
    <row r="4" spans="1:12" x14ac:dyDescent="0.25">
      <c r="A4" s="42" t="s">
        <v>93</v>
      </c>
      <c r="G4" s="36" t="s">
        <v>87</v>
      </c>
      <c r="H4" s="54">
        <f>'Income Statement and NOPLAT'!B3</f>
        <v>48044</v>
      </c>
      <c r="I4" s="54">
        <f>'Income Statement and NOPLAT'!C3</f>
        <v>29540</v>
      </c>
      <c r="J4" s="54">
        <f>'Income Statement and NOPLAT'!D3</f>
        <v>39867</v>
      </c>
      <c r="K4" s="54">
        <f>'Income Statement and NOPLAT'!E3</f>
        <v>57392</v>
      </c>
      <c r="L4" s="54">
        <f>'Income Statement and NOPLAT'!F3</f>
        <v>63068</v>
      </c>
    </row>
    <row r="5" spans="1:12" x14ac:dyDescent="0.25">
      <c r="A5" s="123" t="s">
        <v>12</v>
      </c>
      <c r="B5" s="54">
        <v>1517</v>
      </c>
      <c r="C5" s="54">
        <v>2239</v>
      </c>
      <c r="D5" s="54">
        <v>1825</v>
      </c>
      <c r="E5" s="54">
        <v>1829</v>
      </c>
      <c r="F5" s="54">
        <v>3306</v>
      </c>
      <c r="G5" s="40" t="s">
        <v>126</v>
      </c>
      <c r="H5" s="32"/>
      <c r="I5" s="32"/>
      <c r="J5" s="32"/>
      <c r="K5" s="32"/>
      <c r="L5" s="32"/>
    </row>
    <row r="6" spans="1:12" x14ac:dyDescent="0.25">
      <c r="A6" s="43" t="s">
        <v>13</v>
      </c>
      <c r="B6" s="44">
        <v>6032</v>
      </c>
      <c r="C6" s="44">
        <v>3705</v>
      </c>
      <c r="D6" s="44">
        <v>5893</v>
      </c>
      <c r="E6" s="44">
        <v>5497</v>
      </c>
      <c r="F6" s="44">
        <v>5634</v>
      </c>
      <c r="G6" s="126" t="s">
        <v>119</v>
      </c>
      <c r="H6" s="26">
        <f>H4*Assumptions!$B$8</f>
        <v>960.88</v>
      </c>
      <c r="I6" s="26">
        <f>I4*Assumptions!$B$8</f>
        <v>590.80000000000007</v>
      </c>
      <c r="J6" s="26">
        <f>J4*Assumptions!$B$8</f>
        <v>797.34</v>
      </c>
      <c r="K6" s="26">
        <f>K4*Assumptions!$B$8</f>
        <v>1147.8399999999999</v>
      </c>
      <c r="L6" s="26">
        <f>L4*Assumptions!$B$8</f>
        <v>1261.3600000000001</v>
      </c>
    </row>
    <row r="7" spans="1:12" x14ac:dyDescent="0.25">
      <c r="A7" s="123" t="s">
        <v>14</v>
      </c>
      <c r="B7" s="44">
        <v>1014</v>
      </c>
      <c r="C7" s="44">
        <v>1094</v>
      </c>
      <c r="D7" s="44">
        <v>823</v>
      </c>
      <c r="E7" s="44">
        <v>1515</v>
      </c>
      <c r="F7" s="44">
        <v>1501</v>
      </c>
      <c r="G7" s="39" t="s">
        <v>13</v>
      </c>
      <c r="H7" s="26">
        <f>'Balance Sheet and Invested Capi'!B6</f>
        <v>6032</v>
      </c>
      <c r="I7" s="26">
        <f>'Balance Sheet and Invested Capi'!C6</f>
        <v>3705</v>
      </c>
      <c r="J7" s="26">
        <f>'Balance Sheet and Invested Capi'!D6</f>
        <v>5893</v>
      </c>
      <c r="K7" s="26">
        <f>'Balance Sheet and Invested Capi'!E6</f>
        <v>5497</v>
      </c>
      <c r="L7" s="26">
        <f>'Balance Sheet and Invested Capi'!F6</f>
        <v>5634</v>
      </c>
    </row>
    <row r="8" spans="1:12" x14ac:dyDescent="0.25">
      <c r="A8" s="43" t="s">
        <v>15</v>
      </c>
      <c r="B8" s="44">
        <v>510</v>
      </c>
      <c r="C8" s="44">
        <v>385</v>
      </c>
      <c r="D8" s="44">
        <v>371</v>
      </c>
      <c r="E8" s="44">
        <v>525</v>
      </c>
      <c r="F8" s="44">
        <v>547</v>
      </c>
      <c r="G8" s="39" t="s">
        <v>15</v>
      </c>
      <c r="H8" s="26">
        <f>'Balance Sheet and Invested Capi'!B8</f>
        <v>510</v>
      </c>
      <c r="I8" s="26">
        <f>'Balance Sheet and Invested Capi'!C8</f>
        <v>385</v>
      </c>
      <c r="J8" s="26">
        <f>'Balance Sheet and Invested Capi'!D8</f>
        <v>371</v>
      </c>
      <c r="K8" s="26">
        <f>'Balance Sheet and Invested Capi'!E8</f>
        <v>525</v>
      </c>
      <c r="L8" s="26">
        <f>'Balance Sheet and Invested Capi'!F8</f>
        <v>547</v>
      </c>
    </row>
    <row r="9" spans="1:12" x14ac:dyDescent="0.25">
      <c r="A9" s="43" t="s">
        <v>16</v>
      </c>
      <c r="B9" s="44">
        <v>8781</v>
      </c>
      <c r="C9" s="44">
        <v>6360</v>
      </c>
      <c r="D9" s="44">
        <v>9587</v>
      </c>
      <c r="E9" s="44">
        <v>14544</v>
      </c>
      <c r="F9" s="44">
        <v>15547</v>
      </c>
      <c r="G9" s="126" t="s">
        <v>16</v>
      </c>
      <c r="H9" s="26">
        <f>'Balance Sheet and Invested Capi'!B9</f>
        <v>8781</v>
      </c>
      <c r="I9" s="26">
        <f>'Balance Sheet and Invested Capi'!C9</f>
        <v>6360</v>
      </c>
      <c r="J9" s="26">
        <f>'Balance Sheet and Invested Capi'!D9</f>
        <v>9587</v>
      </c>
      <c r="K9" s="26">
        <f>'Balance Sheet and Invested Capi'!E9</f>
        <v>14544</v>
      </c>
      <c r="L9" s="26">
        <f>'Balance Sheet and Invested Capi'!F9</f>
        <v>15547</v>
      </c>
    </row>
    <row r="10" spans="1:12" x14ac:dyDescent="0.25">
      <c r="A10" s="4" t="s">
        <v>17</v>
      </c>
      <c r="B10" s="45">
        <f>SUM(B5:B9)</f>
        <v>17854</v>
      </c>
      <c r="C10" s="45">
        <f>SUM(C5:C9)</f>
        <v>13783</v>
      </c>
      <c r="D10" s="45">
        <f t="shared" ref="D10" si="2">SUM(D5:D9)</f>
        <v>18499</v>
      </c>
      <c r="E10" s="45">
        <f>SUM(E5:E9)</f>
        <v>23910</v>
      </c>
      <c r="F10" s="45">
        <f>SUM(F5:F9)</f>
        <v>26535</v>
      </c>
      <c r="G10" s="38" t="s">
        <v>127</v>
      </c>
      <c r="H10" s="27">
        <f>SUM(H6:H9)</f>
        <v>16283.880000000001</v>
      </c>
      <c r="I10" s="27">
        <f>SUM(I6:I9)</f>
        <v>11040.8</v>
      </c>
      <c r="J10" s="27">
        <f>SUM(J6:J9)</f>
        <v>16648.34</v>
      </c>
      <c r="K10" s="27">
        <f>SUM(K6:K9)</f>
        <v>21713.84</v>
      </c>
      <c r="L10" s="27">
        <f>SUM(L6:L9)</f>
        <v>22989.360000000001</v>
      </c>
    </row>
    <row r="11" spans="1:12" x14ac:dyDescent="0.25">
      <c r="A11" s="128" t="s">
        <v>94</v>
      </c>
      <c r="B11" s="44">
        <v>9380</v>
      </c>
      <c r="C11" s="44">
        <v>9308</v>
      </c>
      <c r="D11" s="44">
        <v>9662</v>
      </c>
      <c r="E11" s="44">
        <v>11492</v>
      </c>
      <c r="F11" s="44">
        <v>13058</v>
      </c>
      <c r="G11" s="35"/>
      <c r="H11" s="35"/>
      <c r="I11" s="35"/>
      <c r="J11" s="35"/>
      <c r="K11" s="35"/>
      <c r="L11" s="35"/>
    </row>
    <row r="12" spans="1:12" x14ac:dyDescent="0.25">
      <c r="A12" s="128" t="s">
        <v>18</v>
      </c>
      <c r="B12" s="44">
        <v>357</v>
      </c>
      <c r="C12" s="44">
        <v>381</v>
      </c>
      <c r="D12" s="44">
        <v>271</v>
      </c>
      <c r="E12" s="44">
        <v>281</v>
      </c>
      <c r="F12" s="44">
        <v>195</v>
      </c>
      <c r="G12" s="38" t="s">
        <v>128</v>
      </c>
      <c r="H12" s="35"/>
      <c r="I12" s="35"/>
      <c r="J12" s="35"/>
      <c r="K12" s="35"/>
      <c r="L12" s="35"/>
    </row>
    <row r="13" spans="1:12" x14ac:dyDescent="0.25">
      <c r="A13" s="42" t="s">
        <v>19</v>
      </c>
      <c r="B13" s="44">
        <v>137</v>
      </c>
      <c r="C13" s="44">
        <v>97</v>
      </c>
      <c r="D13" s="44">
        <v>156</v>
      </c>
      <c r="E13" s="44">
        <v>133</v>
      </c>
      <c r="F13" s="44">
        <v>272</v>
      </c>
      <c r="G13" s="25" t="s">
        <v>25</v>
      </c>
      <c r="H13" s="26">
        <f>'Balance Sheet and Invested Capi'!B24</f>
        <v>4654</v>
      </c>
      <c r="I13" s="26">
        <f>'Balance Sheet and Invested Capi'!C24</f>
        <v>2862</v>
      </c>
      <c r="J13" s="26">
        <f>'Balance Sheet and Invested Capi'!D24</f>
        <v>5717</v>
      </c>
      <c r="K13" s="26">
        <f>'Balance Sheet and Invested Capi'!E24</f>
        <v>8106</v>
      </c>
      <c r="L13" s="26">
        <f>'Balance Sheet and Invested Capi'!F24</f>
        <v>6718</v>
      </c>
    </row>
    <row r="14" spans="1:12" x14ac:dyDescent="0.25">
      <c r="A14" s="42" t="s">
        <v>109</v>
      </c>
      <c r="B14" s="44">
        <v>3727</v>
      </c>
      <c r="C14" s="44">
        <v>4514</v>
      </c>
      <c r="D14" s="44">
        <v>4275</v>
      </c>
      <c r="E14" s="44">
        <v>4035</v>
      </c>
      <c r="F14" s="44">
        <v>4433</v>
      </c>
      <c r="G14" s="25" t="s">
        <v>26</v>
      </c>
      <c r="H14" s="26">
        <f>'Balance Sheet and Invested Capi'!B25</f>
        <v>2621</v>
      </c>
      <c r="I14" s="26">
        <f>'Balance Sheet and Invested Capi'!C25</f>
        <v>2055</v>
      </c>
      <c r="J14" s="26">
        <f>'Balance Sheet and Invested Capi'!D25</f>
        <v>2422</v>
      </c>
      <c r="K14" s="26">
        <f>'Balance Sheet and Invested Capi'!E25</f>
        <v>2957</v>
      </c>
      <c r="L14" s="26">
        <f>'Balance Sheet and Invested Capi'!F25</f>
        <v>3258</v>
      </c>
    </row>
    <row r="15" spans="1:12" x14ac:dyDescent="0.25">
      <c r="A15" s="42" t="s">
        <v>20</v>
      </c>
      <c r="B15" s="44">
        <v>3725</v>
      </c>
      <c r="C15" s="44">
        <v>3083</v>
      </c>
      <c r="D15" s="44">
        <v>2922</v>
      </c>
      <c r="E15" s="44">
        <v>2593</v>
      </c>
      <c r="F15" s="44">
        <v>2422</v>
      </c>
      <c r="G15" s="25" t="s">
        <v>95</v>
      </c>
      <c r="H15" s="26">
        <f>'Balance Sheet and Invested Capi'!B26</f>
        <v>1228</v>
      </c>
      <c r="I15" s="26">
        <f>'Balance Sheet and Invested Capi'!C26</f>
        <v>790</v>
      </c>
      <c r="J15" s="26">
        <f>'Balance Sheet and Invested Capi'!D26</f>
        <v>1642</v>
      </c>
      <c r="K15" s="26">
        <f>'Balance Sheet and Invested Capi'!E26</f>
        <v>2373</v>
      </c>
      <c r="L15" s="26">
        <f>'Balance Sheet and Invested Capi'!F26</f>
        <v>1876</v>
      </c>
    </row>
    <row r="16" spans="1:12" x14ac:dyDescent="0.25">
      <c r="A16" s="128" t="s">
        <v>21</v>
      </c>
      <c r="B16" s="44">
        <v>510</v>
      </c>
      <c r="C16" s="44">
        <v>464</v>
      </c>
      <c r="D16" s="44">
        <v>795</v>
      </c>
      <c r="E16" s="44">
        <v>4359</v>
      </c>
      <c r="F16" s="44">
        <v>4008</v>
      </c>
      <c r="G16" s="127" t="s">
        <v>234</v>
      </c>
      <c r="H16" s="26">
        <f>'Balance Sheet and Invested Capi'!B27</f>
        <v>1898</v>
      </c>
      <c r="I16" s="26">
        <f>'Balance Sheet and Invested Capi'!C27</f>
        <v>1217</v>
      </c>
      <c r="J16" s="26">
        <f>'Balance Sheet and Invested Capi'!D27</f>
        <v>1831</v>
      </c>
      <c r="K16" s="26">
        <f>'Balance Sheet and Invested Capi'!E27</f>
        <v>2691</v>
      </c>
      <c r="L16" s="26">
        <f>'Balance Sheet and Invested Capi'!F27</f>
        <v>2978</v>
      </c>
    </row>
    <row r="17" spans="1:12" x14ac:dyDescent="0.25">
      <c r="A17" s="128" t="s">
        <v>22</v>
      </c>
      <c r="B17" s="44">
        <v>2261</v>
      </c>
      <c r="C17" s="44">
        <v>2269</v>
      </c>
      <c r="D17" s="44">
        <v>2597</v>
      </c>
      <c r="E17" s="44">
        <v>7063</v>
      </c>
      <c r="F17" s="44">
        <v>6925</v>
      </c>
      <c r="G17" s="25" t="s">
        <v>29</v>
      </c>
      <c r="H17" s="26">
        <f>'Balance Sheet and Invested Capi'!B29</f>
        <v>1002</v>
      </c>
      <c r="I17" s="26">
        <f>'Balance Sheet and Invested Capi'!C29</f>
        <v>808</v>
      </c>
      <c r="J17" s="26">
        <f>'Balance Sheet and Invested Capi'!D29</f>
        <v>1142</v>
      </c>
      <c r="K17" s="26">
        <f>'Balance Sheet and Invested Capi'!E29</f>
        <v>1590</v>
      </c>
      <c r="L17" s="26">
        <f>'Balance Sheet and Invested Capi'!F29</f>
        <v>1561</v>
      </c>
    </row>
    <row r="18" spans="1:12" x14ac:dyDescent="0.25">
      <c r="A18" s="42" t="s">
        <v>23</v>
      </c>
      <c r="B18" s="44">
        <v>310</v>
      </c>
      <c r="C18" s="44">
        <v>297</v>
      </c>
      <c r="D18" s="44">
        <v>314</v>
      </c>
      <c r="E18" s="44">
        <v>813</v>
      </c>
      <c r="F18" s="44">
        <v>436</v>
      </c>
      <c r="G18" s="25" t="s">
        <v>43</v>
      </c>
      <c r="H18" s="26">
        <f>'Balance Sheet and Invested Capi'!B30</f>
        <v>456</v>
      </c>
      <c r="I18" s="26">
        <f>'Balance Sheet and Invested Capi'!C30</f>
        <v>302</v>
      </c>
      <c r="J18" s="26">
        <f>'Balance Sheet and Invested Capi'!D30</f>
        <v>495</v>
      </c>
      <c r="K18" s="26">
        <f>'Balance Sheet and Invested Capi'!E30</f>
        <v>558</v>
      </c>
      <c r="L18" s="26">
        <f>'Balance Sheet and Invested Capi'!F30</f>
        <v>1113</v>
      </c>
    </row>
    <row r="19" spans="1:12" ht="16.5" thickBot="1" x14ac:dyDescent="0.3">
      <c r="A19" s="41" t="s">
        <v>24</v>
      </c>
      <c r="B19" s="55">
        <f>SUM(B10:B18)</f>
        <v>38261</v>
      </c>
      <c r="C19" s="55">
        <f>SUM(C10:C18)</f>
        <v>34196</v>
      </c>
      <c r="D19" s="55">
        <f t="shared" ref="D19" si="3">SUM(D10:D18)</f>
        <v>39491</v>
      </c>
      <c r="E19" s="55">
        <f>SUM(E10:E18)</f>
        <v>54679</v>
      </c>
      <c r="F19" s="55">
        <f>SUM(F10:F18)</f>
        <v>58284</v>
      </c>
      <c r="G19" s="38" t="s">
        <v>129</v>
      </c>
      <c r="H19" s="37">
        <f>SUM(H13:H18)</f>
        <v>11859</v>
      </c>
      <c r="I19" s="37">
        <f>SUM(I13:I18)</f>
        <v>8034</v>
      </c>
      <c r="J19" s="37">
        <f>SUM(J13:J18)</f>
        <v>13249</v>
      </c>
      <c r="K19" s="37">
        <f>SUM(K13:K18)</f>
        <v>18275</v>
      </c>
      <c r="L19" s="37">
        <f>SUM(L13:L18)</f>
        <v>17504</v>
      </c>
    </row>
    <row r="20" spans="1:12" ht="16.5" thickTop="1" x14ac:dyDescent="0.25">
      <c r="G20" s="35"/>
      <c r="H20" s="35"/>
      <c r="I20" s="35"/>
      <c r="J20" s="35"/>
      <c r="K20" s="35"/>
      <c r="L20" s="35"/>
    </row>
    <row r="21" spans="1:12" x14ac:dyDescent="0.25">
      <c r="A21" s="41" t="s">
        <v>37</v>
      </c>
      <c r="G21" s="38" t="s">
        <v>130</v>
      </c>
      <c r="H21" s="37">
        <f>H10-H19</f>
        <v>4424.880000000001</v>
      </c>
      <c r="I21" s="37">
        <f>I10-I19</f>
        <v>3006.7999999999993</v>
      </c>
      <c r="J21" s="37">
        <f>J10-J19</f>
        <v>3399.34</v>
      </c>
      <c r="K21" s="37">
        <f>K10-K19</f>
        <v>3438.84</v>
      </c>
      <c r="L21" s="37">
        <f>L10-L19</f>
        <v>5485.3600000000006</v>
      </c>
    </row>
    <row r="22" spans="1:12" x14ac:dyDescent="0.25">
      <c r="A22" s="42" t="s">
        <v>40</v>
      </c>
      <c r="G22" s="35"/>
      <c r="H22" s="35"/>
      <c r="I22" s="35"/>
      <c r="J22" s="35"/>
      <c r="K22" s="35"/>
      <c r="L22" s="35"/>
    </row>
    <row r="23" spans="1:12" x14ac:dyDescent="0.25">
      <c r="A23" s="123" t="s">
        <v>42</v>
      </c>
      <c r="B23" s="124">
        <v>1632</v>
      </c>
      <c r="C23" s="54">
        <v>1433</v>
      </c>
      <c r="D23" s="54">
        <v>306</v>
      </c>
      <c r="E23" s="54">
        <v>157</v>
      </c>
      <c r="F23" s="54">
        <v>668</v>
      </c>
      <c r="G23" s="38" t="s">
        <v>94</v>
      </c>
      <c r="H23" s="129">
        <f>'Balance Sheet and Invested Capi'!B11</f>
        <v>9380</v>
      </c>
      <c r="I23" s="26">
        <f>'Balance Sheet and Invested Capi'!C11</f>
        <v>9308</v>
      </c>
      <c r="J23" s="26">
        <f>'Balance Sheet and Invested Capi'!D11</f>
        <v>9662</v>
      </c>
      <c r="K23" s="26">
        <f>'Balance Sheet and Invested Capi'!E11</f>
        <v>11492</v>
      </c>
      <c r="L23" s="26">
        <f>'Balance Sheet and Invested Capi'!F11</f>
        <v>13058</v>
      </c>
    </row>
    <row r="24" spans="1:12" x14ac:dyDescent="0.25">
      <c r="A24" s="43" t="s">
        <v>25</v>
      </c>
      <c r="B24" s="44">
        <v>4654</v>
      </c>
      <c r="C24" s="44">
        <v>2862</v>
      </c>
      <c r="D24" s="44">
        <v>5717</v>
      </c>
      <c r="E24" s="44">
        <v>8106</v>
      </c>
      <c r="F24" s="44">
        <v>6718</v>
      </c>
      <c r="G24" s="38" t="s">
        <v>18</v>
      </c>
      <c r="H24" s="129">
        <f>'Balance Sheet and Invested Capi'!B12</f>
        <v>357</v>
      </c>
      <c r="I24" s="26">
        <f>'Balance Sheet and Invested Capi'!C12</f>
        <v>381</v>
      </c>
      <c r="J24" s="26">
        <f>'Balance Sheet and Invested Capi'!D12</f>
        <v>271</v>
      </c>
      <c r="K24" s="26">
        <f>'Balance Sheet and Invested Capi'!E12</f>
        <v>281</v>
      </c>
      <c r="L24" s="26">
        <f>'Balance Sheet and Invested Capi'!F12</f>
        <v>195</v>
      </c>
    </row>
    <row r="25" spans="1:12" x14ac:dyDescent="0.25">
      <c r="A25" s="43" t="s">
        <v>26</v>
      </c>
      <c r="B25" s="44">
        <v>2621</v>
      </c>
      <c r="C25" s="44">
        <v>2055</v>
      </c>
      <c r="D25" s="44">
        <v>2422</v>
      </c>
      <c r="E25" s="44">
        <v>2957</v>
      </c>
      <c r="F25" s="44">
        <v>3258</v>
      </c>
      <c r="G25" s="38" t="s">
        <v>23</v>
      </c>
      <c r="H25" s="129">
        <f>'Balance Sheet and Invested Capi'!B18</f>
        <v>310</v>
      </c>
      <c r="I25" s="26">
        <f>'Balance Sheet and Invested Capi'!C18</f>
        <v>297</v>
      </c>
      <c r="J25" s="26">
        <f>'Balance Sheet and Invested Capi'!D18</f>
        <v>314</v>
      </c>
      <c r="K25" s="26">
        <f>'Balance Sheet and Invested Capi'!E18</f>
        <v>813</v>
      </c>
      <c r="L25" s="26">
        <f>'Balance Sheet and Invested Capi'!F18</f>
        <v>436</v>
      </c>
    </row>
    <row r="26" spans="1:12" x14ac:dyDescent="0.25">
      <c r="A26" s="43" t="s">
        <v>95</v>
      </c>
      <c r="B26" s="44">
        <v>1228</v>
      </c>
      <c r="C26" s="44">
        <v>790</v>
      </c>
      <c r="D26" s="44">
        <v>1642</v>
      </c>
      <c r="E26" s="44">
        <v>2373</v>
      </c>
      <c r="F26" s="44">
        <v>1876</v>
      </c>
      <c r="G26" s="52" t="s">
        <v>142</v>
      </c>
      <c r="H26" s="129">
        <v>1092.25</v>
      </c>
      <c r="I26" s="26">
        <v>1100.4100000000001</v>
      </c>
      <c r="J26" s="26">
        <v>1197.54</v>
      </c>
      <c r="K26" s="26">
        <v>1244.19</v>
      </c>
      <c r="L26" s="26">
        <v>899.65</v>
      </c>
    </row>
    <row r="27" spans="1:12" x14ac:dyDescent="0.25">
      <c r="A27" s="43" t="s">
        <v>27</v>
      </c>
      <c r="B27" s="44">
        <v>1898</v>
      </c>
      <c r="C27" s="44">
        <v>1217</v>
      </c>
      <c r="D27" s="44">
        <v>1831</v>
      </c>
      <c r="E27" s="44">
        <v>2691</v>
      </c>
      <c r="F27" s="44">
        <v>2978</v>
      </c>
      <c r="G27" s="98" t="s">
        <v>230</v>
      </c>
      <c r="H27" s="26">
        <f>'Balance Sheet and Invested Capi'!B34</f>
        <v>2165</v>
      </c>
      <c r="I27" s="26">
        <f>'Balance Sheet and Invested Capi'!C34</f>
        <v>2060</v>
      </c>
      <c r="J27" s="26">
        <f>'Balance Sheet and Invested Capi'!D34</f>
        <v>2203</v>
      </c>
      <c r="K27" s="26">
        <f>'Balance Sheet and Invested Capi'!E34</f>
        <v>3145</v>
      </c>
      <c r="L27" s="26">
        <f>'Balance Sheet and Invested Capi'!F34</f>
        <v>2740</v>
      </c>
    </row>
    <row r="28" spans="1:12" x14ac:dyDescent="0.25">
      <c r="A28" s="123" t="s">
        <v>28</v>
      </c>
      <c r="B28" s="44">
        <v>253</v>
      </c>
      <c r="C28" s="44">
        <v>262</v>
      </c>
      <c r="D28" s="44">
        <v>281</v>
      </c>
      <c r="E28" s="44">
        <v>298</v>
      </c>
      <c r="F28" s="46">
        <v>0</v>
      </c>
      <c r="G28" s="38" t="s">
        <v>132</v>
      </c>
      <c r="H28" s="37">
        <f>H21+SUM(H23:H26)-H27</f>
        <v>13399.130000000001</v>
      </c>
      <c r="I28" s="37">
        <f>I21+SUM(I23:I26)-I27</f>
        <v>12033.21</v>
      </c>
      <c r="J28" s="37">
        <f>J21+SUM(J23:J26)-J27</f>
        <v>12640.880000000001</v>
      </c>
      <c r="K28" s="37">
        <f>K21+SUM(K23:K26)-K27</f>
        <v>14124.029999999999</v>
      </c>
      <c r="L28" s="37">
        <f>L21+SUM(L23:L26)-L27</f>
        <v>17334.010000000002</v>
      </c>
    </row>
    <row r="29" spans="1:12" x14ac:dyDescent="0.25">
      <c r="A29" s="43" t="s">
        <v>29</v>
      </c>
      <c r="B29" s="44">
        <v>1002</v>
      </c>
      <c r="C29" s="44">
        <v>808</v>
      </c>
      <c r="D29" s="44">
        <v>1142</v>
      </c>
      <c r="E29" s="44">
        <v>1590</v>
      </c>
      <c r="F29" s="44">
        <v>1561</v>
      </c>
      <c r="G29" s="35"/>
      <c r="H29" s="35"/>
      <c r="I29" s="35"/>
      <c r="J29" s="35"/>
      <c r="K29" s="35"/>
      <c r="L29" s="35"/>
    </row>
    <row r="30" spans="1:12" x14ac:dyDescent="0.25">
      <c r="A30" s="43" t="s">
        <v>43</v>
      </c>
      <c r="B30" s="44">
        <v>456</v>
      </c>
      <c r="C30" s="44">
        <v>302</v>
      </c>
      <c r="D30" s="44">
        <v>495</v>
      </c>
      <c r="E30" s="44">
        <v>558</v>
      </c>
      <c r="F30" s="44">
        <v>1113</v>
      </c>
      <c r="G30" s="38" t="s">
        <v>131</v>
      </c>
      <c r="H30" s="26">
        <f>'Balance Sheet and Invested Capi'!B16</f>
        <v>510</v>
      </c>
      <c r="I30" s="26">
        <f>'Balance Sheet and Invested Capi'!C16</f>
        <v>464</v>
      </c>
      <c r="J30" s="26">
        <f>'Balance Sheet and Invested Capi'!D16</f>
        <v>795</v>
      </c>
      <c r="K30" s="26">
        <f>'Balance Sheet and Invested Capi'!E16</f>
        <v>4359</v>
      </c>
      <c r="L30" s="26">
        <f>'Balance Sheet and Invested Capi'!F16</f>
        <v>4008</v>
      </c>
    </row>
    <row r="31" spans="1:12" x14ac:dyDescent="0.25">
      <c r="A31" s="42" t="s">
        <v>30</v>
      </c>
      <c r="B31" s="45">
        <f>SUM(B23:B30)</f>
        <v>13744</v>
      </c>
      <c r="C31" s="45">
        <f>SUM(C23:C30)</f>
        <v>9729</v>
      </c>
      <c r="D31" s="45">
        <f t="shared" ref="D31" si="4">SUM(D23:D30)</f>
        <v>13836</v>
      </c>
      <c r="E31" s="45">
        <f>SUM(E23:E30)</f>
        <v>18730</v>
      </c>
      <c r="F31" s="45">
        <f>SUM(F23:F30)</f>
        <v>18172</v>
      </c>
      <c r="G31" s="38" t="s">
        <v>22</v>
      </c>
      <c r="H31" s="26">
        <f>'Balance Sheet and Invested Capi'!B17</f>
        <v>2261</v>
      </c>
      <c r="I31" s="26">
        <f>'Balance Sheet and Invested Capi'!C17</f>
        <v>2269</v>
      </c>
      <c r="J31" s="26">
        <f>'Balance Sheet and Invested Capi'!D17</f>
        <v>2597</v>
      </c>
      <c r="K31" s="26">
        <f>'Balance Sheet and Invested Capi'!E17</f>
        <v>7063</v>
      </c>
      <c r="L31" s="26">
        <f>'Balance Sheet and Invested Capi'!F17</f>
        <v>6925</v>
      </c>
    </row>
    <row r="32" spans="1:12" x14ac:dyDescent="0.25">
      <c r="A32" s="42" t="s">
        <v>44</v>
      </c>
      <c r="B32" s="44">
        <v>5766</v>
      </c>
      <c r="C32" s="44">
        <v>5687</v>
      </c>
      <c r="D32" s="44">
        <v>4543</v>
      </c>
      <c r="E32" s="44">
        <v>8446</v>
      </c>
      <c r="F32" s="44">
        <v>8705</v>
      </c>
      <c r="G32" s="38" t="s">
        <v>120</v>
      </c>
      <c r="H32" s="27">
        <f>H28+SUM(H30:H31)</f>
        <v>16170.130000000001</v>
      </c>
      <c r="I32" s="27">
        <f>I28+SUM(I30:I31)</f>
        <v>14766.21</v>
      </c>
      <c r="J32" s="27">
        <f>J28+SUM(J30:J31)</f>
        <v>16032.880000000001</v>
      </c>
      <c r="K32" s="27">
        <f>K28+SUM(K30:K31)</f>
        <v>25546.03</v>
      </c>
      <c r="L32" s="27">
        <f>L28+SUM(L30:L31)</f>
        <v>28267.010000000002</v>
      </c>
    </row>
    <row r="33" spans="1:21" x14ac:dyDescent="0.25">
      <c r="A33" s="42" t="s">
        <v>96</v>
      </c>
      <c r="B33" s="44">
        <v>9975</v>
      </c>
      <c r="C33" s="44">
        <v>7420</v>
      </c>
      <c r="D33" s="44">
        <v>7584</v>
      </c>
      <c r="E33" s="44">
        <v>10956</v>
      </c>
      <c r="F33" s="44">
        <v>11085</v>
      </c>
      <c r="G33" s="38"/>
      <c r="H33" s="26"/>
      <c r="I33" s="26"/>
      <c r="J33" s="26"/>
      <c r="K33" s="26"/>
      <c r="L33" s="26"/>
    </row>
    <row r="34" spans="1:21" x14ac:dyDescent="0.25">
      <c r="A34" s="128" t="s">
        <v>31</v>
      </c>
      <c r="B34" s="44">
        <v>2165</v>
      </c>
      <c r="C34" s="44">
        <v>2060</v>
      </c>
      <c r="D34" s="44">
        <v>2203</v>
      </c>
      <c r="E34" s="44">
        <v>3145</v>
      </c>
      <c r="F34" s="44">
        <v>2740</v>
      </c>
      <c r="G34" s="130" t="s">
        <v>235</v>
      </c>
      <c r="H34" s="26">
        <f>'Balance Sheet and Invested Capi'!B5-'Balance Sheet and Invested Capi'!H6-'Balance Sheet and Invested Capi'!B28</f>
        <v>303.12</v>
      </c>
      <c r="I34" s="26">
        <f>'Balance Sheet and Invested Capi'!C5-'Balance Sheet and Invested Capi'!I6-'Balance Sheet and Invested Capi'!C28</f>
        <v>1386.1999999999998</v>
      </c>
      <c r="J34" s="26">
        <f>'Balance Sheet and Invested Capi'!D5-'Balance Sheet and Invested Capi'!J6-'Balance Sheet and Invested Capi'!D28</f>
        <v>746.65999999999985</v>
      </c>
      <c r="K34" s="26">
        <f>'Balance Sheet and Invested Capi'!E5-'Balance Sheet and Invested Capi'!K6-'Balance Sheet and Invested Capi'!E28</f>
        <v>383.16000000000008</v>
      </c>
      <c r="L34" s="26">
        <f>'Balance Sheet and Invested Capi'!F5-'Balance Sheet and Invested Capi'!L6-'Balance Sheet and Invested Capi'!F28</f>
        <v>2044.6399999999999</v>
      </c>
    </row>
    <row r="35" spans="1:21" x14ac:dyDescent="0.25">
      <c r="A35" s="41" t="s">
        <v>32</v>
      </c>
      <c r="B35" s="47">
        <f>SUM(B31:B34)</f>
        <v>31650</v>
      </c>
      <c r="C35" s="47">
        <f>SUM(C31:C34)</f>
        <v>24896</v>
      </c>
      <c r="D35" s="47">
        <f t="shared" ref="D35" si="5">SUM(D31:D34)</f>
        <v>28166</v>
      </c>
      <c r="E35" s="47">
        <f>SUM(E31:E34)</f>
        <v>41277</v>
      </c>
      <c r="F35" s="47">
        <f>SUM(F31:F34)</f>
        <v>40702</v>
      </c>
      <c r="G35" s="130" t="s">
        <v>236</v>
      </c>
      <c r="H35" s="26">
        <f>'Balance Sheet and Invested Capi'!B13</f>
        <v>137</v>
      </c>
      <c r="I35" s="26">
        <f>'Balance Sheet and Invested Capi'!C13</f>
        <v>97</v>
      </c>
      <c r="J35" s="26">
        <f>'Balance Sheet and Invested Capi'!D13</f>
        <v>156</v>
      </c>
      <c r="K35" s="26">
        <f>'Balance Sheet and Invested Capi'!E13</f>
        <v>133</v>
      </c>
      <c r="L35" s="26">
        <f>'Balance Sheet and Invested Capi'!F13</f>
        <v>272</v>
      </c>
    </row>
    <row r="36" spans="1:21" x14ac:dyDescent="0.25">
      <c r="A36" s="41"/>
      <c r="B36" s="48"/>
      <c r="C36" s="48"/>
      <c r="D36" s="48"/>
      <c r="E36" s="48"/>
      <c r="F36" s="48"/>
      <c r="G36" s="38" t="s">
        <v>109</v>
      </c>
      <c r="H36" s="26">
        <f>'Balance Sheet and Invested Capi'!B14</f>
        <v>3727</v>
      </c>
      <c r="I36" s="26">
        <f>'Balance Sheet and Invested Capi'!C14</f>
        <v>4514</v>
      </c>
      <c r="J36" s="26">
        <f>'Balance Sheet and Invested Capi'!D14</f>
        <v>4275</v>
      </c>
      <c r="K36" s="26">
        <f>'Balance Sheet and Invested Capi'!E14</f>
        <v>4035</v>
      </c>
      <c r="L36" s="26">
        <f>'Balance Sheet and Invested Capi'!F14</f>
        <v>4433</v>
      </c>
    </row>
    <row r="37" spans="1:21" x14ac:dyDescent="0.25">
      <c r="A37" s="41" t="s">
        <v>38</v>
      </c>
      <c r="B37" s="49">
        <v>524</v>
      </c>
      <c r="C37" s="49">
        <v>477</v>
      </c>
      <c r="D37" s="49">
        <v>461</v>
      </c>
      <c r="E37" s="49">
        <v>473</v>
      </c>
      <c r="F37" s="49">
        <v>0</v>
      </c>
      <c r="G37" s="38" t="s">
        <v>133</v>
      </c>
      <c r="H37" s="26">
        <f>'Balance Sheet and Invested Capi'!B7+'Balance Sheet and Invested Capi'!B15</f>
        <v>4739</v>
      </c>
      <c r="I37" s="26">
        <f>'Balance Sheet and Invested Capi'!C7+'Balance Sheet and Invested Capi'!C15</f>
        <v>4177</v>
      </c>
      <c r="J37" s="26">
        <f>'Balance Sheet and Invested Capi'!D7+'Balance Sheet and Invested Capi'!D15</f>
        <v>3745</v>
      </c>
      <c r="K37" s="26">
        <f>'Balance Sheet and Invested Capi'!E7+'Balance Sheet and Invested Capi'!E15</f>
        <v>4108</v>
      </c>
      <c r="L37" s="26">
        <f>'Balance Sheet and Invested Capi'!F7+'Balance Sheet and Invested Capi'!F15</f>
        <v>3923</v>
      </c>
    </row>
    <row r="38" spans="1:21" ht="16.5" thickBot="1" x14ac:dyDescent="0.3">
      <c r="G38" s="38" t="s">
        <v>124</v>
      </c>
      <c r="H38" s="55">
        <f>H32+SUM(H34:H37)</f>
        <v>25076.25</v>
      </c>
      <c r="I38" s="55">
        <f>I32+SUM(I34:I37)</f>
        <v>24940.41</v>
      </c>
      <c r="J38" s="55">
        <f>J32+SUM(J34:J37)</f>
        <v>24955.54</v>
      </c>
      <c r="K38" s="55">
        <f>K32+SUM(K34:K37)</f>
        <v>34205.19</v>
      </c>
      <c r="L38" s="55">
        <f>L32+SUM(L34:L37)</f>
        <v>38939.65</v>
      </c>
    </row>
    <row r="39" spans="1:21" ht="16.5" thickTop="1" x14ac:dyDescent="0.25">
      <c r="A39" s="41" t="s">
        <v>33</v>
      </c>
      <c r="G39" s="35"/>
      <c r="H39" s="35"/>
      <c r="I39" s="35"/>
      <c r="J39" s="35"/>
      <c r="K39" s="35"/>
      <c r="L39" s="35"/>
    </row>
    <row r="40" spans="1:21" x14ac:dyDescent="0.25">
      <c r="A40" s="42" t="s">
        <v>39</v>
      </c>
      <c r="B40" s="44">
        <v>3057</v>
      </c>
      <c r="C40" s="44">
        <v>3439</v>
      </c>
      <c r="D40" s="44">
        <v>3888</v>
      </c>
      <c r="E40" s="44">
        <v>4273</v>
      </c>
      <c r="F40" s="44">
        <v>4481</v>
      </c>
      <c r="G40" s="35"/>
      <c r="H40" s="35"/>
      <c r="I40" s="35"/>
      <c r="J40" s="35"/>
      <c r="K40" s="35"/>
      <c r="L40" s="35"/>
    </row>
    <row r="41" spans="1:21" x14ac:dyDescent="0.25">
      <c r="A41" s="42" t="s">
        <v>35</v>
      </c>
      <c r="B41" s="44">
        <v>-11217</v>
      </c>
      <c r="C41" s="44">
        <v>-10646</v>
      </c>
      <c r="D41" s="44">
        <v>-10397</v>
      </c>
      <c r="E41" s="44">
        <v>-10281</v>
      </c>
      <c r="F41" s="44">
        <v>-10074</v>
      </c>
      <c r="G41" s="31" t="s">
        <v>121</v>
      </c>
      <c r="H41" s="35"/>
      <c r="I41" s="35"/>
      <c r="J41" s="35"/>
      <c r="K41" s="35"/>
      <c r="L41" s="35"/>
    </row>
    <row r="42" spans="1:21" x14ac:dyDescent="0.25">
      <c r="A42" s="42" t="s">
        <v>41</v>
      </c>
      <c r="B42" s="44">
        <v>19826</v>
      </c>
      <c r="C42" s="44">
        <v>19711</v>
      </c>
      <c r="D42" s="44">
        <v>21384</v>
      </c>
      <c r="E42" s="44">
        <v>25219</v>
      </c>
      <c r="F42" s="44">
        <v>29558</v>
      </c>
      <c r="G42" s="38" t="s">
        <v>122</v>
      </c>
      <c r="H42" s="54">
        <f>'Balance Sheet and Invested Capi'!B23</f>
        <v>1632</v>
      </c>
      <c r="I42" s="54">
        <f>'Balance Sheet and Invested Capi'!C23</f>
        <v>1433</v>
      </c>
      <c r="J42" s="54">
        <f>'Balance Sheet and Invested Capi'!D23</f>
        <v>306</v>
      </c>
      <c r="K42" s="54">
        <f>'Balance Sheet and Invested Capi'!E23</f>
        <v>157</v>
      </c>
      <c r="L42" s="54">
        <f>'Balance Sheet and Invested Capi'!F23</f>
        <v>668</v>
      </c>
    </row>
    <row r="43" spans="1:21" x14ac:dyDescent="0.25">
      <c r="A43" s="42" t="s">
        <v>97</v>
      </c>
      <c r="B43" s="44">
        <v>-5579</v>
      </c>
      <c r="C43" s="44">
        <v>-3764</v>
      </c>
      <c r="D43" s="44">
        <v>-4051</v>
      </c>
      <c r="E43" s="44">
        <v>-6328</v>
      </c>
      <c r="F43" s="44">
        <v>-6433</v>
      </c>
      <c r="G43" s="38" t="s">
        <v>123</v>
      </c>
      <c r="H43" s="26">
        <f>'Balance Sheet and Invested Capi'!B32+'Balance Sheet and Invested Capi'!B33</f>
        <v>15741</v>
      </c>
      <c r="I43" s="26">
        <f>'Balance Sheet and Invested Capi'!C32+'Balance Sheet and Invested Capi'!C33</f>
        <v>13107</v>
      </c>
      <c r="J43" s="26">
        <f>'Balance Sheet and Invested Capi'!D32+'Balance Sheet and Invested Capi'!D33</f>
        <v>12127</v>
      </c>
      <c r="K43" s="26">
        <f>'Balance Sheet and Invested Capi'!E32+'Balance Sheet and Invested Capi'!E33</f>
        <v>19402</v>
      </c>
      <c r="L43" s="26">
        <f>'Balance Sheet and Invested Capi'!F32+'Balance Sheet and Invested Capi'!F33</f>
        <v>19790</v>
      </c>
    </row>
    <row r="44" spans="1:21" x14ac:dyDescent="0.25">
      <c r="A44" s="42" t="s">
        <v>98</v>
      </c>
      <c r="B44" s="44">
        <v>0</v>
      </c>
      <c r="C44" s="44">
        <v>83</v>
      </c>
      <c r="D44" s="44">
        <v>40</v>
      </c>
      <c r="E44" s="44">
        <v>46</v>
      </c>
      <c r="F44" s="44">
        <v>50</v>
      </c>
      <c r="G44" s="52" t="s">
        <v>142</v>
      </c>
      <c r="H44" s="26">
        <f>H26</f>
        <v>1092.25</v>
      </c>
      <c r="I44" s="26">
        <f>I26</f>
        <v>1100.4100000000001</v>
      </c>
      <c r="J44" s="26">
        <f>J26</f>
        <v>1197.54</v>
      </c>
      <c r="K44" s="26">
        <f>K26</f>
        <v>1244.19</v>
      </c>
      <c r="L44" s="26">
        <f>L26</f>
        <v>899.65</v>
      </c>
      <c r="M44" s="41"/>
      <c r="N44" s="41"/>
      <c r="O44" s="41"/>
      <c r="P44" s="41"/>
      <c r="Q44" s="41"/>
      <c r="R44" s="41"/>
      <c r="S44" s="41"/>
      <c r="T44" s="41"/>
      <c r="U44" s="41"/>
    </row>
    <row r="45" spans="1:21" s="41" customFormat="1" x14ac:dyDescent="0.25">
      <c r="A45" s="41" t="s">
        <v>34</v>
      </c>
      <c r="B45" s="47">
        <f>SUM(B40:B44)</f>
        <v>6087</v>
      </c>
      <c r="C45" s="47">
        <f>SUM(C40:C44)</f>
        <v>8823</v>
      </c>
      <c r="D45" s="47">
        <f t="shared" ref="D45" si="6">SUM(D40:D44)</f>
        <v>10864</v>
      </c>
      <c r="E45" s="47">
        <f>SUM(E40:E44)</f>
        <v>12929</v>
      </c>
      <c r="F45" s="47">
        <f>SUM(F40:F44)</f>
        <v>17582</v>
      </c>
      <c r="G45" s="98" t="s">
        <v>232</v>
      </c>
      <c r="H45" s="27">
        <f>SUM(H42:H44)</f>
        <v>18465.25</v>
      </c>
      <c r="I45" s="27">
        <f>SUM(I42:I44)</f>
        <v>15640.41</v>
      </c>
      <c r="J45" s="27">
        <f>SUM(J42:J44)</f>
        <v>13630.54</v>
      </c>
      <c r="K45" s="27">
        <f>SUM(K42:K44)</f>
        <v>20803.189999999999</v>
      </c>
      <c r="L45" s="27">
        <f>SUM(L42:L44)</f>
        <v>21357.65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ht="16.5" thickBot="1" x14ac:dyDescent="0.3">
      <c r="A46" s="41" t="s">
        <v>99</v>
      </c>
      <c r="B46" s="55">
        <f>B35+B37+B45</f>
        <v>38261</v>
      </c>
      <c r="C46" s="55">
        <f>C35+C37+C45</f>
        <v>34196</v>
      </c>
      <c r="D46" s="55">
        <f>D35+D37+D45</f>
        <v>39491</v>
      </c>
      <c r="E46" s="55">
        <f>E35+E37+E45</f>
        <v>54679</v>
      </c>
      <c r="F46" s="55">
        <f>F35+F37+F45</f>
        <v>58284</v>
      </c>
      <c r="G46" s="35"/>
      <c r="H46" s="35"/>
      <c r="I46" s="35"/>
      <c r="J46" s="35"/>
      <c r="K46" s="35"/>
      <c r="L46" s="35"/>
    </row>
    <row r="47" spans="1:21" ht="16.5" thickTop="1" x14ac:dyDescent="0.25">
      <c r="G47" s="98" t="s">
        <v>233</v>
      </c>
      <c r="H47" s="26">
        <f>'Balance Sheet and Invested Capi'!B40</f>
        <v>3057</v>
      </c>
      <c r="I47" s="26">
        <f>'Balance Sheet and Invested Capi'!C40</f>
        <v>3439</v>
      </c>
      <c r="J47" s="26">
        <f>'Balance Sheet and Invested Capi'!D40</f>
        <v>3888</v>
      </c>
      <c r="K47" s="26">
        <f>'Balance Sheet and Invested Capi'!E40</f>
        <v>4273</v>
      </c>
      <c r="L47" s="26">
        <f>'Balance Sheet and Invested Capi'!F40</f>
        <v>4481</v>
      </c>
    </row>
    <row r="48" spans="1:21" x14ac:dyDescent="0.25">
      <c r="G48" s="38" t="s">
        <v>35</v>
      </c>
      <c r="H48" s="26">
        <f>'Balance Sheet and Invested Capi'!B41</f>
        <v>-11217</v>
      </c>
      <c r="I48" s="26">
        <f>'Balance Sheet and Invested Capi'!C41</f>
        <v>-10646</v>
      </c>
      <c r="J48" s="26">
        <f>'Balance Sheet and Invested Capi'!D41</f>
        <v>-10397</v>
      </c>
      <c r="K48" s="26">
        <f>'Balance Sheet and Invested Capi'!E41</f>
        <v>-10281</v>
      </c>
      <c r="L48" s="26">
        <f>'Balance Sheet and Invested Capi'!F41</f>
        <v>-10074</v>
      </c>
    </row>
    <row r="49" spans="1:12" x14ac:dyDescent="0.25">
      <c r="G49" s="38" t="s">
        <v>41</v>
      </c>
      <c r="H49" s="26">
        <f>'Balance Sheet and Invested Capi'!B42</f>
        <v>19826</v>
      </c>
      <c r="I49" s="26">
        <f>'Balance Sheet and Invested Capi'!C42</f>
        <v>19711</v>
      </c>
      <c r="J49" s="26">
        <f>'Balance Sheet and Invested Capi'!D42</f>
        <v>21384</v>
      </c>
      <c r="K49" s="26">
        <f>'Balance Sheet and Invested Capi'!E42</f>
        <v>25219</v>
      </c>
      <c r="L49" s="26">
        <f>'Balance Sheet and Invested Capi'!F42</f>
        <v>29558</v>
      </c>
    </row>
    <row r="50" spans="1:12" x14ac:dyDescent="0.25">
      <c r="G50" s="38" t="s">
        <v>97</v>
      </c>
      <c r="H50" s="26">
        <f>'Balance Sheet and Invested Capi'!B43</f>
        <v>-5579</v>
      </c>
      <c r="I50" s="26">
        <f>'Balance Sheet and Invested Capi'!C43</f>
        <v>-3764</v>
      </c>
      <c r="J50" s="26">
        <f>'Balance Sheet and Invested Capi'!D43</f>
        <v>-4051</v>
      </c>
      <c r="K50" s="26">
        <f>'Balance Sheet and Invested Capi'!E43</f>
        <v>-6328</v>
      </c>
      <c r="L50" s="26">
        <f>'Balance Sheet and Invested Capi'!F43</f>
        <v>-6433</v>
      </c>
    </row>
    <row r="51" spans="1:12" x14ac:dyDescent="0.25">
      <c r="G51" s="38" t="s">
        <v>38</v>
      </c>
      <c r="H51" s="26">
        <f>'Balance Sheet and Invested Capi'!B37</f>
        <v>524</v>
      </c>
      <c r="I51" s="26">
        <f>'Balance Sheet and Invested Capi'!C37</f>
        <v>477</v>
      </c>
      <c r="J51" s="26">
        <f>'Balance Sheet and Invested Capi'!D37</f>
        <v>461</v>
      </c>
      <c r="K51" s="26">
        <f>'Balance Sheet and Invested Capi'!E37</f>
        <v>473</v>
      </c>
      <c r="L51" s="26">
        <f>'Balance Sheet and Invested Capi'!F37</f>
        <v>0</v>
      </c>
    </row>
    <row r="52" spans="1:12" x14ac:dyDescent="0.25">
      <c r="G52" s="38" t="s">
        <v>98</v>
      </c>
      <c r="H52" s="26">
        <f>'Balance Sheet and Invested Capi'!B44</f>
        <v>0</v>
      </c>
      <c r="I52" s="26">
        <f>'Balance Sheet and Invested Capi'!C44</f>
        <v>83</v>
      </c>
      <c r="J52" s="26">
        <f>'Balance Sheet and Invested Capi'!D44</f>
        <v>40</v>
      </c>
      <c r="K52" s="26">
        <f>'Balance Sheet and Invested Capi'!E44</f>
        <v>46</v>
      </c>
      <c r="L52" s="26">
        <f>'Balance Sheet and Invested Capi'!F37+'Balance Sheet and Invested Capi'!F44</f>
        <v>50</v>
      </c>
    </row>
    <row r="53" spans="1:12" x14ac:dyDescent="0.25">
      <c r="G53" s="38" t="s">
        <v>125</v>
      </c>
      <c r="H53" s="27">
        <f>SUM(H47:H52)</f>
        <v>6611</v>
      </c>
      <c r="I53" s="27">
        <f>SUM(I47:I52)</f>
        <v>9300</v>
      </c>
      <c r="J53" s="27">
        <f>SUM(J47:J52)</f>
        <v>11325</v>
      </c>
      <c r="K53" s="27">
        <f>SUM(K47:K52)</f>
        <v>13402</v>
      </c>
      <c r="L53" s="27">
        <f>SUM(L47:L52)</f>
        <v>17582</v>
      </c>
    </row>
    <row r="54" spans="1:12" x14ac:dyDescent="0.25">
      <c r="G54" s="35"/>
      <c r="H54" s="26"/>
      <c r="I54" s="26"/>
      <c r="J54" s="26"/>
      <c r="K54" s="26"/>
      <c r="L54" s="26"/>
    </row>
    <row r="55" spans="1:12" ht="16.5" thickBot="1" x14ac:dyDescent="0.3">
      <c r="G55" s="38" t="s">
        <v>124</v>
      </c>
      <c r="H55" s="55">
        <f>H45+H53</f>
        <v>25076.25</v>
      </c>
      <c r="I55" s="55">
        <f>I45+I53</f>
        <v>24940.41</v>
      </c>
      <c r="J55" s="55">
        <f>J45+J53</f>
        <v>24955.54</v>
      </c>
      <c r="K55" s="55">
        <f>K45+K53</f>
        <v>34205.19</v>
      </c>
      <c r="L55" s="55">
        <f>L45+L53</f>
        <v>38939.65</v>
      </c>
    </row>
    <row r="56" spans="1:12" ht="16.5" thickTop="1" x14ac:dyDescent="0.25"/>
    <row r="58" spans="1:12" x14ac:dyDescent="0.25">
      <c r="A58" s="122" t="s">
        <v>229</v>
      </c>
    </row>
    <row r="59" spans="1:12" x14ac:dyDescent="0.25">
      <c r="A59" s="122" t="s">
        <v>231</v>
      </c>
    </row>
  </sheetData>
  <mergeCells count="2">
    <mergeCell ref="B1:F1"/>
    <mergeCell ref="H1:L1"/>
  </mergeCells>
  <phoneticPr fontId="3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H1" zoomScale="85" zoomScaleNormal="85" workbookViewId="0">
      <pane ySplit="2" topLeftCell="A3" activePane="bottomLeft" state="frozen"/>
      <selection pane="bottomLeft" activeCell="M2" sqref="M2"/>
    </sheetView>
  </sheetViews>
  <sheetFormatPr defaultColWidth="10.85546875" defaultRowHeight="15.75" x14ac:dyDescent="0.25"/>
  <cols>
    <col min="1" max="1" width="41.42578125" style="56" bestFit="1" customWidth="1"/>
    <col min="2" max="11" width="20.85546875" style="56" bestFit="1" customWidth="1"/>
    <col min="12" max="12" width="10.85546875" style="56"/>
    <col min="13" max="13" width="39.42578125" style="56" bestFit="1" customWidth="1"/>
    <col min="14" max="18" width="20.85546875" style="56" bestFit="1" customWidth="1"/>
    <col min="19" max="16384" width="10.85546875" style="56"/>
  </cols>
  <sheetData>
    <row r="1" spans="1:18" ht="16.5" thickBot="1" x14ac:dyDescent="0.3">
      <c r="A1" s="85" t="s">
        <v>111</v>
      </c>
      <c r="B1" s="135" t="s">
        <v>197</v>
      </c>
      <c r="C1" s="136"/>
      <c r="D1" s="136"/>
      <c r="E1" s="136"/>
      <c r="F1" s="137"/>
      <c r="G1" s="138" t="s">
        <v>198</v>
      </c>
      <c r="H1" s="139"/>
      <c r="I1" s="139"/>
      <c r="J1" s="139"/>
      <c r="K1" s="140"/>
      <c r="M1" s="85" t="s">
        <v>166</v>
      </c>
      <c r="N1" s="138" t="s">
        <v>198</v>
      </c>
      <c r="O1" s="139"/>
      <c r="P1" s="139"/>
      <c r="Q1" s="139"/>
      <c r="R1" s="140"/>
    </row>
    <row r="2" spans="1:18" ht="16.5" thickBot="1" x14ac:dyDescent="0.3">
      <c r="A2" s="86" t="s">
        <v>100</v>
      </c>
      <c r="B2" s="24">
        <f>'Income Statement and NOPLAT'!B2</f>
        <v>39813</v>
      </c>
      <c r="C2" s="24">
        <f>DATE(YEAR(B2)+1,MONTH(B2),DAY(B2))</f>
        <v>40178</v>
      </c>
      <c r="D2" s="24">
        <f t="shared" ref="D2:K2" si="0">DATE(YEAR(C2)+1,MONTH(C2),DAY(C2))</f>
        <v>40543</v>
      </c>
      <c r="E2" s="24">
        <f t="shared" si="0"/>
        <v>40908</v>
      </c>
      <c r="F2" s="24">
        <f t="shared" si="0"/>
        <v>41274</v>
      </c>
      <c r="G2" s="88">
        <f t="shared" si="0"/>
        <v>41639</v>
      </c>
      <c r="H2" s="89">
        <f t="shared" si="0"/>
        <v>42004</v>
      </c>
      <c r="I2" s="89">
        <f t="shared" si="0"/>
        <v>42369</v>
      </c>
      <c r="J2" s="89">
        <f t="shared" si="0"/>
        <v>42735</v>
      </c>
      <c r="K2" s="90">
        <f t="shared" si="0"/>
        <v>43100</v>
      </c>
      <c r="M2" s="86" t="s">
        <v>100</v>
      </c>
      <c r="N2" s="88">
        <f>G2</f>
        <v>41639</v>
      </c>
      <c r="O2" s="89">
        <f t="shared" ref="O2:R2" si="1">DATE(YEAR(N2)+1,MONTH(N2),DAY(N2))</f>
        <v>42004</v>
      </c>
      <c r="P2" s="89">
        <f t="shared" si="1"/>
        <v>42369</v>
      </c>
      <c r="Q2" s="89">
        <f t="shared" si="1"/>
        <v>42735</v>
      </c>
      <c r="R2" s="90">
        <f t="shared" si="1"/>
        <v>43100</v>
      </c>
    </row>
    <row r="3" spans="1:18" x14ac:dyDescent="0.25">
      <c r="A3" s="56" t="s">
        <v>45</v>
      </c>
      <c r="B3" s="57">
        <f>'Balance Sheet and Invested Capi'!H21</f>
        <v>4424.880000000001</v>
      </c>
      <c r="C3" s="57">
        <f>'Balance Sheet and Invested Capi'!I21</f>
        <v>3006.7999999999993</v>
      </c>
      <c r="D3" s="57">
        <f>'Balance Sheet and Invested Capi'!J21</f>
        <v>3399.34</v>
      </c>
      <c r="E3" s="57">
        <f>'Balance Sheet and Invested Capi'!K21</f>
        <v>3438.84</v>
      </c>
      <c r="F3" s="57">
        <f>'Balance Sheet and Invested Capi'!L21</f>
        <v>5485.3600000000006</v>
      </c>
      <c r="G3" s="57">
        <f>G41*G13</f>
        <v>5595.0672000000004</v>
      </c>
      <c r="H3" s="57">
        <f t="shared" ref="H3:K3" si="2">H41*H13</f>
        <v>5818.8698880000002</v>
      </c>
      <c r="I3" s="57">
        <f t="shared" si="2"/>
        <v>6109.8133824000006</v>
      </c>
      <c r="J3" s="57">
        <f t="shared" si="2"/>
        <v>6415.3040515200009</v>
      </c>
      <c r="K3" s="57">
        <f t="shared" si="2"/>
        <v>6800.2222946112015</v>
      </c>
      <c r="M3" s="56" t="s">
        <v>54</v>
      </c>
      <c r="N3" s="57">
        <f>G24</f>
        <v>5754.0143264318058</v>
      </c>
      <c r="O3" s="57">
        <f t="shared" ref="O3:R3" si="3">H24</f>
        <v>5984.7141287923168</v>
      </c>
      <c r="P3" s="57">
        <f t="shared" si="3"/>
        <v>6284.6238718609875</v>
      </c>
      <c r="Q3" s="57">
        <f t="shared" si="3"/>
        <v>6599.5291020830919</v>
      </c>
      <c r="R3" s="57">
        <f t="shared" si="3"/>
        <v>6996.309692162944</v>
      </c>
    </row>
    <row r="4" spans="1:18" x14ac:dyDescent="0.25">
      <c r="A4" s="98" t="s">
        <v>46</v>
      </c>
      <c r="B4" s="58">
        <f>'Balance Sheet and Invested Capi'!B11</f>
        <v>9380</v>
      </c>
      <c r="C4" s="58">
        <f>'Balance Sheet and Invested Capi'!C11</f>
        <v>9308</v>
      </c>
      <c r="D4" s="58">
        <f>'Balance Sheet and Invested Capi'!D11</f>
        <v>9662</v>
      </c>
      <c r="E4" s="58">
        <f>'Balance Sheet and Invested Capi'!E11</f>
        <v>11492</v>
      </c>
      <c r="F4" s="58">
        <f>'Balance Sheet and Invested Capi'!F11</f>
        <v>13058</v>
      </c>
      <c r="G4" s="58">
        <f>G13*G42</f>
        <v>13319.16</v>
      </c>
      <c r="H4" s="58">
        <f t="shared" ref="H4:K4" si="4">H13*H42</f>
        <v>13851.9264</v>
      </c>
      <c r="I4" s="58">
        <f t="shared" si="4"/>
        <v>14544.522720000001</v>
      </c>
      <c r="J4" s="58">
        <f t="shared" si="4"/>
        <v>15271.748856000002</v>
      </c>
      <c r="K4" s="58">
        <f t="shared" si="4"/>
        <v>16188.053787360002</v>
      </c>
      <c r="M4" s="56" t="s">
        <v>144</v>
      </c>
      <c r="N4" s="58">
        <f>F3-G3</f>
        <v>-109.70719999999983</v>
      </c>
      <c r="O4" s="58">
        <f t="shared" ref="O4:R5" si="5">G3-H3</f>
        <v>-223.80268799999976</v>
      </c>
      <c r="P4" s="58">
        <f t="shared" si="5"/>
        <v>-290.94349440000042</v>
      </c>
      <c r="Q4" s="58">
        <f t="shared" si="5"/>
        <v>-305.49066912000035</v>
      </c>
      <c r="R4" s="58">
        <f t="shared" si="5"/>
        <v>-384.91824309120057</v>
      </c>
    </row>
    <row r="5" spans="1:18" x14ac:dyDescent="0.25">
      <c r="A5" s="56" t="s">
        <v>138</v>
      </c>
      <c r="B5" s="58">
        <f>'Balance Sheet and Invested Capi'!H26</f>
        <v>1092.25</v>
      </c>
      <c r="C5" s="58">
        <f>'Balance Sheet and Invested Capi'!I26</f>
        <v>1100.4100000000001</v>
      </c>
      <c r="D5" s="58">
        <f>'Balance Sheet and Invested Capi'!J26</f>
        <v>1197.54</v>
      </c>
      <c r="E5" s="58">
        <f>'Balance Sheet and Invested Capi'!K26</f>
        <v>1244.19</v>
      </c>
      <c r="F5" s="58">
        <f>'Balance Sheet and Invested Capi'!L26</f>
        <v>899.65</v>
      </c>
      <c r="G5" s="58">
        <f>F5</f>
        <v>899.65</v>
      </c>
      <c r="H5" s="58">
        <f t="shared" ref="H5:K5" si="6">G5</f>
        <v>899.65</v>
      </c>
      <c r="I5" s="58">
        <f t="shared" si="6"/>
        <v>899.65</v>
      </c>
      <c r="J5" s="58">
        <f t="shared" si="6"/>
        <v>899.65</v>
      </c>
      <c r="K5" s="58">
        <f t="shared" si="6"/>
        <v>899.65</v>
      </c>
      <c r="M5" s="56" t="s">
        <v>145</v>
      </c>
      <c r="N5" s="58">
        <f>F4-G4</f>
        <v>-261.15999999999985</v>
      </c>
      <c r="O5" s="58">
        <f t="shared" si="5"/>
        <v>-532.76640000000043</v>
      </c>
      <c r="P5" s="58">
        <f t="shared" si="5"/>
        <v>-692.59632000000056</v>
      </c>
      <c r="Q5" s="58">
        <f t="shared" si="5"/>
        <v>-727.22613600000113</v>
      </c>
      <c r="R5" s="58">
        <f t="shared" si="5"/>
        <v>-916.30493136000041</v>
      </c>
    </row>
    <row r="6" spans="1:18" x14ac:dyDescent="0.25">
      <c r="A6" s="56" t="s">
        <v>56</v>
      </c>
      <c r="B6" s="58">
        <f>'Balance Sheet and Invested Capi'!H32-SUM(B3:B5)</f>
        <v>1273</v>
      </c>
      <c r="C6" s="58">
        <f>'Balance Sheet and Invested Capi'!I32-SUM(C3:C5)</f>
        <v>1351</v>
      </c>
      <c r="D6" s="58">
        <f>'Balance Sheet and Invested Capi'!J32-SUM(D3:D5)</f>
        <v>1774</v>
      </c>
      <c r="E6" s="58">
        <f>'Balance Sheet and Invested Capi'!K32-SUM(E3:E5)</f>
        <v>9370.9999999999982</v>
      </c>
      <c r="F6" s="58">
        <f>'Balance Sheet and Invested Capi'!L32-SUM(F3:F5)</f>
        <v>8824</v>
      </c>
      <c r="G6" s="58">
        <f>G13*G44</f>
        <v>12085.623</v>
      </c>
      <c r="H6" s="58">
        <f t="shared" ref="H6:K6" si="7">H44*H3</f>
        <v>1093.1970682192427</v>
      </c>
      <c r="I6" s="58">
        <f t="shared" si="7"/>
        <v>1147.8569216302049</v>
      </c>
      <c r="J6" s="58">
        <f t="shared" si="7"/>
        <v>1205.2497677117153</v>
      </c>
      <c r="K6" s="58">
        <f t="shared" si="7"/>
        <v>1277.5647537744183</v>
      </c>
      <c r="M6" s="56" t="s">
        <v>146</v>
      </c>
      <c r="N6" s="58">
        <f>F6-G6</f>
        <v>-3261.6229999999996</v>
      </c>
      <c r="O6" s="58">
        <f t="shared" ref="O6:R6" si="8">G6-H6</f>
        <v>10992.425931780757</v>
      </c>
      <c r="P6" s="58">
        <f t="shared" si="8"/>
        <v>-54.659853410962114</v>
      </c>
      <c r="Q6" s="58">
        <f t="shared" si="8"/>
        <v>-57.39284608151047</v>
      </c>
      <c r="R6" s="58">
        <f t="shared" si="8"/>
        <v>-72.314986062702928</v>
      </c>
    </row>
    <row r="7" spans="1:18" ht="16.5" thickBot="1" x14ac:dyDescent="0.3">
      <c r="A7" s="59" t="s">
        <v>120</v>
      </c>
      <c r="B7" s="60">
        <f>SUM(B3:B6)</f>
        <v>16170.130000000001</v>
      </c>
      <c r="C7" s="60">
        <f>SUM(C3:C6)</f>
        <v>14766.21</v>
      </c>
      <c r="D7" s="60">
        <f t="shared" ref="D7" si="9">SUM(D3:D6)</f>
        <v>16032.880000000001</v>
      </c>
      <c r="E7" s="60">
        <f>SUM(E3:E6)</f>
        <v>25546.03</v>
      </c>
      <c r="F7" s="60">
        <f>SUM(F3:F6)</f>
        <v>28267.010000000002</v>
      </c>
      <c r="G7" s="60">
        <f>SUM(G3:G6)</f>
        <v>31899.500200000002</v>
      </c>
      <c r="H7" s="60">
        <f t="shared" ref="H7:K7" si="10">SUM(H3:H6)</f>
        <v>21663.643356219247</v>
      </c>
      <c r="I7" s="60">
        <f t="shared" si="10"/>
        <v>22701.843024030208</v>
      </c>
      <c r="J7" s="60">
        <f t="shared" si="10"/>
        <v>23791.952675231718</v>
      </c>
      <c r="K7" s="60">
        <f t="shared" si="10"/>
        <v>25165.490835745626</v>
      </c>
      <c r="M7" s="56" t="s">
        <v>147</v>
      </c>
      <c r="N7" s="64">
        <f>SUM(N3:N6)</f>
        <v>2121.5241264318065</v>
      </c>
      <c r="O7" s="64">
        <f t="shared" ref="O7:R7" si="11">SUM(O3:O6)</f>
        <v>16220.570972573074</v>
      </c>
      <c r="P7" s="64">
        <f t="shared" si="11"/>
        <v>5246.4242040500249</v>
      </c>
      <c r="Q7" s="64">
        <f t="shared" si="11"/>
        <v>5509.4194508815799</v>
      </c>
      <c r="R7" s="64">
        <f t="shared" si="11"/>
        <v>5622.7715316490403</v>
      </c>
    </row>
    <row r="8" spans="1:18" ht="16.5" thickTop="1" x14ac:dyDescent="0.25">
      <c r="A8" s="56" t="s">
        <v>57</v>
      </c>
      <c r="B8" s="61" t="s">
        <v>143</v>
      </c>
      <c r="C8" s="57">
        <f>C7-B7</f>
        <v>-1403.9200000000019</v>
      </c>
      <c r="D8" s="57">
        <f t="shared" ref="D8:F8" si="12">D7-C7</f>
        <v>1266.6700000000019</v>
      </c>
      <c r="E8" s="57">
        <f t="shared" si="12"/>
        <v>9513.1499999999978</v>
      </c>
      <c r="F8" s="57">
        <f t="shared" si="12"/>
        <v>2720.9800000000032</v>
      </c>
      <c r="G8" s="61">
        <f t="shared" ref="G8" si="13">G7-F7</f>
        <v>3632.4902000000002</v>
      </c>
      <c r="H8" s="57">
        <f t="shared" ref="H8" si="14">H7-G7</f>
        <v>-10235.856843780755</v>
      </c>
      <c r="I8" s="57">
        <f t="shared" ref="I8" si="15">I7-H7</f>
        <v>1038.1996678109608</v>
      </c>
      <c r="J8" s="57">
        <f t="shared" ref="J8" si="16">J7-I7</f>
        <v>1090.1096512015101</v>
      </c>
      <c r="K8" s="57">
        <f t="shared" ref="K8" si="17">K7-J7</f>
        <v>1373.5381605139082</v>
      </c>
      <c r="M8" s="56" t="s">
        <v>148</v>
      </c>
      <c r="N8" s="58">
        <f>-'Balance Sheet and Invested Capi'!L45*'ROIC Decomp &amp; Funding Statement'!G30*(1-'ROIC Decomp &amp; Funding Statement'!G29)-1</f>
        <v>-472.3545663378211</v>
      </c>
      <c r="O8" s="58">
        <f>O25*(1-H22*-1/H20)*-1</f>
        <v>-867.58071325469564</v>
      </c>
      <c r="P8" s="58">
        <f t="shared" ref="P8:R8" si="18">P25*(1-I22*-1/I20)*-1</f>
        <v>-839.56941695658827</v>
      </c>
      <c r="Q8" s="58">
        <f t="shared" si="18"/>
        <v>-811.55812065848102</v>
      </c>
      <c r="R8" s="58">
        <f t="shared" si="18"/>
        <v>-783.54682436037353</v>
      </c>
    </row>
    <row r="9" spans="1:18" x14ac:dyDescent="0.25">
      <c r="A9" s="4" t="s">
        <v>139</v>
      </c>
      <c r="B9" s="58">
        <f>B12</f>
        <v>9559.130000000001</v>
      </c>
      <c r="C9" s="58">
        <f>C12</f>
        <v>6870.130000000001</v>
      </c>
      <c r="D9" s="58">
        <f t="shared" ref="D9" si="19">D12</f>
        <v>3441.2099999999991</v>
      </c>
      <c r="E9" s="58">
        <f>E12</f>
        <v>2630.880000000001</v>
      </c>
      <c r="F9" s="58">
        <f>F12</f>
        <v>7964.0299999999988</v>
      </c>
      <c r="G9" s="58">
        <f>G12</f>
        <v>4957.2243122229302</v>
      </c>
      <c r="H9" s="58">
        <f t="shared" ref="H9:K9" si="20">H12</f>
        <v>5040.5284603701512</v>
      </c>
      <c r="I9" s="58">
        <f t="shared" si="20"/>
        <v>-11370.577780061198</v>
      </c>
      <c r="J9" s="58">
        <f t="shared" si="20"/>
        <v>-16453.382095208974</v>
      </c>
      <c r="K9" s="58">
        <f t="shared" si="20"/>
        <v>-22148.476313843414</v>
      </c>
      <c r="M9" s="56" t="s">
        <v>149</v>
      </c>
      <c r="N9" s="58">
        <f>N22</f>
        <v>-668</v>
      </c>
      <c r="O9" s="58">
        <f t="shared" ref="O9:R9" si="21">O22</f>
        <v>-668</v>
      </c>
      <c r="P9" s="58">
        <f t="shared" si="21"/>
        <v>-668</v>
      </c>
      <c r="Q9" s="58">
        <f t="shared" si="21"/>
        <v>-668</v>
      </c>
      <c r="R9" s="58">
        <f t="shared" si="21"/>
        <v>-668</v>
      </c>
    </row>
    <row r="10" spans="1:18" x14ac:dyDescent="0.25">
      <c r="A10" s="56" t="s">
        <v>58</v>
      </c>
      <c r="B10" s="58">
        <f>'Balance Sheet and Invested Capi'!H53</f>
        <v>6611</v>
      </c>
      <c r="C10" s="58">
        <f>'Balance Sheet and Invested Capi'!I53</f>
        <v>9300</v>
      </c>
      <c r="D10" s="58">
        <f>'Balance Sheet and Invested Capi'!J53</f>
        <v>11325</v>
      </c>
      <c r="E10" s="58">
        <f>'Balance Sheet and Invested Capi'!K53</f>
        <v>13402</v>
      </c>
      <c r="F10" s="58">
        <f>'Balance Sheet and Invested Capi'!L53</f>
        <v>17582</v>
      </c>
      <c r="G10" s="58">
        <f>F10+G24+N8+N10</f>
        <v>21331.286903613985</v>
      </c>
      <c r="H10" s="58">
        <f t="shared" ref="H10:K10" si="22">G10+H24+O8+O10</f>
        <v>24747.486448458811</v>
      </c>
      <c r="I10" s="58">
        <f t="shared" si="22"/>
        <v>28321.513645601131</v>
      </c>
      <c r="J10" s="58">
        <f t="shared" si="22"/>
        <v>32070.064916065072</v>
      </c>
      <c r="K10" s="58">
        <f t="shared" si="22"/>
        <v>36059.86029892051</v>
      </c>
      <c r="M10" s="56" t="s">
        <v>150</v>
      </c>
      <c r="N10" s="58">
        <f>-657.48*2.02*(1+N31)</f>
        <v>-1532.3728564799999</v>
      </c>
      <c r="O10" s="58">
        <f>N10*(1+O31)</f>
        <v>-1700.9338706927999</v>
      </c>
      <c r="P10" s="58">
        <f t="shared" ref="P10:R10" si="23">O10*(1+P31)</f>
        <v>-1871.0272577620801</v>
      </c>
      <c r="Q10" s="58">
        <f t="shared" si="23"/>
        <v>-2039.4197109606675</v>
      </c>
      <c r="R10" s="58">
        <f t="shared" si="23"/>
        <v>-2222.9674849471276</v>
      </c>
    </row>
    <row r="11" spans="1:18" ht="16.5" thickBot="1" x14ac:dyDescent="0.3">
      <c r="A11" s="59" t="s">
        <v>120</v>
      </c>
      <c r="B11" s="60">
        <f>SUM(B8:B10)</f>
        <v>16170.130000000001</v>
      </c>
      <c r="C11" s="60">
        <f>SUM(C8:C10)</f>
        <v>14766.21</v>
      </c>
      <c r="D11" s="60">
        <f t="shared" ref="D11" si="24">SUM(D8:D10)</f>
        <v>16032.880000000001</v>
      </c>
      <c r="E11" s="60">
        <f>SUM(E8:E10)</f>
        <v>25546.03</v>
      </c>
      <c r="F11" s="60">
        <f>SUM(F8:F10)</f>
        <v>28267.010000000002</v>
      </c>
      <c r="G11" s="60">
        <f t="shared" ref="G11:K11" si="25">SUM(G8:G10)</f>
        <v>29921.001415836916</v>
      </c>
      <c r="H11" s="60">
        <f t="shared" si="25"/>
        <v>19552.158065048206</v>
      </c>
      <c r="I11" s="60">
        <f t="shared" si="25"/>
        <v>17989.135533350895</v>
      </c>
      <c r="J11" s="60">
        <f t="shared" si="25"/>
        <v>16706.792472057608</v>
      </c>
      <c r="K11" s="60">
        <f t="shared" si="25"/>
        <v>15284.922145591005</v>
      </c>
      <c r="M11" s="56" t="s">
        <v>151</v>
      </c>
      <c r="N11" s="64">
        <f>SUM(N8:N10)</f>
        <v>-2672.7274228178212</v>
      </c>
      <c r="O11" s="64">
        <f t="shared" ref="O11:R11" si="26">SUM(O8:O10)</f>
        <v>-3236.5145839474953</v>
      </c>
      <c r="P11" s="64">
        <f t="shared" si="26"/>
        <v>-3378.5966747186685</v>
      </c>
      <c r="Q11" s="64">
        <f t="shared" si="26"/>
        <v>-3518.9778316191487</v>
      </c>
      <c r="R11" s="64">
        <f t="shared" si="26"/>
        <v>-3674.5143093075012</v>
      </c>
    </row>
    <row r="12" spans="1:18" ht="16.5" thickTop="1" x14ac:dyDescent="0.25">
      <c r="B12" s="50">
        <v>9559.130000000001</v>
      </c>
      <c r="C12" s="50">
        <v>6870.130000000001</v>
      </c>
      <c r="D12" s="50">
        <v>3441.2099999999991</v>
      </c>
      <c r="E12" s="50">
        <v>2630.880000000001</v>
      </c>
      <c r="F12" s="50">
        <v>7964.0299999999988</v>
      </c>
      <c r="G12" s="50">
        <v>4957.2243122229302</v>
      </c>
      <c r="H12" s="50">
        <v>5040.5284603701512</v>
      </c>
      <c r="I12" s="50">
        <v>-11370.577780061198</v>
      </c>
      <c r="J12" s="50">
        <v>-16453.382095208974</v>
      </c>
      <c r="K12" s="50">
        <v>-22148.476313843414</v>
      </c>
      <c r="N12" s="58"/>
      <c r="O12" s="58"/>
      <c r="P12" s="58"/>
      <c r="Q12" s="58"/>
      <c r="R12" s="58"/>
    </row>
    <row r="13" spans="1:18" x14ac:dyDescent="0.25">
      <c r="A13" s="3" t="s">
        <v>87</v>
      </c>
      <c r="B13" s="57">
        <f>'Income Statement and NOPLAT'!B3</f>
        <v>48044</v>
      </c>
      <c r="C13" s="57">
        <f>'Income Statement and NOPLAT'!C3</f>
        <v>29540</v>
      </c>
      <c r="D13" s="57">
        <f>'Income Statement and NOPLAT'!D3</f>
        <v>39867</v>
      </c>
      <c r="E13" s="57">
        <f>'Income Statement and NOPLAT'!E3</f>
        <v>57392</v>
      </c>
      <c r="F13" s="57">
        <f>'Income Statement and NOPLAT'!F3</f>
        <v>63068</v>
      </c>
      <c r="G13" s="57">
        <f>F13*(1+G14)</f>
        <v>64329.36</v>
      </c>
      <c r="H13" s="57">
        <f t="shared" ref="H13:K13" si="27">G13*(1+H14)</f>
        <v>66902.534400000004</v>
      </c>
      <c r="I13" s="57">
        <f t="shared" si="27"/>
        <v>70247.661120000004</v>
      </c>
      <c r="J13" s="57">
        <f t="shared" si="27"/>
        <v>73760.04417600001</v>
      </c>
      <c r="K13" s="57">
        <f t="shared" si="27"/>
        <v>78185.646826560012</v>
      </c>
      <c r="M13" s="56" t="s">
        <v>152</v>
      </c>
      <c r="N13" s="64">
        <f>N7+N11</f>
        <v>-551.2032963860147</v>
      </c>
      <c r="O13" s="64">
        <f t="shared" ref="O13:R13" si="28">O7+O11</f>
        <v>12984.056388625579</v>
      </c>
      <c r="P13" s="64">
        <f t="shared" si="28"/>
        <v>1867.8275293313563</v>
      </c>
      <c r="Q13" s="64">
        <f t="shared" si="28"/>
        <v>1990.4416192624312</v>
      </c>
      <c r="R13" s="64">
        <f t="shared" si="28"/>
        <v>1948.2572223415391</v>
      </c>
    </row>
    <row r="14" spans="1:18" x14ac:dyDescent="0.25">
      <c r="A14" s="3" t="s">
        <v>140</v>
      </c>
      <c r="B14" s="62" t="s">
        <v>143</v>
      </c>
      <c r="C14" s="63">
        <f>(C13-B13)/B13</f>
        <v>-0.38514694863042209</v>
      </c>
      <c r="D14" s="63">
        <f t="shared" ref="D14:F14" si="29">(D13-C13)/C13</f>
        <v>0.3495937711577522</v>
      </c>
      <c r="E14" s="63">
        <f t="shared" si="29"/>
        <v>0.43958662552988687</v>
      </c>
      <c r="F14" s="63">
        <f t="shared" si="29"/>
        <v>9.8898801226651803E-2</v>
      </c>
      <c r="G14" s="62">
        <v>0.02</v>
      </c>
      <c r="H14" s="63">
        <v>0.04</v>
      </c>
      <c r="I14" s="63">
        <v>0.05</v>
      </c>
      <c r="J14" s="63">
        <v>0.05</v>
      </c>
      <c r="K14" s="63">
        <v>0.06</v>
      </c>
      <c r="N14" s="58"/>
      <c r="O14" s="58"/>
      <c r="P14" s="58"/>
      <c r="Q14" s="58"/>
      <c r="R14" s="58"/>
    </row>
    <row r="15" spans="1:18" x14ac:dyDescent="0.25">
      <c r="A15" s="3" t="s">
        <v>1</v>
      </c>
      <c r="B15" s="58">
        <f>'Income Statement and NOPLAT'!B4</f>
        <v>38415</v>
      </c>
      <c r="C15" s="58">
        <f>'Income Statement and NOPLAT'!C4</f>
        <v>23886</v>
      </c>
      <c r="D15" s="58">
        <f>'Income Statement and NOPLAT'!D4</f>
        <v>30367</v>
      </c>
      <c r="E15" s="58">
        <f>'Income Statement and NOPLAT'!E4</f>
        <v>43578</v>
      </c>
      <c r="F15" s="58">
        <f>'Income Statement and NOPLAT'!F4</f>
        <v>47055</v>
      </c>
      <c r="G15" s="58">
        <f>G13*G33</f>
        <v>47996.1</v>
      </c>
      <c r="H15" s="58">
        <f t="shared" ref="H15:K15" si="30">H13*H33</f>
        <v>49915.944000000003</v>
      </c>
      <c r="I15" s="58">
        <f t="shared" si="30"/>
        <v>52411.741200000004</v>
      </c>
      <c r="J15" s="58">
        <f t="shared" si="30"/>
        <v>55032.328260000009</v>
      </c>
      <c r="K15" s="58">
        <f t="shared" si="30"/>
        <v>58334.267955600008</v>
      </c>
      <c r="M15" s="56" t="s">
        <v>153</v>
      </c>
      <c r="N15" s="58">
        <f>IF('Balance Sheet and Invested Capi'!L34+'ROIC Decomp &amp; Funding Statement'!N13&lt;0,'Balance Sheet and Invested Capi'!L34,'ROIC Decomp &amp; Funding Statement'!N13*-1)</f>
        <v>551.2032963860147</v>
      </c>
      <c r="O15" s="58">
        <f>N28*-1</f>
        <v>551.2032963860147</v>
      </c>
      <c r="P15" s="58">
        <f t="shared" ref="P15:R15" si="31">O28*-1</f>
        <v>551.2032963860147</v>
      </c>
      <c r="Q15" s="58">
        <f t="shared" si="31"/>
        <v>551.2032963860147</v>
      </c>
      <c r="R15" s="58">
        <f t="shared" si="31"/>
        <v>551.2032963860147</v>
      </c>
    </row>
    <row r="16" spans="1:18" x14ac:dyDescent="0.25">
      <c r="A16" s="3" t="s">
        <v>118</v>
      </c>
      <c r="B16" s="58">
        <f>'Income Statement and NOPLAT'!B8</f>
        <v>3812</v>
      </c>
      <c r="C16" s="58">
        <f>'Income Statement and NOPLAT'!C8</f>
        <v>3085</v>
      </c>
      <c r="D16" s="58">
        <f>'Income Statement and NOPLAT'!D8</f>
        <v>3689</v>
      </c>
      <c r="E16" s="58">
        <f>'Income Statement and NOPLAT'!E8</f>
        <v>4631</v>
      </c>
      <c r="F16" s="58">
        <f>'Income Statement and NOPLAT'!F8</f>
        <v>5348</v>
      </c>
      <c r="G16" s="58">
        <f>G13*G34</f>
        <v>5454.96</v>
      </c>
      <c r="H16" s="58">
        <f t="shared" ref="H16:K16" si="32">H13*H34</f>
        <v>5673.1584000000003</v>
      </c>
      <c r="I16" s="58">
        <f t="shared" si="32"/>
        <v>5956.8163199999999</v>
      </c>
      <c r="J16" s="58">
        <f t="shared" si="32"/>
        <v>6254.6571360000007</v>
      </c>
      <c r="K16" s="58">
        <f t="shared" si="32"/>
        <v>6629.9365641600007</v>
      </c>
      <c r="M16" s="56" t="s">
        <v>154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</row>
    <row r="17" spans="1:18" x14ac:dyDescent="0.25">
      <c r="A17" s="56" t="s">
        <v>2</v>
      </c>
      <c r="B17" s="58">
        <f>'Income Statement and NOPLAT'!B9</f>
        <v>1728</v>
      </c>
      <c r="C17" s="58">
        <f>'Income Statement and NOPLAT'!C9</f>
        <v>1421</v>
      </c>
      <c r="D17" s="58">
        <f>'Income Statement and NOPLAT'!D9</f>
        <v>1905</v>
      </c>
      <c r="E17" s="58">
        <f>'Income Statement and NOPLAT'!E9</f>
        <v>2297</v>
      </c>
      <c r="F17" s="58">
        <f>'Income Statement and NOPLAT'!F9</f>
        <v>2466</v>
      </c>
      <c r="G17" s="58">
        <f>G13*(F17/F13)</f>
        <v>2515.3199999999997</v>
      </c>
      <c r="H17" s="58">
        <f t="shared" ref="H17:K17" si="33">H13*(G17/G13)</f>
        <v>2615.9328</v>
      </c>
      <c r="I17" s="58">
        <f t="shared" si="33"/>
        <v>2746.7294400000001</v>
      </c>
      <c r="J17" s="58">
        <f t="shared" si="33"/>
        <v>2884.065912</v>
      </c>
      <c r="K17" s="58">
        <f t="shared" si="33"/>
        <v>3057.1098667200004</v>
      </c>
      <c r="M17" s="56" t="s">
        <v>155</v>
      </c>
      <c r="N17" s="58">
        <f>IF(N15+N13&lt;0,(N13+N15)*-1,0)</f>
        <v>0</v>
      </c>
      <c r="O17" s="58">
        <f t="shared" ref="O17:R17" si="34">IF(O15+O13&lt;0,(O13+O15)*-1,0)</f>
        <v>0</v>
      </c>
      <c r="P17" s="58">
        <f t="shared" si="34"/>
        <v>0</v>
      </c>
      <c r="Q17" s="58">
        <f t="shared" si="34"/>
        <v>0</v>
      </c>
      <c r="R17" s="58">
        <f t="shared" si="34"/>
        <v>0</v>
      </c>
    </row>
    <row r="18" spans="1:18" x14ac:dyDescent="0.25">
      <c r="A18" s="34" t="s">
        <v>3</v>
      </c>
      <c r="B18" s="58">
        <f>'Income Statement and NOPLAT'!B10</f>
        <v>0</v>
      </c>
      <c r="C18" s="58">
        <f>'Income Statement and NOPLAT'!C10</f>
        <v>0</v>
      </c>
      <c r="D18" s="58">
        <f>'Income Statement and NOPLAT'!D10</f>
        <v>0</v>
      </c>
      <c r="E18" s="58">
        <f>'Income Statement and NOPLAT'!E10</f>
        <v>0</v>
      </c>
      <c r="F18" s="58">
        <f>'Income Statement and NOPLAT'!F10</f>
        <v>580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M18" s="56" t="s">
        <v>156</v>
      </c>
      <c r="N18" s="64">
        <f>SUM(N15:N17)</f>
        <v>551.2032963860147</v>
      </c>
      <c r="O18" s="64">
        <f t="shared" ref="O18:R18" si="35">SUM(O15:O17)</f>
        <v>551.2032963860147</v>
      </c>
      <c r="P18" s="64">
        <f t="shared" si="35"/>
        <v>551.2032963860147</v>
      </c>
      <c r="Q18" s="64">
        <f t="shared" si="35"/>
        <v>551.2032963860147</v>
      </c>
      <c r="R18" s="64">
        <f t="shared" si="35"/>
        <v>551.2032963860147</v>
      </c>
    </row>
    <row r="19" spans="1:18" x14ac:dyDescent="0.25">
      <c r="A19" s="34" t="s">
        <v>4</v>
      </c>
      <c r="B19" s="58">
        <f>'Income Statement and NOPLAT'!B11</f>
        <v>-33</v>
      </c>
      <c r="C19" s="58">
        <f>'Income Statement and NOPLAT'!C11</f>
        <v>691</v>
      </c>
      <c r="D19" s="58">
        <f>'Income Statement and NOPLAT'!D11</f>
        <v>119</v>
      </c>
      <c r="E19" s="58">
        <f>'Income Statement and NOPLAT'!E11</f>
        <v>63</v>
      </c>
      <c r="F19" s="58">
        <f>'Income Statement and NOPLAT'!F11</f>
        <v>-495</v>
      </c>
      <c r="G19" s="58">
        <f>AVERAGE($B$19:$F$19)</f>
        <v>69</v>
      </c>
      <c r="H19" s="58">
        <f t="shared" ref="H19:K19" si="36">AVERAGE($B$19:$F$19)</f>
        <v>69</v>
      </c>
      <c r="I19" s="58">
        <f t="shared" si="36"/>
        <v>69</v>
      </c>
      <c r="J19" s="58">
        <f t="shared" si="36"/>
        <v>69</v>
      </c>
      <c r="K19" s="58">
        <f t="shared" si="36"/>
        <v>69</v>
      </c>
      <c r="N19" s="58"/>
      <c r="O19" s="58"/>
      <c r="P19" s="58"/>
      <c r="Q19" s="58"/>
      <c r="R19" s="58"/>
    </row>
    <row r="20" spans="1:18" x14ac:dyDescent="0.25">
      <c r="A20" s="3" t="s">
        <v>141</v>
      </c>
      <c r="B20" s="58">
        <f>B13-SUM(B15:B19)</f>
        <v>4122</v>
      </c>
      <c r="C20" s="58">
        <f>C13-SUM(C15:C19)</f>
        <v>457</v>
      </c>
      <c r="D20" s="58">
        <f t="shared" ref="D20" si="37">D13-SUM(D15:D19)</f>
        <v>3787</v>
      </c>
      <c r="E20" s="58">
        <f>E13-SUM(E15:E19)</f>
        <v>6823</v>
      </c>
      <c r="F20" s="58">
        <f>F13-SUM(F15:F19)</f>
        <v>8114</v>
      </c>
      <c r="G20" s="58">
        <f>SUM(G13-SUM(G15:G19))</f>
        <v>8293.9800000000032</v>
      </c>
      <c r="H20" s="58">
        <f t="shared" ref="H20:K20" si="38">SUM(H13-SUM(H15:H19))</f>
        <v>8628.4991999999984</v>
      </c>
      <c r="I20" s="58">
        <f t="shared" si="38"/>
        <v>9063.3741599999994</v>
      </c>
      <c r="J20" s="58">
        <f t="shared" si="38"/>
        <v>9519.9928680000012</v>
      </c>
      <c r="K20" s="58">
        <f t="shared" si="38"/>
        <v>10095.332440080005</v>
      </c>
      <c r="M20" s="56" t="s">
        <v>157</v>
      </c>
      <c r="N20" s="58">
        <f>'Balance Sheet and Invested Capi'!L45</f>
        <v>21357.65</v>
      </c>
      <c r="O20" s="58">
        <f>N23</f>
        <v>20689.650000000001</v>
      </c>
      <c r="P20" s="58">
        <f t="shared" ref="P20:R20" si="39">O23</f>
        <v>20021.650000000001</v>
      </c>
      <c r="Q20" s="58">
        <f t="shared" si="39"/>
        <v>19353.650000000001</v>
      </c>
      <c r="R20" s="58">
        <f t="shared" si="39"/>
        <v>18685.650000000001</v>
      </c>
    </row>
    <row r="21" spans="1:18" x14ac:dyDescent="0.25">
      <c r="A21" s="3" t="s">
        <v>62</v>
      </c>
      <c r="B21" s="63">
        <f>'Income Statement and NOPLAT'!B18/'Income Statement and NOPLAT'!B17</f>
        <v>0.20825943754750442</v>
      </c>
      <c r="C21" s="63">
        <f>'Income Statement and NOPLAT'!C18/'Income Statement and NOPLAT'!C17</f>
        <v>-1.9655172413793103</v>
      </c>
      <c r="D21" s="63">
        <f>'Income Statement and NOPLAT'!D18/'Income Statement and NOPLAT'!D17</f>
        <v>0.2670299727520436</v>
      </c>
      <c r="E21" s="63">
        <f>'Income Statement and NOPLAT'!E18/'Income Statement and NOPLAT'!E17</f>
        <v>0.25683865683865686</v>
      </c>
      <c r="F21" s="63">
        <f>'Income Statement and NOPLAT'!F18/'Income Statement and NOPLAT'!F17</f>
        <v>0.3103540772532189</v>
      </c>
      <c r="G21" s="63">
        <f>F21</f>
        <v>0.3103540772532189</v>
      </c>
      <c r="H21" s="63">
        <f t="shared" ref="H21:K21" si="40">G21</f>
        <v>0.3103540772532189</v>
      </c>
      <c r="I21" s="63">
        <f t="shared" si="40"/>
        <v>0.3103540772532189</v>
      </c>
      <c r="J21" s="63">
        <f t="shared" si="40"/>
        <v>0.3103540772532189</v>
      </c>
      <c r="K21" s="63">
        <f t="shared" si="40"/>
        <v>0.3103540772532189</v>
      </c>
      <c r="M21" s="56" t="s">
        <v>155</v>
      </c>
      <c r="N21" s="58">
        <f>N17</f>
        <v>0</v>
      </c>
      <c r="O21" s="58">
        <f t="shared" ref="O21:R21" si="41">O17</f>
        <v>0</v>
      </c>
      <c r="P21" s="58">
        <f t="shared" si="41"/>
        <v>0</v>
      </c>
      <c r="Q21" s="58">
        <f t="shared" si="41"/>
        <v>0</v>
      </c>
      <c r="R21" s="58">
        <f t="shared" si="41"/>
        <v>0</v>
      </c>
    </row>
    <row r="22" spans="1:18" x14ac:dyDescent="0.25">
      <c r="A22" s="3" t="s">
        <v>48</v>
      </c>
      <c r="B22" s="58">
        <f>B21*B20</f>
        <v>858.44540157081326</v>
      </c>
      <c r="C22" s="58">
        <f>C21*C20</f>
        <v>-898.24137931034477</v>
      </c>
      <c r="D22" s="58">
        <f t="shared" ref="D22" si="42">D21*D20</f>
        <v>1011.2425068119891</v>
      </c>
      <c r="E22" s="58">
        <f>E21*E20</f>
        <v>1752.4101556101557</v>
      </c>
      <c r="F22" s="58">
        <f>F21*F20</f>
        <v>2518.2129828326183</v>
      </c>
      <c r="G22" s="58">
        <f t="shared" ref="G22:K22" si="43">G21*G20</f>
        <v>2574.0705096566535</v>
      </c>
      <c r="H22" s="58">
        <f t="shared" si="43"/>
        <v>2677.8899072961372</v>
      </c>
      <c r="I22" s="58">
        <f t="shared" si="43"/>
        <v>2812.8551242274675</v>
      </c>
      <c r="J22" s="58">
        <f t="shared" si="43"/>
        <v>2954.5686020053654</v>
      </c>
      <c r="K22" s="58">
        <f t="shared" si="43"/>
        <v>3133.1275840055168</v>
      </c>
      <c r="M22" s="56" t="s">
        <v>158</v>
      </c>
      <c r="N22" s="58">
        <f>'Balance Sheet and Invested Capi'!L42*-1</f>
        <v>-668</v>
      </c>
      <c r="O22" s="58">
        <f>$N$22</f>
        <v>-668</v>
      </c>
      <c r="P22" s="58">
        <f t="shared" ref="P22:R22" si="44">$N$22</f>
        <v>-668</v>
      </c>
      <c r="Q22" s="58">
        <f t="shared" si="44"/>
        <v>-668</v>
      </c>
      <c r="R22" s="58">
        <f t="shared" si="44"/>
        <v>-668</v>
      </c>
    </row>
    <row r="23" spans="1:18" x14ac:dyDescent="0.25">
      <c r="A23" s="3" t="s">
        <v>112</v>
      </c>
      <c r="B23" s="58">
        <f>28.79*(1-B21)</f>
        <v>22.794210793007348</v>
      </c>
      <c r="C23" s="58">
        <f>28.79*(1-C21)</f>
        <v>85.377241379310348</v>
      </c>
      <c r="D23" s="58">
        <f t="shared" ref="D23" si="45">28.79*(1-D21)</f>
        <v>21.102207084468667</v>
      </c>
      <c r="E23" s="58">
        <f>28.79*(1-E21)</f>
        <v>21.395615069615065</v>
      </c>
      <c r="F23" s="58">
        <f>28.79*(1-F21)</f>
        <v>19.854906115879825</v>
      </c>
      <c r="G23" s="58">
        <f>AVERAGE($B$23:$F$23)</f>
        <v>34.104836088456253</v>
      </c>
      <c r="H23" s="58">
        <f t="shared" ref="H23:K23" si="46">AVERAGE($B$23:$F$23)</f>
        <v>34.104836088456253</v>
      </c>
      <c r="I23" s="58">
        <f t="shared" si="46"/>
        <v>34.104836088456253</v>
      </c>
      <c r="J23" s="58">
        <f t="shared" si="46"/>
        <v>34.104836088456253</v>
      </c>
      <c r="K23" s="58">
        <f t="shared" si="46"/>
        <v>34.104836088456253</v>
      </c>
      <c r="M23" s="56" t="s">
        <v>159</v>
      </c>
      <c r="N23" s="64">
        <f>SUM(N20:N22)</f>
        <v>20689.650000000001</v>
      </c>
      <c r="O23" s="64">
        <f t="shared" ref="O23:R23" si="47">SUM(O20:O22)</f>
        <v>20021.650000000001</v>
      </c>
      <c r="P23" s="64">
        <f t="shared" si="47"/>
        <v>19353.650000000001</v>
      </c>
      <c r="Q23" s="64">
        <f t="shared" si="47"/>
        <v>18685.650000000001</v>
      </c>
      <c r="R23" s="64">
        <f t="shared" si="47"/>
        <v>18017.650000000001</v>
      </c>
    </row>
    <row r="24" spans="1:18" ht="16.5" thickBot="1" x14ac:dyDescent="0.3">
      <c r="A24" s="3" t="s">
        <v>49</v>
      </c>
      <c r="B24" s="60">
        <f>B20-B22+B23</f>
        <v>3286.3488092221942</v>
      </c>
      <c r="C24" s="60">
        <f>C20-C22+C23</f>
        <v>1440.618620689655</v>
      </c>
      <c r="D24" s="60">
        <f t="shared" ref="D24" si="48">D20-D22+D23</f>
        <v>2796.8597002724796</v>
      </c>
      <c r="E24" s="60">
        <f>E20-E22+E23</f>
        <v>5091.985459459459</v>
      </c>
      <c r="F24" s="60">
        <f>F20-F22+F23</f>
        <v>5615.6419232832623</v>
      </c>
      <c r="G24" s="60">
        <f>G20-G22+G23</f>
        <v>5754.0143264318058</v>
      </c>
      <c r="H24" s="60">
        <f t="shared" ref="H24:K24" si="49">H20-H22+H23</f>
        <v>5984.7141287923168</v>
      </c>
      <c r="I24" s="60">
        <f t="shared" si="49"/>
        <v>6284.6238718609875</v>
      </c>
      <c r="J24" s="60">
        <f t="shared" si="49"/>
        <v>6599.5291020830919</v>
      </c>
      <c r="K24" s="60">
        <f t="shared" si="49"/>
        <v>6996.309692162944</v>
      </c>
      <c r="M24" s="56" t="s">
        <v>160</v>
      </c>
      <c r="N24" s="63">
        <f>F30</f>
        <v>3.2001333852053573E-2</v>
      </c>
      <c r="O24" s="63">
        <f t="shared" ref="O24:R24" si="50">G30</f>
        <v>3.2001333852053573E-2</v>
      </c>
      <c r="P24" s="63">
        <f t="shared" si="50"/>
        <v>3.2001333852053573E-2</v>
      </c>
      <c r="Q24" s="63">
        <f t="shared" si="50"/>
        <v>3.2001333852053573E-2</v>
      </c>
      <c r="R24" s="63">
        <f t="shared" si="50"/>
        <v>3.2001333852053573E-2</v>
      </c>
    </row>
    <row r="25" spans="1:18" ht="16.5" thickTop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M25" s="56" t="s">
        <v>161</v>
      </c>
      <c r="N25" s="58">
        <f>N24*N20</f>
        <v>683.47328794531199</v>
      </c>
      <c r="O25" s="58">
        <f t="shared" ref="O25:R25" si="51">O24*O20</f>
        <v>662.09639693214024</v>
      </c>
      <c r="P25" s="58">
        <f t="shared" si="51"/>
        <v>640.71950591896848</v>
      </c>
      <c r="Q25" s="58">
        <f t="shared" si="51"/>
        <v>619.34261490579672</v>
      </c>
      <c r="R25" s="58">
        <f t="shared" si="51"/>
        <v>597.96572389262485</v>
      </c>
    </row>
    <row r="26" spans="1:18" x14ac:dyDescent="0.25">
      <c r="A26" s="4" t="s">
        <v>59</v>
      </c>
      <c r="B26" s="63">
        <f>B24/B11</f>
        <v>0.20323576923761244</v>
      </c>
      <c r="C26" s="63">
        <f>C24/C11</f>
        <v>9.7561840220994761E-2</v>
      </c>
      <c r="D26" s="63">
        <f t="shared" ref="D26" si="52">D24/D11</f>
        <v>0.1744452462859124</v>
      </c>
      <c r="E26" s="63">
        <f>E24/E11</f>
        <v>0.19932590149856785</v>
      </c>
      <c r="F26" s="63">
        <f>F24/F11</f>
        <v>0.19866416445472165</v>
      </c>
      <c r="G26" s="63">
        <f>F26</f>
        <v>0.19866416445472165</v>
      </c>
      <c r="H26" s="63">
        <f t="shared" ref="H26:K26" si="53">G26</f>
        <v>0.19866416445472165</v>
      </c>
      <c r="I26" s="63">
        <f t="shared" si="53"/>
        <v>0.19866416445472165</v>
      </c>
      <c r="J26" s="63">
        <f t="shared" si="53"/>
        <v>0.19866416445472165</v>
      </c>
      <c r="K26" s="63">
        <f t="shared" si="53"/>
        <v>0.19866416445472165</v>
      </c>
      <c r="N26" s="58"/>
      <c r="O26" s="58"/>
      <c r="P26" s="58"/>
      <c r="Q26" s="58"/>
      <c r="R26" s="58"/>
    </row>
    <row r="27" spans="1:18" x14ac:dyDescent="0.25">
      <c r="A27" s="4" t="s">
        <v>60</v>
      </c>
      <c r="B27" s="63">
        <f>B9/'Balance Sheet and Invested Capi'!H32</f>
        <v>0.59115974948871786</v>
      </c>
      <c r="C27" s="63">
        <f>C9/'Balance Sheet and Invested Capi'!I32</f>
        <v>0.46526021233613779</v>
      </c>
      <c r="D27" s="63">
        <f>D9/'Balance Sheet and Invested Capi'!J32</f>
        <v>0.21463455099769965</v>
      </c>
      <c r="E27" s="63">
        <f>E9/'Balance Sheet and Invested Capi'!K32</f>
        <v>0.10298586512268251</v>
      </c>
      <c r="F27" s="63">
        <f>F9/'Balance Sheet and Invested Capi'!L32</f>
        <v>0.28174292222629838</v>
      </c>
      <c r="G27" s="63">
        <f t="shared" ref="G27:K44" si="54">F27</f>
        <v>0.28174292222629838</v>
      </c>
      <c r="H27" s="63">
        <f t="shared" si="54"/>
        <v>0.28174292222629838</v>
      </c>
      <c r="I27" s="63">
        <f t="shared" si="54"/>
        <v>0.28174292222629838</v>
      </c>
      <c r="J27" s="63">
        <f t="shared" si="54"/>
        <v>0.28174292222629838</v>
      </c>
      <c r="K27" s="63">
        <f t="shared" si="54"/>
        <v>0.28174292222629838</v>
      </c>
      <c r="M27" s="56" t="s">
        <v>162</v>
      </c>
      <c r="N27" s="58">
        <f>'Balance Sheet and Invested Capi'!L34</f>
        <v>2044.6399999999999</v>
      </c>
      <c r="O27" s="58">
        <f>N29</f>
        <v>1493.4367036139852</v>
      </c>
      <c r="P27" s="58">
        <f t="shared" ref="P27:R27" si="55">O29</f>
        <v>942.23340722797047</v>
      </c>
      <c r="Q27" s="58">
        <f t="shared" si="55"/>
        <v>391.03011084195577</v>
      </c>
      <c r="R27" s="58">
        <f t="shared" si="55"/>
        <v>-160.17318554405892</v>
      </c>
    </row>
    <row r="28" spans="1:18" x14ac:dyDescent="0.25">
      <c r="A28" s="56" t="s">
        <v>61</v>
      </c>
      <c r="B28" s="63">
        <f>'Balance Sheet and Invested Capi'!H53/'Balance Sheet and Invested Capi'!H32</f>
        <v>0.4088402505112822</v>
      </c>
      <c r="C28" s="63">
        <f>'Balance Sheet and Invested Capi'!I53/'Balance Sheet and Invested Capi'!I32</f>
        <v>0.62981631711861075</v>
      </c>
      <c r="D28" s="63">
        <f>'Balance Sheet and Invested Capi'!J53/'Balance Sheet and Invested Capi'!J32</f>
        <v>0.70636092829235919</v>
      </c>
      <c r="E28" s="63">
        <f>'Balance Sheet and Invested Capi'!K53/'Balance Sheet and Invested Capi'!K32</f>
        <v>0.52462163396817429</v>
      </c>
      <c r="F28" s="63">
        <f>'Balance Sheet and Invested Capi'!L53/'Balance Sheet and Invested Capi'!L32</f>
        <v>0.62199716206277211</v>
      </c>
      <c r="G28" s="63">
        <f t="shared" si="54"/>
        <v>0.62199716206277211</v>
      </c>
      <c r="H28" s="63">
        <f t="shared" si="54"/>
        <v>0.62199716206277211</v>
      </c>
      <c r="I28" s="63">
        <f t="shared" si="54"/>
        <v>0.62199716206277211</v>
      </c>
      <c r="J28" s="63">
        <f t="shared" si="54"/>
        <v>0.62199716206277211</v>
      </c>
      <c r="K28" s="63">
        <f t="shared" si="54"/>
        <v>0.62199716206277211</v>
      </c>
      <c r="M28" s="56" t="s">
        <v>163</v>
      </c>
      <c r="N28" s="58">
        <f>N15*-1</f>
        <v>-551.2032963860147</v>
      </c>
      <c r="O28" s="58">
        <f t="shared" ref="O28:R28" si="56">O15*-1</f>
        <v>-551.2032963860147</v>
      </c>
      <c r="P28" s="58">
        <f t="shared" si="56"/>
        <v>-551.2032963860147</v>
      </c>
      <c r="Q28" s="58">
        <f t="shared" si="56"/>
        <v>-551.2032963860147</v>
      </c>
      <c r="R28" s="58">
        <f t="shared" si="56"/>
        <v>-551.2032963860147</v>
      </c>
    </row>
    <row r="29" spans="1:18" ht="16.5" thickBot="1" x14ac:dyDescent="0.3">
      <c r="A29" s="56" t="s">
        <v>62</v>
      </c>
      <c r="B29" s="63">
        <f>B21</f>
        <v>0.20825943754750442</v>
      </c>
      <c r="C29" s="63">
        <f>C21</f>
        <v>-1.9655172413793103</v>
      </c>
      <c r="D29" s="63">
        <f t="shared" ref="D29" si="57">D21</f>
        <v>0.2670299727520436</v>
      </c>
      <c r="E29" s="63">
        <f>E21</f>
        <v>0.25683865683865686</v>
      </c>
      <c r="F29" s="63">
        <f>F21</f>
        <v>0.3103540772532189</v>
      </c>
      <c r="G29" s="63">
        <f t="shared" si="54"/>
        <v>0.3103540772532189</v>
      </c>
      <c r="H29" s="63">
        <f t="shared" si="54"/>
        <v>0.3103540772532189</v>
      </c>
      <c r="I29" s="63">
        <f t="shared" si="54"/>
        <v>0.3103540772532189</v>
      </c>
      <c r="J29" s="63">
        <f t="shared" si="54"/>
        <v>0.3103540772532189</v>
      </c>
      <c r="K29" s="63">
        <f t="shared" si="54"/>
        <v>0.3103540772532189</v>
      </c>
      <c r="M29" s="56" t="s">
        <v>164</v>
      </c>
      <c r="N29" s="60">
        <f>SUM(N27:N28)</f>
        <v>1493.4367036139852</v>
      </c>
      <c r="O29" s="60">
        <f t="shared" ref="O29:R29" si="58">SUM(O27:O28)</f>
        <v>942.23340722797047</v>
      </c>
      <c r="P29" s="60">
        <f t="shared" si="58"/>
        <v>391.03011084195577</v>
      </c>
      <c r="Q29" s="60">
        <f t="shared" si="58"/>
        <v>-160.17318554405892</v>
      </c>
      <c r="R29" s="60">
        <f t="shared" si="58"/>
        <v>-711.37648193007362</v>
      </c>
    </row>
    <row r="30" spans="1:18" ht="16.5" thickTop="1" x14ac:dyDescent="0.25">
      <c r="A30" s="56" t="s">
        <v>134</v>
      </c>
      <c r="B30" s="63">
        <f>(B23/(1-B21))/'Balance Sheet and Invested Capi'!H26</f>
        <v>2.63584344243534E-2</v>
      </c>
      <c r="C30" s="63">
        <f>(C23/(1-C21))/'Balance Sheet and Invested Capi'!I26</f>
        <v>2.6162975618178676E-2</v>
      </c>
      <c r="D30" s="63">
        <f>(D23/(1-D21))/'Balance Sheet and Invested Capi'!J26</f>
        <v>2.4040950615428294E-2</v>
      </c>
      <c r="E30" s="63">
        <f>(E23/(1-E21))/'Balance Sheet and Invested Capi'!K26</f>
        <v>2.3139552640673848E-2</v>
      </c>
      <c r="F30" s="63">
        <f>(F23/(1-F21))/'Balance Sheet and Invested Capi'!L26</f>
        <v>3.2001333852053573E-2</v>
      </c>
      <c r="G30" s="63">
        <f t="shared" si="54"/>
        <v>3.2001333852053573E-2</v>
      </c>
      <c r="H30" s="63">
        <f t="shared" si="54"/>
        <v>3.2001333852053573E-2</v>
      </c>
      <c r="I30" s="63">
        <f t="shared" si="54"/>
        <v>3.2001333852053573E-2</v>
      </c>
      <c r="J30" s="63">
        <f t="shared" si="54"/>
        <v>3.2001333852053573E-2</v>
      </c>
      <c r="K30" s="63">
        <f t="shared" si="54"/>
        <v>3.2001333852053573E-2</v>
      </c>
    </row>
    <row r="31" spans="1:18" x14ac:dyDescent="0.25">
      <c r="A31" s="4" t="s">
        <v>63</v>
      </c>
      <c r="B31" s="62" t="s">
        <v>143</v>
      </c>
      <c r="C31" s="63">
        <f>IF(B31="","N/A",(C24-B24)/B24)</f>
        <v>-0.56163550970396914</v>
      </c>
      <c r="D31" s="63">
        <f>IF(C31="","N/A",(D24-C24)/C24)</f>
        <v>0.94142964703146959</v>
      </c>
      <c r="E31" s="63">
        <f>IF(D31="","N/A",(E24-D24)/D24)</f>
        <v>0.82060811236379871</v>
      </c>
      <c r="F31" s="63">
        <f>IF(E31="","N/A",(F24-E24)/E24)</f>
        <v>0.10283934783258242</v>
      </c>
      <c r="G31" s="62">
        <f t="shared" si="54"/>
        <v>0.10283934783258242</v>
      </c>
      <c r="H31" s="63">
        <f t="shared" si="54"/>
        <v>0.10283934783258242</v>
      </c>
      <c r="I31" s="63">
        <f t="shared" si="54"/>
        <v>0.10283934783258242</v>
      </c>
      <c r="J31" s="63">
        <f t="shared" si="54"/>
        <v>0.10283934783258242</v>
      </c>
      <c r="K31" s="63">
        <f t="shared" si="54"/>
        <v>0.10283934783258242</v>
      </c>
      <c r="M31" s="56" t="s">
        <v>165</v>
      </c>
      <c r="N31" s="63">
        <v>0.15379999999999999</v>
      </c>
      <c r="O31" s="63">
        <v>0.11</v>
      </c>
      <c r="P31" s="63">
        <v>0.1</v>
      </c>
      <c r="Q31" s="63">
        <v>0.09</v>
      </c>
      <c r="R31" s="63">
        <v>0.09</v>
      </c>
    </row>
    <row r="32" spans="1:18" x14ac:dyDescent="0.25">
      <c r="A32" s="4" t="s">
        <v>64</v>
      </c>
      <c r="B32" s="62" t="str">
        <f>IFERROR(B8/B24,"N/A")</f>
        <v>N/A</v>
      </c>
      <c r="C32" s="63">
        <f>IFERROR(C8/C24,"N/A")</f>
        <v>-0.97452579040517695</v>
      </c>
      <c r="D32" s="63">
        <f t="shared" ref="D32" si="59">IFERROR(D8/D24,"N/A")</f>
        <v>0.4528900752070612</v>
      </c>
      <c r="E32" s="63">
        <f>IFERROR(E8/E24,"N/A")</f>
        <v>1.868259459053889</v>
      </c>
      <c r="F32" s="63">
        <f>IFERROR(F8/F24,"N/A")</f>
        <v>0.48453587981071716</v>
      </c>
      <c r="G32" s="62">
        <f t="shared" si="54"/>
        <v>0.48453587981071716</v>
      </c>
      <c r="H32" s="63">
        <f t="shared" si="54"/>
        <v>0.48453587981071716</v>
      </c>
      <c r="I32" s="63">
        <f t="shared" si="54"/>
        <v>0.48453587981071716</v>
      </c>
      <c r="J32" s="63">
        <f t="shared" si="54"/>
        <v>0.48453587981071716</v>
      </c>
      <c r="K32" s="63">
        <f t="shared" si="54"/>
        <v>0.48453587981071716</v>
      </c>
    </row>
    <row r="33" spans="1:11" x14ac:dyDescent="0.25">
      <c r="A33" s="56" t="s">
        <v>65</v>
      </c>
      <c r="B33" s="63">
        <f>'Income Statement and NOPLAT'!B4/'Income Statement and NOPLAT'!B3</f>
        <v>0.7995795520772625</v>
      </c>
      <c r="C33" s="63">
        <f>'Income Statement and NOPLAT'!C4/'Income Statement and NOPLAT'!C3</f>
        <v>0.80859851049424514</v>
      </c>
      <c r="D33" s="63">
        <f>'Income Statement and NOPLAT'!D4/'Income Statement and NOPLAT'!D3</f>
        <v>0.76170767802944794</v>
      </c>
      <c r="E33" s="63">
        <f>'Income Statement and NOPLAT'!E4/'Income Statement and NOPLAT'!E3</f>
        <v>0.75930443267354331</v>
      </c>
      <c r="F33" s="63">
        <f>'Income Statement and NOPLAT'!F4/'Income Statement and NOPLAT'!F3</f>
        <v>0.74609944821462548</v>
      </c>
      <c r="G33" s="63">
        <f t="shared" si="54"/>
        <v>0.74609944821462548</v>
      </c>
      <c r="H33" s="63">
        <f t="shared" si="54"/>
        <v>0.74609944821462548</v>
      </c>
      <c r="I33" s="63">
        <f t="shared" si="54"/>
        <v>0.74609944821462548</v>
      </c>
      <c r="J33" s="63">
        <f t="shared" si="54"/>
        <v>0.74609944821462548</v>
      </c>
      <c r="K33" s="63">
        <f t="shared" si="54"/>
        <v>0.74609944821462548</v>
      </c>
    </row>
    <row r="34" spans="1:11" x14ac:dyDescent="0.25">
      <c r="A34" s="56" t="s">
        <v>66</v>
      </c>
      <c r="B34" s="63">
        <f>'Income Statement and NOPLAT'!B8/'Income Statement and NOPLAT'!B3</f>
        <v>7.9343934726500712E-2</v>
      </c>
      <c r="C34" s="63">
        <f>'Income Statement and NOPLAT'!C8/'Income Statement and NOPLAT'!C3</f>
        <v>0.10443466486120515</v>
      </c>
      <c r="D34" s="63">
        <f>'Income Statement and NOPLAT'!D8/'Income Statement and NOPLAT'!D3</f>
        <v>9.2532671131512284E-2</v>
      </c>
      <c r="E34" s="63">
        <f>'Income Statement and NOPLAT'!E8/'Income Statement and NOPLAT'!E3</f>
        <v>8.0690688597713972E-2</v>
      </c>
      <c r="F34" s="63">
        <f>'Income Statement and NOPLAT'!F8/'Income Statement and NOPLAT'!F3</f>
        <v>8.4797361577979319E-2</v>
      </c>
      <c r="G34" s="63">
        <f t="shared" si="54"/>
        <v>8.4797361577979319E-2</v>
      </c>
      <c r="H34" s="63">
        <f t="shared" si="54"/>
        <v>8.4797361577979319E-2</v>
      </c>
      <c r="I34" s="63">
        <f t="shared" si="54"/>
        <v>8.4797361577979319E-2</v>
      </c>
      <c r="J34" s="63">
        <f t="shared" si="54"/>
        <v>8.4797361577979319E-2</v>
      </c>
      <c r="K34" s="63">
        <f t="shared" si="54"/>
        <v>8.4797361577979319E-2</v>
      </c>
    </row>
    <row r="35" spans="1:11" x14ac:dyDescent="0.25">
      <c r="A35" s="56" t="s">
        <v>67</v>
      </c>
      <c r="B35" s="63">
        <f>0/'Income Statement and NOPLAT'!B3</f>
        <v>0</v>
      </c>
      <c r="C35" s="63">
        <f>0/'Income Statement and NOPLAT'!C3</f>
        <v>0</v>
      </c>
      <c r="D35" s="63">
        <f>0/'Income Statement and NOPLAT'!D3</f>
        <v>0</v>
      </c>
      <c r="E35" s="63">
        <f>0/'Income Statement and NOPLAT'!E3</f>
        <v>0</v>
      </c>
      <c r="F35" s="63">
        <f>0/'Income Statement and NOPLAT'!F3</f>
        <v>0</v>
      </c>
      <c r="G35" s="63">
        <f t="shared" si="54"/>
        <v>0</v>
      </c>
      <c r="H35" s="63">
        <f t="shared" si="54"/>
        <v>0</v>
      </c>
      <c r="I35" s="63">
        <f t="shared" si="54"/>
        <v>0</v>
      </c>
      <c r="J35" s="63">
        <f t="shared" si="54"/>
        <v>0</v>
      </c>
      <c r="K35" s="63">
        <f t="shared" si="54"/>
        <v>0</v>
      </c>
    </row>
    <row r="36" spans="1:11" x14ac:dyDescent="0.25">
      <c r="A36" s="56" t="s">
        <v>135</v>
      </c>
      <c r="B36" s="63">
        <f>((B23/(1-B21))/'Income Statement and NOPLAT'!B3)</f>
        <v>5.9924236116892847E-4</v>
      </c>
      <c r="C36" s="63">
        <f>((C23/(1-C21))/'Income Statement and NOPLAT'!C3)</f>
        <v>9.7461069735951247E-4</v>
      </c>
      <c r="D36" s="63">
        <f>((D23/(1-D21))/'Income Statement and NOPLAT'!D3)</f>
        <v>7.2215115258233628E-4</v>
      </c>
      <c r="E36" s="63">
        <f>((E23/(1-E21))/'Income Statement and NOPLAT'!E3)</f>
        <v>5.0163785893504308E-4</v>
      </c>
      <c r="F36" s="63">
        <f>((F23/(1-F21))/'Income Statement and NOPLAT'!F3)</f>
        <v>4.564914061013509E-4</v>
      </c>
      <c r="G36" s="63">
        <f t="shared" si="54"/>
        <v>4.564914061013509E-4</v>
      </c>
      <c r="H36" s="63">
        <f t="shared" si="54"/>
        <v>4.564914061013509E-4</v>
      </c>
      <c r="I36" s="63">
        <f t="shared" si="54"/>
        <v>4.564914061013509E-4</v>
      </c>
      <c r="J36" s="63">
        <f t="shared" si="54"/>
        <v>4.564914061013509E-4</v>
      </c>
      <c r="K36" s="63">
        <f t="shared" si="54"/>
        <v>4.564914061013509E-4</v>
      </c>
    </row>
    <row r="37" spans="1:11" x14ac:dyDescent="0.25">
      <c r="A37" s="4" t="s">
        <v>136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</row>
    <row r="38" spans="1:11" x14ac:dyDescent="0.25">
      <c r="A38" s="56" t="s">
        <v>68</v>
      </c>
      <c r="B38" s="63">
        <f>'Income Statement and NOPLAT'!H9/'Income Statement and NOPLAT'!B3</f>
        <v>8.5796353342769124E-2</v>
      </c>
      <c r="C38" s="63">
        <f>'Income Statement and NOPLAT'!I9/'Income Statement and NOPLAT'!C3</f>
        <v>1.5470548408937034E-2</v>
      </c>
      <c r="D38" s="63">
        <f>'Income Statement and NOPLAT'!J9/'Income Statement and NOPLAT'!D3</f>
        <v>9.4990844558155874E-2</v>
      </c>
      <c r="E38" s="63">
        <f>'Income Statement and NOPLAT'!K9/'Income Statement and NOPLAT'!E3</f>
        <v>0.11888416504042375</v>
      </c>
      <c r="F38" s="63">
        <f>'Income Statement and NOPLAT'!L9/'Income Statement and NOPLAT'!F3</f>
        <v>0.12865478531109278</v>
      </c>
      <c r="G38" s="63">
        <f t="shared" si="54"/>
        <v>0.12865478531109278</v>
      </c>
      <c r="H38" s="63">
        <f t="shared" si="54"/>
        <v>0.12865478531109278</v>
      </c>
      <c r="I38" s="63">
        <f t="shared" si="54"/>
        <v>0.12865478531109278</v>
      </c>
      <c r="J38" s="63">
        <f t="shared" si="54"/>
        <v>0.12865478531109278</v>
      </c>
      <c r="K38" s="63">
        <f t="shared" si="54"/>
        <v>0.12865478531109278</v>
      </c>
    </row>
    <row r="39" spans="1:11" x14ac:dyDescent="0.25">
      <c r="A39" s="4" t="s">
        <v>69</v>
      </c>
      <c r="B39" s="63">
        <f>'Income Statement and NOPLAT'!H13/'Income Statement and NOPLAT'!B3</f>
        <v>6.8504411187388675E-2</v>
      </c>
      <c r="C39" s="63">
        <f>'Income Statement and NOPLAT'!I13/'Income Statement and NOPLAT'!C3</f>
        <v>4.9412905937011177E-2</v>
      </c>
      <c r="D39" s="63">
        <f>'Income Statement and NOPLAT'!J13/'Income Statement and NOPLAT'!D3</f>
        <v>7.0329969765273351E-2</v>
      </c>
      <c r="E39" s="63">
        <f>'Income Statement and NOPLAT'!K13/'Income Statement and NOPLAT'!E3</f>
        <v>8.8865610145335533E-2</v>
      </c>
      <c r="F39" s="63">
        <f>'Income Statement and NOPLAT'!L13/'Income Statement and NOPLAT'!F3</f>
        <v>8.9041065568644356E-2</v>
      </c>
      <c r="G39" s="63">
        <f t="shared" si="54"/>
        <v>8.9041065568644356E-2</v>
      </c>
      <c r="H39" s="63">
        <f t="shared" si="54"/>
        <v>8.9041065568644356E-2</v>
      </c>
      <c r="I39" s="63">
        <f t="shared" si="54"/>
        <v>8.9041065568644356E-2</v>
      </c>
      <c r="J39" s="63">
        <f t="shared" si="54"/>
        <v>8.9041065568644356E-2</v>
      </c>
      <c r="K39" s="63">
        <f t="shared" si="54"/>
        <v>8.9041065568644356E-2</v>
      </c>
    </row>
    <row r="40" spans="1:11" x14ac:dyDescent="0.25">
      <c r="A40" s="56" t="s">
        <v>70</v>
      </c>
      <c r="B40" s="63">
        <f>'Income Statement and NOPLAT'!B3/'Balance Sheet and Invested Capi'!H32</f>
        <v>2.9711573128972986</v>
      </c>
      <c r="C40" s="63">
        <f>'Income Statement and NOPLAT'!C3/'Balance Sheet and Invested Capi'!I32</f>
        <v>2.0005133341595442</v>
      </c>
      <c r="D40" s="63">
        <f>'Income Statement and NOPLAT'!D3/'Balance Sheet and Invested Capi'!J32</f>
        <v>2.4865775830667975</v>
      </c>
      <c r="E40" s="63">
        <f>'Income Statement and NOPLAT'!E3/'Balance Sheet and Invested Capi'!K32</f>
        <v>2.2466113129907073</v>
      </c>
      <c r="F40" s="63">
        <f>'Income Statement and NOPLAT'!F3/'Balance Sheet and Invested Capi'!L32</f>
        <v>2.2311521452038967</v>
      </c>
      <c r="G40" s="63">
        <f t="shared" si="54"/>
        <v>2.2311521452038967</v>
      </c>
      <c r="H40" s="63">
        <f t="shared" si="54"/>
        <v>2.2311521452038967</v>
      </c>
      <c r="I40" s="63">
        <f t="shared" si="54"/>
        <v>2.2311521452038967</v>
      </c>
      <c r="J40" s="63">
        <f t="shared" si="54"/>
        <v>2.2311521452038967</v>
      </c>
      <c r="K40" s="63">
        <f t="shared" si="54"/>
        <v>2.2311521452038967</v>
      </c>
    </row>
    <row r="41" spans="1:11" x14ac:dyDescent="0.25">
      <c r="A41" s="56" t="s">
        <v>71</v>
      </c>
      <c r="B41" s="63">
        <f>'Balance Sheet and Invested Capi'!H21/'Income Statement and NOPLAT'!B3</f>
        <v>9.2100574473399408E-2</v>
      </c>
      <c r="C41" s="63">
        <f>'Balance Sheet and Invested Capi'!I21/'Income Statement and NOPLAT'!C3</f>
        <v>0.10178740690589029</v>
      </c>
      <c r="D41" s="63">
        <f>'Balance Sheet and Invested Capi'!J21/'Income Statement and NOPLAT'!D3</f>
        <v>8.5267012817618587E-2</v>
      </c>
      <c r="E41" s="63">
        <f>'Balance Sheet and Invested Capi'!K21/'Income Statement and NOPLAT'!E3</f>
        <v>5.9918455533872317E-2</v>
      </c>
      <c r="F41" s="63">
        <f>'Balance Sheet and Invested Capi'!L21/'Income Statement and NOPLAT'!F3</f>
        <v>8.6975328217162431E-2</v>
      </c>
      <c r="G41" s="63">
        <f t="shared" si="54"/>
        <v>8.6975328217162431E-2</v>
      </c>
      <c r="H41" s="63">
        <f t="shared" si="54"/>
        <v>8.6975328217162431E-2</v>
      </c>
      <c r="I41" s="63">
        <f t="shared" si="54"/>
        <v>8.6975328217162431E-2</v>
      </c>
      <c r="J41" s="63">
        <f t="shared" si="54"/>
        <v>8.6975328217162431E-2</v>
      </c>
      <c r="K41" s="63">
        <f t="shared" si="54"/>
        <v>8.6975328217162431E-2</v>
      </c>
    </row>
    <row r="42" spans="1:11" x14ac:dyDescent="0.25">
      <c r="A42" s="56" t="s">
        <v>72</v>
      </c>
      <c r="B42" s="63">
        <f>'Balance Sheet and Invested Capi'!B11/'Income Statement and NOPLAT'!B3</f>
        <v>0.19523769877612188</v>
      </c>
      <c r="C42" s="63">
        <f>'Balance Sheet and Invested Capi'!C11/'Income Statement and NOPLAT'!C3</f>
        <v>0.31509817197020989</v>
      </c>
      <c r="D42" s="63">
        <f>'Balance Sheet and Invested Capi'!D11/'Income Statement and NOPLAT'!D3</f>
        <v>0.24235583314520781</v>
      </c>
      <c r="E42" s="63">
        <f>'Balance Sheet and Invested Capi'!E11/'Income Statement and NOPLAT'!E3</f>
        <v>0.20023696682464456</v>
      </c>
      <c r="F42" s="63">
        <f>'Balance Sheet and Invested Capi'!F11/'Income Statement and NOPLAT'!F3</f>
        <v>0.20704636265618062</v>
      </c>
      <c r="G42" s="63">
        <f t="shared" si="54"/>
        <v>0.20704636265618062</v>
      </c>
      <c r="H42" s="63">
        <f t="shared" si="54"/>
        <v>0.20704636265618062</v>
      </c>
      <c r="I42" s="63">
        <f t="shared" si="54"/>
        <v>0.20704636265618062</v>
      </c>
      <c r="J42" s="63">
        <f t="shared" si="54"/>
        <v>0.20704636265618062</v>
      </c>
      <c r="K42" s="63">
        <f t="shared" si="54"/>
        <v>0.20704636265618062</v>
      </c>
    </row>
    <row r="43" spans="1:11" x14ac:dyDescent="0.25">
      <c r="A43" s="56" t="s">
        <v>137</v>
      </c>
      <c r="B43" s="63">
        <f>'Balance Sheet and Invested Capi'!H26/'Income Statement and NOPLAT'!B3</f>
        <v>2.2734368495545748E-2</v>
      </c>
      <c r="C43" s="63">
        <f>'Balance Sheet and Invested Capi'!I26/'Income Statement and NOPLAT'!C3</f>
        <v>3.7251523358158435E-2</v>
      </c>
      <c r="D43" s="63">
        <f>'Balance Sheet and Invested Capi'!J26/'Income Statement and NOPLAT'!D3</f>
        <v>3.0038377605538413E-2</v>
      </c>
      <c r="E43" s="63">
        <f>'Balance Sheet and Invested Capi'!K26/'Income Statement and NOPLAT'!E3</f>
        <v>2.1678805408419294E-2</v>
      </c>
      <c r="F43" s="63">
        <f>'Balance Sheet and Invested Capi'!L26/'Income Statement and NOPLAT'!F3</f>
        <v>1.4264761844358469E-2</v>
      </c>
      <c r="G43" s="63">
        <f t="shared" si="54"/>
        <v>1.4264761844358469E-2</v>
      </c>
      <c r="H43" s="63">
        <f t="shared" si="54"/>
        <v>1.4264761844358469E-2</v>
      </c>
      <c r="I43" s="63">
        <f t="shared" si="54"/>
        <v>1.4264761844358469E-2</v>
      </c>
      <c r="J43" s="63">
        <f t="shared" si="54"/>
        <v>1.4264761844358469E-2</v>
      </c>
      <c r="K43" s="63">
        <f t="shared" si="54"/>
        <v>1.4264761844358469E-2</v>
      </c>
    </row>
    <row r="44" spans="1:11" x14ac:dyDescent="0.25">
      <c r="A44" s="56" t="s">
        <v>73</v>
      </c>
      <c r="B44" s="63">
        <f>(SUM('Balance Sheet and Invested Capi'!H23:H26)-'Balance Sheet and Invested Capi'!H27)/'Income Statement and NOPLAT'!B3</f>
        <v>0.18679231537757057</v>
      </c>
      <c r="C44" s="63">
        <f>(SUM('Balance Sheet and Invested Capi'!I23:I26)-'Balance Sheet and Invested Capi'!I27)/'Income Statement and NOPLAT'!C3</f>
        <v>0.30556567366283005</v>
      </c>
      <c r="D44" s="63">
        <f>(SUM('Balance Sheet and Invested Capi'!J23:J26)-'Balance Sheet and Invested Capi'!J27)/'Income Statement and NOPLAT'!D3</f>
        <v>0.23180926580881434</v>
      </c>
      <c r="E44" s="63">
        <f>(SUM('Balance Sheet and Invested Capi'!K23:K26)-'Balance Sheet and Invested Capi'!K27)/'Income Statement and NOPLAT'!E3</f>
        <v>0.18617908419291887</v>
      </c>
      <c r="F44" s="63">
        <f>(SUM('Balance Sheet and Invested Capi'!L23:L26)-'Balance Sheet and Invested Capi'!L27)/'Income Statement and NOPLAT'!F3</f>
        <v>0.18787102809665757</v>
      </c>
      <c r="G44" s="63">
        <f t="shared" si="54"/>
        <v>0.18787102809665757</v>
      </c>
      <c r="H44" s="63">
        <f t="shared" si="54"/>
        <v>0.18787102809665757</v>
      </c>
      <c r="I44" s="63">
        <f t="shared" si="54"/>
        <v>0.18787102809665757</v>
      </c>
      <c r="J44" s="63">
        <f t="shared" si="54"/>
        <v>0.18787102809665757</v>
      </c>
      <c r="K44" s="63">
        <f t="shared" si="54"/>
        <v>0.18787102809665757</v>
      </c>
    </row>
    <row r="45" spans="1:11" ht="16.5" thickBot="1" x14ac:dyDescent="0.3">
      <c r="A45" s="56" t="s">
        <v>74</v>
      </c>
      <c r="B45" s="60">
        <f>B24</f>
        <v>3286.3488092221942</v>
      </c>
      <c r="C45" s="60">
        <f t="shared" ref="C45:K45" si="60">C24-C8</f>
        <v>2844.5386206896569</v>
      </c>
      <c r="D45" s="60">
        <f t="shared" si="60"/>
        <v>1530.1897002724777</v>
      </c>
      <c r="E45" s="60">
        <f t="shared" si="60"/>
        <v>-4421.1645405405388</v>
      </c>
      <c r="F45" s="60">
        <f t="shared" si="60"/>
        <v>2894.6619232832591</v>
      </c>
      <c r="G45" s="60">
        <f t="shared" si="60"/>
        <v>2121.5241264318056</v>
      </c>
      <c r="H45" s="60">
        <f t="shared" si="60"/>
        <v>16220.570972573072</v>
      </c>
      <c r="I45" s="60">
        <f t="shared" si="60"/>
        <v>5246.4242040500267</v>
      </c>
      <c r="J45" s="60">
        <f t="shared" si="60"/>
        <v>5509.4194508815817</v>
      </c>
      <c r="K45" s="60">
        <f t="shared" si="60"/>
        <v>5622.7715316490358</v>
      </c>
    </row>
    <row r="46" spans="1:11" ht="16.5" thickTop="1" x14ac:dyDescent="0.25">
      <c r="G46" s="100"/>
      <c r="H46" s="100"/>
      <c r="I46" s="100"/>
      <c r="J46" s="100"/>
      <c r="K46" s="100"/>
    </row>
  </sheetData>
  <mergeCells count="3">
    <mergeCell ref="B1:F1"/>
    <mergeCell ref="G1:K1"/>
    <mergeCell ref="N1:R1"/>
  </mergeCells>
  <phoneticPr fontId="38" type="noConversion"/>
  <pageMargins left="0.75" right="0.75" top="1" bottom="1" header="0.5" footer="0.5"/>
  <pageSetup scale="2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0" sqref="B10"/>
    </sheetView>
  </sheetViews>
  <sheetFormatPr defaultColWidth="8.85546875" defaultRowHeight="15.75" x14ac:dyDescent="0.25"/>
  <cols>
    <col min="1" max="1" width="36" style="2" bestFit="1" customWidth="1"/>
    <col min="2" max="2" width="23.140625" style="2" bestFit="1" customWidth="1"/>
    <col min="3" max="3" width="16.140625" style="2" bestFit="1" customWidth="1"/>
    <col min="4" max="4" width="8.85546875" style="2"/>
    <col min="5" max="5" width="16.140625" style="2" bestFit="1" customWidth="1"/>
    <col min="6" max="6" width="8.85546875" style="2"/>
    <col min="7" max="7" width="16.140625" style="2" bestFit="1" customWidth="1"/>
    <col min="8" max="8" width="8.85546875" style="2"/>
    <col min="9" max="9" width="17.28515625" style="2" bestFit="1" customWidth="1"/>
    <col min="10" max="16384" width="8.85546875" style="2"/>
  </cols>
  <sheetData>
    <row r="1" spans="1:9" ht="31.5" x14ac:dyDescent="0.25">
      <c r="A1" s="9" t="str">
        <f>"Caterpillar ROIC Competitive Tree "&amp;YEAR('Balance Sheet and Invested Capi'!F2)</f>
        <v>Caterpillar ROIC Competitive Tree 2012</v>
      </c>
    </row>
    <row r="2" spans="1:9" x14ac:dyDescent="0.25">
      <c r="A2" s="7"/>
    </row>
    <row r="4" spans="1:9" x14ac:dyDescent="0.25">
      <c r="C4" s="10"/>
      <c r="I4" s="8" t="s">
        <v>75</v>
      </c>
    </row>
    <row r="5" spans="1:9" x14ac:dyDescent="0.25">
      <c r="I5" s="20" t="e">
        <f>'Income Statement and NOPLAT'!#REF!/'Income Statement and NOPLAT'!#REF!</f>
        <v>#REF!</v>
      </c>
    </row>
    <row r="6" spans="1:9" x14ac:dyDescent="0.25">
      <c r="I6" s="19">
        <f>IF(Competition!$C$1&lt;&gt;"Deere &amp; Co.","CHANGE COMPANY NAME",Competition!C23)</f>
        <v>0.28499999999999998</v>
      </c>
    </row>
    <row r="7" spans="1:9" x14ac:dyDescent="0.25">
      <c r="B7" s="8" t="str">
        <f>YEAR('Balance Sheet and Invested Capi'!B2)&amp;" to "&amp;YEAR('Balance Sheet and Invested Capi'!F2)&amp;" Sales Growth"</f>
        <v>2008 to 2012 Sales Growth</v>
      </c>
      <c r="I7" s="21">
        <f>IF(Competition!$D$1&lt;&gt;"Joy Global","CHANGE COMPANY NAME",Competition!D23)</f>
        <v>0.35499999999999998</v>
      </c>
    </row>
    <row r="8" spans="1:9" x14ac:dyDescent="0.25">
      <c r="B8" s="20" t="e">
        <f>('Income Statement and NOPLAT'!#REF!-'Income Statement and NOPLAT'!#REF!)/'Income Statement and NOPLAT'!#REF!</f>
        <v>#REF!</v>
      </c>
      <c r="G8" s="8" t="s">
        <v>76</v>
      </c>
      <c r="I8" s="8" t="s">
        <v>77</v>
      </c>
    </row>
    <row r="9" spans="1:9" x14ac:dyDescent="0.25">
      <c r="B9" s="19">
        <f>IF(Competition!$C$1&lt;&gt;"Deere &amp; Co.","CHANGE COMPANY NAME",29%)</f>
        <v>0.28999999999999998</v>
      </c>
      <c r="G9" s="20" t="e">
        <f>'Income Statement and NOPLAT'!#REF!/'Income Statement and NOPLAT'!#REF!</f>
        <v>#REF!</v>
      </c>
      <c r="I9" s="20" t="e">
        <f>'Income Statement and NOPLAT'!#REF!/'Income Statement and NOPLAT'!#REF!</f>
        <v>#REF!</v>
      </c>
    </row>
    <row r="10" spans="1:9" x14ac:dyDescent="0.25">
      <c r="B10" s="21">
        <f>IF(Competition!$D$1&lt;&gt;"Joy Global","CHANGE COMPANY NAME",29%)</f>
        <v>0.28999999999999998</v>
      </c>
      <c r="G10" s="19">
        <f>IF(Competition!$C$1&lt;&gt;"Deere &amp; Co.","CHANGE COMPANY NAME",Competition!C21)</f>
        <v>0.13100000000000001</v>
      </c>
      <c r="I10" s="19">
        <f>IF(Competition!$C$1&lt;&gt;"Deere &amp; Co.","CHANGE COMPANY NAME",Competition!C24)</f>
        <v>0.107</v>
      </c>
    </row>
    <row r="11" spans="1:9" x14ac:dyDescent="0.25">
      <c r="E11" s="8" t="s">
        <v>78</v>
      </c>
      <c r="G11" s="21">
        <f>IF(Competition!$D$1&lt;&gt;"Joy Global","CHANGE COMPANY NAME",Competition!D21)</f>
        <v>0.19837979511698603</v>
      </c>
      <c r="I11" s="21">
        <f>IF(Competition!$D$1&lt;&gt;"Joy Global","CHANGE COMPANY NAME",Competition!D24)</f>
        <v>0.13</v>
      </c>
    </row>
    <row r="12" spans="1:9" x14ac:dyDescent="0.25">
      <c r="E12" s="20" t="e">
        <f>#REF!/#REF!</f>
        <v>#REF!</v>
      </c>
      <c r="I12" s="8" t="s">
        <v>79</v>
      </c>
    </row>
    <row r="13" spans="1:9" x14ac:dyDescent="0.25">
      <c r="E13" s="19">
        <f>IF(Competition!$C$1&lt;&gt;"Deere &amp; Co.","CHANGE COMPANY NAME",Competition!C19)</f>
        <v>0.14006573927334623</v>
      </c>
      <c r="I13" s="20" t="e">
        <f>0/'Income Statement and NOPLAT'!#REF!</f>
        <v>#REF!</v>
      </c>
    </row>
    <row r="14" spans="1:9" x14ac:dyDescent="0.25">
      <c r="C14" s="8" t="s">
        <v>80</v>
      </c>
      <c r="E14" s="21">
        <f>IF(Competition!$D$1&lt;&gt;"Joy Global","CHANGE COMPANY NAME",Competition!D19)</f>
        <v>0.214</v>
      </c>
      <c r="I14" s="19">
        <f>IF(Competition!$C$1&lt;&gt;"Deere &amp; Co.","CHANGE COMPANY NAME",Competition!C25)</f>
        <v>1.6566719103068873E-2</v>
      </c>
    </row>
    <row r="15" spans="1:9" x14ac:dyDescent="0.25">
      <c r="C15" s="20" t="e">
        <f>#REF!</f>
        <v>#REF!</v>
      </c>
      <c r="I15" s="21">
        <f>IF(Competition!$D$1&lt;&gt;"Joy Global","CHANGE COMPANY NAME",Competition!D25)</f>
        <v>1.7156845859369437E-2</v>
      </c>
    </row>
    <row r="16" spans="1:9" x14ac:dyDescent="0.25">
      <c r="C16" s="19">
        <f>IF(Competition!$C$1&lt;&gt;"Deere &amp; Co.","CHANGE COMPANY NAME",Competition!C18)</f>
        <v>0.13159849024246459</v>
      </c>
    </row>
    <row r="17" spans="3:9" x14ac:dyDescent="0.25">
      <c r="C17" s="21">
        <f>IF(Competition!$D$1&lt;&gt;"Joy Global","CHANGE COMPANY NAME",Competition!D18)</f>
        <v>0.17399999999999999</v>
      </c>
      <c r="E17" s="8" t="s">
        <v>81</v>
      </c>
      <c r="I17" s="8" t="s">
        <v>82</v>
      </c>
    </row>
    <row r="18" spans="3:9" x14ac:dyDescent="0.25">
      <c r="E18" s="20" t="e">
        <f>#REF!</f>
        <v>#REF!</v>
      </c>
      <c r="I18" s="20" t="e">
        <f>#REF!/'Income Statement and NOPLAT'!#REF!</f>
        <v>#REF!</v>
      </c>
    </row>
    <row r="19" spans="3:9" x14ac:dyDescent="0.25">
      <c r="E19" s="19">
        <f>IF(Competition!$C$1&lt;&gt;"Deere &amp; Co.","CHANGE COMPANY NAME",Competition!C20)</f>
        <v>0.35099999999999998</v>
      </c>
      <c r="G19" s="8" t="s">
        <v>83</v>
      </c>
      <c r="I19" s="19">
        <f>IF(Competition!$C$1&lt;&gt;"Deere &amp; Co.","CHANGE COMPANY NAME",Competition!C26)</f>
        <v>0.97382458381715109</v>
      </c>
    </row>
    <row r="20" spans="3:9" x14ac:dyDescent="0.25">
      <c r="E20" s="21">
        <f>IF(Competition!$D$1&lt;&gt;"Joy Global","CHANGE COMPANY NAME",Competition!D20)</f>
        <v>0.30599999999999999</v>
      </c>
      <c r="G20" s="20" t="e">
        <f>'Income Statement and NOPLAT'!#REF!/#REF!</f>
        <v>#REF!</v>
      </c>
      <c r="I20" s="21">
        <f>IF(Competition!$D$1&lt;&gt;"Joy Global","CHANGE COMPANY NAME",Competition!D26)</f>
        <v>0.21039857873913442</v>
      </c>
    </row>
    <row r="21" spans="3:9" x14ac:dyDescent="0.25">
      <c r="G21" s="19">
        <f>IF(Competition!$C$1&lt;&gt;"Deere &amp; Co.","CHANGE COMPANY NAME",Competition!C22)</f>
        <v>0.85493976026601937</v>
      </c>
      <c r="I21" s="8" t="s">
        <v>84</v>
      </c>
    </row>
    <row r="22" spans="3:9" x14ac:dyDescent="0.25">
      <c r="G22" s="21">
        <f>IF(Competition!$D$1&lt;&gt;"Joy Global","CHANGE COMPANY NAME",Competition!D22)</f>
        <v>2.1904820315813263</v>
      </c>
      <c r="I22" s="20" t="e">
        <f>'Balance Sheet and Invested Capi'!#REF!/'Income Statement and NOPLAT'!#REF!</f>
        <v>#REF!</v>
      </c>
    </row>
    <row r="23" spans="3:9" x14ac:dyDescent="0.25">
      <c r="I23" s="19">
        <f>IF(Competition!$C$1&lt;&gt;"Deere &amp; Co.","CHANGE COMPANY NAME",Competition!C27)</f>
        <v>0.22234925031864813</v>
      </c>
    </row>
    <row r="24" spans="3:9" x14ac:dyDescent="0.25">
      <c r="I24" s="21">
        <f>IF(Competition!$D$1&lt;&gt;"Joy Global","CHANGE COMPANY NAME",Competition!D27)</f>
        <v>9.8073288488786825E-2</v>
      </c>
    </row>
  </sheetData>
  <phoneticPr fontId="3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50" zoomScaleNormal="150" zoomScalePageLayoutView="150" workbookViewId="0">
      <pane ySplit="2" topLeftCell="A12" activePane="bottomLeft" state="frozen"/>
      <selection pane="bottomLeft" activeCell="A3" sqref="A3:B20"/>
    </sheetView>
  </sheetViews>
  <sheetFormatPr defaultColWidth="10.85546875" defaultRowHeight="15.75" x14ac:dyDescent="0.25"/>
  <cols>
    <col min="1" max="1" width="52" style="65" bestFit="1" customWidth="1"/>
    <col min="2" max="2" width="7.85546875" style="65" bestFit="1" customWidth="1"/>
    <col min="3" max="16384" width="10.85546875" style="65"/>
  </cols>
  <sheetData>
    <row r="1" spans="1:2" x14ac:dyDescent="0.25">
      <c r="A1" s="91" t="s">
        <v>167</v>
      </c>
      <c r="B1" s="92"/>
    </row>
    <row r="2" spans="1:2" ht="16.5" thickBot="1" x14ac:dyDescent="0.3">
      <c r="A2" s="93" t="s">
        <v>100</v>
      </c>
      <c r="B2" s="94"/>
    </row>
    <row r="3" spans="1:2" x14ac:dyDescent="0.25">
      <c r="A3" s="23" t="s">
        <v>168</v>
      </c>
    </row>
    <row r="4" spans="1:2" x14ac:dyDescent="0.25">
      <c r="A4" s="66" t="s">
        <v>42</v>
      </c>
      <c r="B4" s="54">
        <f>'Balance Sheet and Invested Capi'!F23</f>
        <v>668</v>
      </c>
    </row>
    <row r="5" spans="1:2" x14ac:dyDescent="0.25">
      <c r="A5" s="66" t="s">
        <v>44</v>
      </c>
      <c r="B5" s="26">
        <f>'Balance Sheet and Invested Capi'!F32</f>
        <v>8705</v>
      </c>
    </row>
    <row r="6" spans="1:2" x14ac:dyDescent="0.25">
      <c r="A6" s="66" t="s">
        <v>96</v>
      </c>
      <c r="B6" s="26">
        <f>'Balance Sheet and Invested Capi'!F33</f>
        <v>11085</v>
      </c>
    </row>
    <row r="7" spans="1:2" x14ac:dyDescent="0.25">
      <c r="A7" s="66" t="s">
        <v>142</v>
      </c>
      <c r="B7" s="26">
        <f>'Balance Sheet and Invested Capi'!L26</f>
        <v>899.65</v>
      </c>
    </row>
    <row r="8" spans="1:2" ht="16.5" thickBot="1" x14ac:dyDescent="0.3">
      <c r="A8" s="65" t="s">
        <v>169</v>
      </c>
      <c r="B8" s="55">
        <f>SUM(B4:B7)</f>
        <v>21357.65</v>
      </c>
    </row>
    <row r="9" spans="1:2" ht="16.5" thickTop="1" x14ac:dyDescent="0.25">
      <c r="A9" s="65" t="s">
        <v>173</v>
      </c>
      <c r="B9" s="32">
        <f>B8/(B8+B14)</f>
        <v>0.28236476366337726</v>
      </c>
    </row>
    <row r="10" spans="1:2" x14ac:dyDescent="0.25">
      <c r="A10" s="65" t="s">
        <v>174</v>
      </c>
      <c r="B10" s="32">
        <v>2.7699999999999999E-2</v>
      </c>
    </row>
    <row r="12" spans="1:2" x14ac:dyDescent="0.25">
      <c r="A12" s="23" t="s">
        <v>58</v>
      </c>
    </row>
    <row r="13" spans="1:2" ht="18.75" x14ac:dyDescent="0.25">
      <c r="A13" s="66" t="s">
        <v>181</v>
      </c>
      <c r="B13" s="54">
        <v>54280.86</v>
      </c>
    </row>
    <row r="14" spans="1:2" ht="16.5" thickBot="1" x14ac:dyDescent="0.3">
      <c r="A14" s="65" t="s">
        <v>171</v>
      </c>
      <c r="B14" s="55">
        <f>SUM(B13:B13)</f>
        <v>54280.86</v>
      </c>
    </row>
    <row r="15" spans="1:2" ht="16.5" thickTop="1" x14ac:dyDescent="0.25">
      <c r="A15" s="65" t="s">
        <v>172</v>
      </c>
      <c r="B15" s="32">
        <f>B14/(B8+B14)</f>
        <v>0.71763523633662263</v>
      </c>
    </row>
    <row r="16" spans="1:2" ht="18.75" x14ac:dyDescent="0.25">
      <c r="A16" s="65" t="s">
        <v>180</v>
      </c>
      <c r="B16" s="32">
        <f>0.0249+(B19*(0.073-0.0249))</f>
        <v>9.8011878716134065E-2</v>
      </c>
    </row>
    <row r="17" spans="1:7" x14ac:dyDescent="0.25">
      <c r="B17" s="32"/>
    </row>
    <row r="18" spans="1:7" ht="18.75" x14ac:dyDescent="0.25">
      <c r="A18" s="23" t="s">
        <v>182</v>
      </c>
      <c r="B18" s="69">
        <f>AVERAGE(Competition!B33:E33)</f>
        <v>1.1955757017549031</v>
      </c>
    </row>
    <row r="19" spans="1:7" x14ac:dyDescent="0.25">
      <c r="A19" s="23" t="s">
        <v>178</v>
      </c>
      <c r="B19" s="69">
        <f>B18*(1+(1-'ROIC Decomp &amp; Funding Statement'!F21)*('WACC Calculation'!B8/'WACC Calculation'!B14))</f>
        <v>1.5199974785059058</v>
      </c>
      <c r="C19" s="98" t="s">
        <v>240</v>
      </c>
    </row>
    <row r="20" spans="1:7" x14ac:dyDescent="0.25">
      <c r="A20" s="23" t="s">
        <v>170</v>
      </c>
      <c r="B20" s="70">
        <f>(B9*B10)+(B15*B16)</f>
        <v>7.8158281699724802E-2</v>
      </c>
    </row>
    <row r="22" spans="1:7" x14ac:dyDescent="0.25">
      <c r="A22" s="141" t="s">
        <v>175</v>
      </c>
      <c r="B22" s="141"/>
      <c r="C22" s="141"/>
    </row>
    <row r="23" spans="1:7" ht="18.75" x14ac:dyDescent="0.25">
      <c r="A23" s="132" t="s">
        <v>239</v>
      </c>
      <c r="B23" s="132"/>
      <c r="C23" s="132"/>
    </row>
    <row r="24" spans="1:7" ht="18.75" x14ac:dyDescent="0.25">
      <c r="A24" s="142" t="s">
        <v>184</v>
      </c>
      <c r="B24" s="142"/>
      <c r="C24" s="142"/>
      <c r="D24" s="142"/>
      <c r="E24" s="142"/>
      <c r="F24" s="142"/>
      <c r="G24" s="142"/>
    </row>
    <row r="25" spans="1:7" ht="18.75" x14ac:dyDescent="0.25">
      <c r="A25" s="143" t="s">
        <v>183</v>
      </c>
      <c r="B25" s="143"/>
      <c r="C25" s="67"/>
    </row>
  </sheetData>
  <mergeCells count="3">
    <mergeCell ref="A22:C22"/>
    <mergeCell ref="A24:G24"/>
    <mergeCell ref="A25:B25"/>
  </mergeCells>
  <phoneticPr fontId="3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zoomScale="85" zoomScaleNormal="85" zoomScalePageLayoutView="125" workbookViewId="0">
      <selection activeCell="E5" sqref="E5"/>
    </sheetView>
  </sheetViews>
  <sheetFormatPr defaultColWidth="35.42578125" defaultRowHeight="15.75" x14ac:dyDescent="0.25"/>
  <cols>
    <col min="1" max="1" width="24.28515625" style="98" customWidth="1"/>
    <col min="2" max="6" width="20.85546875" style="98" bestFit="1" customWidth="1"/>
    <col min="7" max="7" width="14.28515625" style="98" bestFit="1" customWidth="1"/>
    <col min="8" max="16384" width="35.42578125" style="98"/>
  </cols>
  <sheetData>
    <row r="1" spans="1:7" ht="16.5" thickBot="1" x14ac:dyDescent="0.3">
      <c r="A1" s="91" t="s">
        <v>219</v>
      </c>
      <c r="B1" s="138" t="s">
        <v>198</v>
      </c>
      <c r="C1" s="139"/>
      <c r="D1" s="139"/>
      <c r="E1" s="139"/>
      <c r="F1" s="139"/>
      <c r="G1" s="140"/>
    </row>
    <row r="2" spans="1:7" ht="32.25" thickBot="1" x14ac:dyDescent="0.3">
      <c r="A2" s="93" t="s">
        <v>100</v>
      </c>
      <c r="B2" s="88">
        <f>'ROIC Decomp &amp; Funding Statement'!N2</f>
        <v>41639</v>
      </c>
      <c r="C2" s="89">
        <f t="shared" ref="C2" si="0">DATE(YEAR(B2)+1,MONTH(B2),DAY(B2))</f>
        <v>42004</v>
      </c>
      <c r="D2" s="89">
        <f t="shared" ref="D2:F2" si="1">DATE(YEAR(C2)+1,MONTH(C2),DAY(C2))</f>
        <v>42369</v>
      </c>
      <c r="E2" s="89">
        <f t="shared" si="1"/>
        <v>42735</v>
      </c>
      <c r="F2" s="89">
        <f t="shared" si="1"/>
        <v>43100</v>
      </c>
      <c r="G2" s="90" t="s">
        <v>205</v>
      </c>
    </row>
    <row r="3" spans="1:7" x14ac:dyDescent="0.25">
      <c r="A3" s="98" t="s">
        <v>203</v>
      </c>
      <c r="B3" s="26">
        <f>'ROIC Decomp &amp; Funding Statement'!N7</f>
        <v>2121.5241264318065</v>
      </c>
      <c r="C3" s="26">
        <f>'ROIC Decomp &amp; Funding Statement'!O7</f>
        <v>16220.570972573074</v>
      </c>
      <c r="D3" s="26">
        <f>'ROIC Decomp &amp; Funding Statement'!P7</f>
        <v>5246.4242040500249</v>
      </c>
      <c r="E3" s="26">
        <f>'ROIC Decomp &amp; Funding Statement'!Q7</f>
        <v>5509.4194508815799</v>
      </c>
      <c r="F3" s="26">
        <f>'ROIC Decomp &amp; Funding Statement'!R7</f>
        <v>5622.7715316490403</v>
      </c>
      <c r="G3" s="26">
        <f>(F3*(1+Assumptions!B14)/(Assumptions!B13-Assumptions!B14))</f>
        <v>98614.106102607911</v>
      </c>
    </row>
    <row r="4" spans="1:7" x14ac:dyDescent="0.25">
      <c r="A4" s="98" t="s">
        <v>170</v>
      </c>
      <c r="B4" s="99">
        <f>Assumptions!$B$13</f>
        <v>7.8158281699724802E-2</v>
      </c>
      <c r="C4" s="99">
        <f>Assumptions!$B$13</f>
        <v>7.8158281699724802E-2</v>
      </c>
      <c r="D4" s="99">
        <f>Assumptions!$B$13</f>
        <v>7.8158281699724802E-2</v>
      </c>
      <c r="E4" s="99">
        <f>Assumptions!$B$13</f>
        <v>7.8158281699724802E-2</v>
      </c>
      <c r="F4" s="99">
        <f>Assumptions!$B$13</f>
        <v>7.8158281699724802E-2</v>
      </c>
      <c r="G4" s="99">
        <f>Assumptions!$B$13</f>
        <v>7.8158281699724802E-2</v>
      </c>
    </row>
    <row r="5" spans="1:7" x14ac:dyDescent="0.25">
      <c r="A5" s="98" t="s">
        <v>204</v>
      </c>
      <c r="B5" s="26">
        <f>B3/(1+B4)</f>
        <v>1967.7297502990075</v>
      </c>
      <c r="C5" s="26">
        <f>C3/(1+C4)^2</f>
        <v>13954.076228472504</v>
      </c>
      <c r="D5" s="26">
        <f>D3/(1+D4)^3</f>
        <v>4186.1600937100557</v>
      </c>
      <c r="E5" s="26">
        <f>E3/(1+E4)^4</f>
        <v>4077.3288966459013</v>
      </c>
      <c r="F5" s="26">
        <f>F3/(1+F4)^5</f>
        <v>3859.5602176127941</v>
      </c>
      <c r="G5" s="26">
        <f>G3/(1+G4)^5</f>
        <v>67690.29804372089</v>
      </c>
    </row>
    <row r="6" spans="1:7" x14ac:dyDescent="0.25">
      <c r="B6" s="98" t="s">
        <v>237</v>
      </c>
    </row>
    <row r="7" spans="1:7" x14ac:dyDescent="0.25">
      <c r="A7" s="98" t="s">
        <v>208</v>
      </c>
      <c r="B7" s="54">
        <f>SUM(B5:G5)</f>
        <v>95735.153230461146</v>
      </c>
    </row>
    <row r="8" spans="1:7" ht="18.75" x14ac:dyDescent="0.25">
      <c r="A8" s="98" t="s">
        <v>209</v>
      </c>
      <c r="B8" s="102">
        <f>'Balance Sheet and Invested Capi'!L34</f>
        <v>2044.6399999999999</v>
      </c>
      <c r="D8" s="98" t="s">
        <v>238</v>
      </c>
    </row>
    <row r="9" spans="1:7" x14ac:dyDescent="0.25">
      <c r="A9" s="98" t="s">
        <v>211</v>
      </c>
      <c r="B9" s="105">
        <f>SUM(B7:B8)</f>
        <v>97779.793230461146</v>
      </c>
    </row>
    <row r="10" spans="1:7" ht="18.75" x14ac:dyDescent="0.25">
      <c r="A10" s="98" t="s">
        <v>212</v>
      </c>
      <c r="B10" s="102">
        <f>'Balance Sheet and Invested Capi'!L45</f>
        <v>21357.65</v>
      </c>
    </row>
    <row r="11" spans="1:7" x14ac:dyDescent="0.25">
      <c r="A11" s="98" t="s">
        <v>214</v>
      </c>
      <c r="B11" s="105">
        <f>B9-B10</f>
        <v>76422.143230461137</v>
      </c>
    </row>
    <row r="12" spans="1:7" x14ac:dyDescent="0.25">
      <c r="A12" s="98" t="s">
        <v>207</v>
      </c>
      <c r="B12" s="102">
        <f>Assumptions!B6</f>
        <v>657.48494600000004</v>
      </c>
    </row>
    <row r="13" spans="1:7" ht="16.5" thickBot="1" x14ac:dyDescent="0.3">
      <c r="A13" s="98" t="s">
        <v>215</v>
      </c>
      <c r="B13" s="107">
        <f>B11/B12</f>
        <v>116.23405782200393</v>
      </c>
    </row>
    <row r="14" spans="1:7" ht="16.5" thickTop="1" x14ac:dyDescent="0.25"/>
    <row r="15" spans="1:7" ht="16.5" thickBot="1" x14ac:dyDescent="0.3">
      <c r="A15" s="108"/>
      <c r="B15" s="108"/>
      <c r="C15" s="108"/>
      <c r="D15" s="108"/>
      <c r="E15" s="108"/>
      <c r="F15" s="108"/>
      <c r="G15" s="108"/>
    </row>
    <row r="16" spans="1:7" ht="16.5" thickBot="1" x14ac:dyDescent="0.3"/>
    <row r="17" spans="1:7" ht="16.5" thickBot="1" x14ac:dyDescent="0.3">
      <c r="A17" s="138" t="s">
        <v>220</v>
      </c>
      <c r="B17" s="139"/>
      <c r="C17" s="139"/>
      <c r="D17" s="139"/>
      <c r="E17" s="139"/>
      <c r="F17" s="139"/>
      <c r="G17" s="140"/>
    </row>
    <row r="18" spans="1:7" ht="16.5" thickBot="1" x14ac:dyDescent="0.3">
      <c r="A18" s="113"/>
      <c r="B18" s="114"/>
      <c r="C18" s="147" t="s">
        <v>218</v>
      </c>
      <c r="D18" s="148"/>
      <c r="E18" s="148"/>
      <c r="F18" s="148"/>
      <c r="G18" s="149"/>
    </row>
    <row r="19" spans="1:7" ht="16.5" thickBot="1" x14ac:dyDescent="0.3">
      <c r="A19" s="113"/>
      <c r="B19" s="121">
        <f>B13</f>
        <v>116.23405782200393</v>
      </c>
      <c r="C19" s="111">
        <f>D19-0.01</f>
        <v>5.8200000000000009E-2</v>
      </c>
      <c r="D19" s="111">
        <f>E19-0.01</f>
        <v>6.8200000000000011E-2</v>
      </c>
      <c r="E19" s="112">
        <v>7.8200000000000006E-2</v>
      </c>
      <c r="F19" s="111">
        <f>E19+0.01</f>
        <v>8.8200000000000001E-2</v>
      </c>
      <c r="G19" s="115">
        <f>F19+0.01</f>
        <v>9.8199999999999996E-2</v>
      </c>
    </row>
    <row r="20" spans="1:7" x14ac:dyDescent="0.25">
      <c r="A20" s="144" t="s">
        <v>217</v>
      </c>
      <c r="B20" s="109">
        <f>B21-0.01</f>
        <v>0</v>
      </c>
      <c r="C20" s="116">
        <v>126.41</v>
      </c>
      <c r="D20" s="116">
        <v>104.64</v>
      </c>
      <c r="E20" s="116">
        <v>88.39</v>
      </c>
      <c r="F20" s="116">
        <v>75.78</v>
      </c>
      <c r="G20" s="117">
        <v>65.72</v>
      </c>
    </row>
    <row r="21" spans="1:7" x14ac:dyDescent="0.25">
      <c r="A21" s="145"/>
      <c r="B21" s="109">
        <f>B22-0.01</f>
        <v>0.01</v>
      </c>
      <c r="C21" s="116">
        <v>150.77000000000001</v>
      </c>
      <c r="D21" s="116">
        <v>121.12</v>
      </c>
      <c r="E21" s="116">
        <v>100.27</v>
      </c>
      <c r="F21" s="116">
        <v>84.64</v>
      </c>
      <c r="G21" s="117">
        <v>72.510000000000005</v>
      </c>
    </row>
    <row r="22" spans="1:7" x14ac:dyDescent="0.25">
      <c r="A22" s="145"/>
      <c r="B22" s="110">
        <v>0.02</v>
      </c>
      <c r="C22" s="116">
        <v>187.89</v>
      </c>
      <c r="D22" s="116">
        <v>144.66999999999999</v>
      </c>
      <c r="E22" s="116">
        <v>116.23</v>
      </c>
      <c r="F22" s="116">
        <v>96.09</v>
      </c>
      <c r="G22" s="117">
        <v>81.05</v>
      </c>
    </row>
    <row r="23" spans="1:7" x14ac:dyDescent="0.25">
      <c r="A23" s="145"/>
      <c r="B23" s="109">
        <f>B22+0.01</f>
        <v>0.03</v>
      </c>
      <c r="C23" s="116">
        <v>251.37</v>
      </c>
      <c r="D23" s="116">
        <v>180.41</v>
      </c>
      <c r="E23" s="116">
        <v>138.83000000000001</v>
      </c>
      <c r="F23" s="116">
        <v>111.47</v>
      </c>
      <c r="G23" s="117">
        <v>92.08</v>
      </c>
    </row>
    <row r="24" spans="1:7" ht="16.5" thickBot="1" x14ac:dyDescent="0.3">
      <c r="A24" s="146"/>
      <c r="B24" s="118">
        <f>B23+0.01</f>
        <v>0.04</v>
      </c>
      <c r="C24" s="119">
        <v>384.78</v>
      </c>
      <c r="D24" s="119">
        <v>241.55</v>
      </c>
      <c r="E24" s="119">
        <v>173.27</v>
      </c>
      <c r="F24" s="119">
        <v>133.25</v>
      </c>
      <c r="G24" s="120">
        <v>106.92</v>
      </c>
    </row>
    <row r="27" spans="1:7" ht="18.75" x14ac:dyDescent="0.25">
      <c r="A27" s="104" t="s">
        <v>210</v>
      </c>
    </row>
    <row r="28" spans="1:7" ht="18.75" x14ac:dyDescent="0.25">
      <c r="A28" s="98" t="s">
        <v>213</v>
      </c>
    </row>
    <row r="30" spans="1:7" x14ac:dyDescent="0.25">
      <c r="A30" s="98" t="s">
        <v>221</v>
      </c>
    </row>
    <row r="31" spans="1:7" x14ac:dyDescent="0.25">
      <c r="A31" s="98" t="s">
        <v>222</v>
      </c>
    </row>
  </sheetData>
  <mergeCells count="4">
    <mergeCell ref="B1:G1"/>
    <mergeCell ref="A20:A24"/>
    <mergeCell ref="C18:G18"/>
    <mergeCell ref="A17:G17"/>
  </mergeCells>
  <phoneticPr fontId="38" type="noConversion"/>
  <pageMargins left="0.75" right="0.75" top="1" bottom="1" header="0.5" footer="0.5"/>
  <pageSetup scale="79" orientation="landscape" horizontalDpi="4294967292" verticalDpi="4294967292" r:id="rId1"/>
  <ignoredErrors>
    <ignoredError sqref="D5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zoomScalePageLayoutView="150" workbookViewId="0">
      <pane ySplit="1" topLeftCell="A14" activePane="bottomLeft" state="frozen"/>
      <selection pane="bottomLeft" activeCell="C36" sqref="C36"/>
    </sheetView>
  </sheetViews>
  <sheetFormatPr defaultColWidth="10.85546875" defaultRowHeight="15.75" x14ac:dyDescent="0.25"/>
  <cols>
    <col min="1" max="1" width="31.85546875" style="2" bestFit="1" customWidth="1"/>
    <col min="2" max="2" width="14.85546875" style="2" bestFit="1" customWidth="1"/>
    <col min="3" max="4" width="12.5703125" style="2" bestFit="1" customWidth="1"/>
    <col min="5" max="5" width="5.7109375" style="2" bestFit="1" customWidth="1"/>
    <col min="6" max="16384" width="10.85546875" style="2"/>
  </cols>
  <sheetData>
    <row r="1" spans="1:5" x14ac:dyDescent="0.25">
      <c r="B1" s="2" t="s">
        <v>176</v>
      </c>
      <c r="C1" s="2" t="s">
        <v>85</v>
      </c>
      <c r="D1" s="2" t="s">
        <v>86</v>
      </c>
      <c r="E1" s="2" t="s">
        <v>177</v>
      </c>
    </row>
    <row r="2" spans="1:5" x14ac:dyDescent="0.25">
      <c r="A2" s="2" t="s">
        <v>87</v>
      </c>
      <c r="C2" s="11">
        <v>33500.9</v>
      </c>
      <c r="D2" s="12">
        <v>5660889</v>
      </c>
    </row>
    <row r="4" spans="1:5" x14ac:dyDescent="0.25">
      <c r="A4" s="2" t="s">
        <v>88</v>
      </c>
      <c r="C4" s="13">
        <f>4734.4+508.82</f>
        <v>5243.2199999999993</v>
      </c>
    </row>
    <row r="5" spans="1:5" x14ac:dyDescent="0.25">
      <c r="A5" s="2" t="s">
        <v>89</v>
      </c>
      <c r="C5" s="2">
        <v>242</v>
      </c>
    </row>
    <row r="6" spans="1:5" x14ac:dyDescent="0.25">
      <c r="A6" s="2" t="s">
        <v>90</v>
      </c>
      <c r="C6" s="2">
        <v>3.27</v>
      </c>
    </row>
    <row r="7" spans="1:5" x14ac:dyDescent="0.25">
      <c r="A7" s="2" t="s">
        <v>91</v>
      </c>
      <c r="C7" s="14">
        <f>SUM(C4:C6)</f>
        <v>5488.49</v>
      </c>
    </row>
    <row r="8" spans="1:5" x14ac:dyDescent="0.25">
      <c r="A8" s="15"/>
    </row>
    <row r="9" spans="1:5" x14ac:dyDescent="0.25">
      <c r="A9" s="2" t="s">
        <v>54</v>
      </c>
      <c r="C9" s="14">
        <v>5156.7</v>
      </c>
      <c r="D9" s="16">
        <v>449670</v>
      </c>
    </row>
    <row r="12" spans="1:5" x14ac:dyDescent="0.25">
      <c r="A12" s="2" t="s">
        <v>45</v>
      </c>
      <c r="C12" s="16">
        <v>32624</v>
      </c>
      <c r="D12" s="16">
        <v>1191043</v>
      </c>
    </row>
    <row r="13" spans="1:5" x14ac:dyDescent="0.25">
      <c r="A13" s="2" t="s">
        <v>46</v>
      </c>
      <c r="C13" s="2">
        <v>7448.9</v>
      </c>
      <c r="D13" s="16">
        <v>555182</v>
      </c>
    </row>
    <row r="14" spans="1:5" x14ac:dyDescent="0.25">
      <c r="A14" s="2" t="s">
        <v>55</v>
      </c>
      <c r="C14" s="2">
        <v>50.3</v>
      </c>
    </row>
    <row r="15" spans="1:5" x14ac:dyDescent="0.25">
      <c r="A15" s="2" t="s">
        <v>56</v>
      </c>
      <c r="C15" s="2">
        <v>-938.1</v>
      </c>
    </row>
    <row r="16" spans="1:5" x14ac:dyDescent="0.25">
      <c r="A16" s="2" t="s">
        <v>47</v>
      </c>
      <c r="C16" s="16">
        <f>SUM(C12:C15)</f>
        <v>39185.100000000006</v>
      </c>
      <c r="D16" s="16">
        <v>2584312</v>
      </c>
    </row>
    <row r="18" spans="1:7" x14ac:dyDescent="0.25">
      <c r="A18" s="2" t="s">
        <v>80</v>
      </c>
      <c r="C18" s="5">
        <f>C9/C16</f>
        <v>0.13159849024246459</v>
      </c>
      <c r="D18" s="17">
        <v>0.17399999999999999</v>
      </c>
    </row>
    <row r="19" spans="1:7" x14ac:dyDescent="0.25">
      <c r="A19" s="2" t="s">
        <v>92</v>
      </c>
      <c r="C19" s="5">
        <f>C7/C16</f>
        <v>0.14006573927334623</v>
      </c>
      <c r="D19" s="17">
        <v>0.214</v>
      </c>
    </row>
    <row r="20" spans="1:7" x14ac:dyDescent="0.25">
      <c r="A20" s="2" t="s">
        <v>81</v>
      </c>
      <c r="C20" s="17">
        <v>0.35099999999999998</v>
      </c>
      <c r="D20" s="17">
        <v>0.30599999999999999</v>
      </c>
    </row>
    <row r="21" spans="1:7" x14ac:dyDescent="0.25">
      <c r="A21" s="2" t="s">
        <v>76</v>
      </c>
      <c r="C21" s="17">
        <v>0.13100000000000001</v>
      </c>
      <c r="D21" s="5">
        <f>(1123006)/(5660889)</f>
        <v>0.19837979511698603</v>
      </c>
    </row>
    <row r="22" spans="1:7" x14ac:dyDescent="0.25">
      <c r="A22" s="2" t="s">
        <v>83</v>
      </c>
      <c r="C22" s="18">
        <f>C2/C16</f>
        <v>0.85493976026601937</v>
      </c>
      <c r="D22" s="18">
        <f>D2/D16</f>
        <v>2.1904820315813263</v>
      </c>
    </row>
    <row r="23" spans="1:7" x14ac:dyDescent="0.25">
      <c r="A23" s="2" t="s">
        <v>75</v>
      </c>
      <c r="C23" s="17">
        <v>0.28499999999999998</v>
      </c>
      <c r="D23" s="17">
        <v>0.35499999999999998</v>
      </c>
    </row>
    <row r="24" spans="1:7" x14ac:dyDescent="0.25">
      <c r="A24" s="2" t="s">
        <v>77</v>
      </c>
      <c r="C24" s="17">
        <v>0.107</v>
      </c>
      <c r="D24" s="6">
        <v>0.13</v>
      </c>
    </row>
    <row r="25" spans="1:7" x14ac:dyDescent="0.25">
      <c r="A25" s="2" t="s">
        <v>79</v>
      </c>
      <c r="C25" s="5">
        <f>555/C2</f>
        <v>1.6566719103068873E-2</v>
      </c>
      <c r="D25" s="18">
        <f>97123/D2</f>
        <v>1.7156845859369437E-2</v>
      </c>
    </row>
    <row r="26" spans="1:7" x14ac:dyDescent="0.25">
      <c r="A26" s="2" t="s">
        <v>82</v>
      </c>
      <c r="C26" s="18">
        <f>C12/C2</f>
        <v>0.97382458381715109</v>
      </c>
      <c r="D26" s="18">
        <f>D12/D2</f>
        <v>0.21039857873913442</v>
      </c>
    </row>
    <row r="27" spans="1:7" x14ac:dyDescent="0.25">
      <c r="A27" s="2" t="s">
        <v>84</v>
      </c>
      <c r="C27" s="18">
        <f>C13/C2</f>
        <v>0.22234925031864813</v>
      </c>
      <c r="D27" s="18">
        <f>D13/D2</f>
        <v>9.8073288488786825E-2</v>
      </c>
    </row>
    <row r="29" spans="1:7" x14ac:dyDescent="0.25">
      <c r="A29" s="65" t="s">
        <v>178</v>
      </c>
      <c r="B29" s="2">
        <v>1.85</v>
      </c>
      <c r="C29" s="2">
        <v>1.35</v>
      </c>
      <c r="D29" s="2">
        <v>1.6</v>
      </c>
      <c r="E29" s="2">
        <v>2.0499999999999998</v>
      </c>
    </row>
    <row r="30" spans="1:7" x14ac:dyDescent="0.25">
      <c r="A30" s="65" t="s">
        <v>62</v>
      </c>
      <c r="B30" s="32">
        <v>0.3</v>
      </c>
      <c r="C30" s="32">
        <v>0.32</v>
      </c>
      <c r="D30" s="32">
        <v>0.31</v>
      </c>
      <c r="E30" s="32">
        <v>0.32</v>
      </c>
      <c r="F30" s="32"/>
      <c r="G30" s="32"/>
    </row>
    <row r="31" spans="1:7" x14ac:dyDescent="0.25">
      <c r="A31" s="65" t="s">
        <v>168</v>
      </c>
      <c r="B31" s="26">
        <v>18063</v>
      </c>
      <c r="C31" s="26">
        <v>5974</v>
      </c>
      <c r="D31" s="26">
        <v>1354.9</v>
      </c>
      <c r="E31" s="26">
        <v>2082.5</v>
      </c>
      <c r="F31" s="32"/>
      <c r="G31" s="32"/>
    </row>
    <row r="32" spans="1:7" x14ac:dyDescent="0.25">
      <c r="A32" s="65" t="s">
        <v>58</v>
      </c>
      <c r="B32" s="26">
        <v>10500</v>
      </c>
      <c r="C32" s="26">
        <v>36500</v>
      </c>
      <c r="D32" s="26">
        <v>5800</v>
      </c>
      <c r="E32" s="26">
        <v>3600</v>
      </c>
      <c r="F32" s="32"/>
      <c r="G32" s="32"/>
    </row>
    <row r="33" spans="1:5" x14ac:dyDescent="0.25">
      <c r="A33" s="65" t="s">
        <v>179</v>
      </c>
      <c r="B33" s="68">
        <f>B29/(1+(1-B30)*(B32/(B32+B31)))</f>
        <v>1.4713766602623006</v>
      </c>
      <c r="C33" s="68">
        <f t="shared" ref="C33:E33" si="0">C29/(1+(1-C30)*(C32/(C32+C31)))</f>
        <v>0.8520804232175232</v>
      </c>
      <c r="D33" s="68">
        <f t="shared" si="0"/>
        <v>1.0260771361220411</v>
      </c>
      <c r="E33" s="68">
        <f t="shared" si="0"/>
        <v>1.4327685874177478</v>
      </c>
    </row>
  </sheetData>
  <phoneticPr fontId="3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Assumptions</vt:lpstr>
      <vt:lpstr>Income Statement and NOPLAT</vt:lpstr>
      <vt:lpstr>Balance Sheet and Invested Capi</vt:lpstr>
      <vt:lpstr>ROIC Decomp &amp; Funding Statement</vt:lpstr>
      <vt:lpstr>Caterpillar ROIC tree</vt:lpstr>
      <vt:lpstr>WACC Calculation</vt:lpstr>
      <vt:lpstr>Forecast &amp; Matrix</vt:lpstr>
      <vt:lpstr>Competition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Foiles</dc:creator>
  <cp:lastModifiedBy>AliSamsung</cp:lastModifiedBy>
  <cp:lastPrinted>2013-07-07T21:42:19Z</cp:lastPrinted>
  <dcterms:created xsi:type="dcterms:W3CDTF">2013-06-14T19:21:21Z</dcterms:created>
  <dcterms:modified xsi:type="dcterms:W3CDTF">2013-07-17T12:26:13Z</dcterms:modified>
</cp:coreProperties>
</file>