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k_Finansmod_Excel\Engelsk_bok\Manus_Routledge\Spreadsheet\"/>
    </mc:Choice>
  </mc:AlternateContent>
  <bookViews>
    <workbookView xWindow="0" yWindow="0" windowWidth="16080" windowHeight="9405" tabRatio="772"/>
  </bookViews>
  <sheets>
    <sheet name="Pr 10-1" sheetId="1" r:id="rId1"/>
    <sheet name="Pr 10-2" sheetId="2" r:id="rId2"/>
    <sheet name="PR 10-3" sheetId="3" r:id="rId3"/>
    <sheet name="Pr 10-4" sheetId="4" r:id="rId4"/>
    <sheet name="Pr 10-5" sheetId="5" r:id="rId5"/>
    <sheet name="Pr 10-6" sheetId="6" r:id="rId6"/>
    <sheet name="Pr 10-7" sheetId="7" r:id="rId7"/>
    <sheet name="Pr 10-8" sheetId="8" r:id="rId8"/>
  </sheets>
  <calcPr calcId="152511"/>
</workbook>
</file>

<file path=xl/calcChain.xml><?xml version="1.0" encoding="utf-8"?>
<calcChain xmlns="http://schemas.openxmlformats.org/spreadsheetml/2006/main">
  <c r="D22" i="1" l="1"/>
  <c r="C22" i="1"/>
  <c r="E22" i="1"/>
  <c r="F22" i="1"/>
  <c r="G22" i="1"/>
  <c r="I11" i="3"/>
  <c r="B26" i="3" l="1"/>
  <c r="C26" i="3" l="1"/>
  <c r="D26" i="3" l="1"/>
  <c r="B40" i="1"/>
  <c r="C26" i="1"/>
  <c r="D26" i="1" s="1"/>
  <c r="E26" i="1" s="1"/>
  <c r="F26" i="1" s="1"/>
  <c r="G26" i="1" s="1"/>
  <c r="C25" i="1"/>
  <c r="D25" i="1" s="1"/>
  <c r="E25" i="1" s="1"/>
  <c r="F25" i="1" s="1"/>
  <c r="G25" i="1" s="1"/>
  <c r="F23" i="1"/>
  <c r="G23" i="1"/>
  <c r="G35" i="1" s="1"/>
  <c r="E23" i="1"/>
  <c r="E35" i="1" s="1"/>
  <c r="D23" i="1"/>
  <c r="G34" i="1"/>
  <c r="C23" i="1"/>
  <c r="C35" i="1" s="1"/>
  <c r="D24" i="1"/>
  <c r="D36" i="1" s="1"/>
  <c r="E24" i="1"/>
  <c r="E36" i="1" s="1"/>
  <c r="F24" i="1"/>
  <c r="G24" i="1"/>
  <c r="G36" i="1" s="1"/>
  <c r="C24" i="1"/>
  <c r="C36" i="1" s="1"/>
  <c r="J11" i="3"/>
  <c r="B19" i="3"/>
  <c r="B20" i="3" s="1"/>
  <c r="B18" i="3"/>
  <c r="B46" i="3" s="1"/>
  <c r="B11" i="3"/>
  <c r="J5" i="3" s="1"/>
  <c r="B5" i="3"/>
  <c r="D41" i="3" s="1"/>
  <c r="G41" i="1"/>
  <c r="A40" i="1"/>
  <c r="B39" i="1"/>
  <c r="A39" i="1"/>
  <c r="B38" i="1"/>
  <c r="B43" i="1" s="1"/>
  <c r="A38" i="1"/>
  <c r="F34" i="1"/>
  <c r="B27" i="1"/>
  <c r="B28" i="1" s="1"/>
  <c r="B37" i="1" s="1"/>
  <c r="F35" i="1"/>
  <c r="D35" i="1"/>
  <c r="E26" i="3" l="1"/>
  <c r="E41" i="3"/>
  <c r="C28" i="1"/>
  <c r="C29" i="1" s="1"/>
  <c r="C37" i="1" s="1"/>
  <c r="C34" i="3"/>
  <c r="D27" i="3"/>
  <c r="D28" i="3" s="1"/>
  <c r="D33" i="3"/>
  <c r="E27" i="3"/>
  <c r="C33" i="3"/>
  <c r="B21" i="3"/>
  <c r="J7" i="3" s="1"/>
  <c r="B34" i="3"/>
  <c r="B35" i="3" s="1"/>
  <c r="B40" i="3" s="1"/>
  <c r="E34" i="3"/>
  <c r="J6" i="3"/>
  <c r="B41" i="3"/>
  <c r="F41" i="3"/>
  <c r="B27" i="3"/>
  <c r="B28" i="3" s="1"/>
  <c r="F27" i="3"/>
  <c r="E33" i="3"/>
  <c r="D34" i="3"/>
  <c r="C41" i="3"/>
  <c r="C27" i="3"/>
  <c r="C28" i="3" s="1"/>
  <c r="B33" i="3"/>
  <c r="F33" i="3"/>
  <c r="C34" i="1"/>
  <c r="D34" i="1"/>
  <c r="F36" i="1"/>
  <c r="E34" i="1"/>
  <c r="C43" i="1" l="1"/>
  <c r="C46" i="1" s="1"/>
  <c r="J12" i="3"/>
  <c r="E28" i="3"/>
  <c r="F26" i="3"/>
  <c r="B36" i="3"/>
  <c r="D35" i="3"/>
  <c r="C35" i="3"/>
  <c r="C40" i="3" s="1"/>
  <c r="C42" i="3" s="1"/>
  <c r="C43" i="3" s="1"/>
  <c r="F34" i="3"/>
  <c r="F35" i="3" s="1"/>
  <c r="F40" i="3" s="1"/>
  <c r="K8" i="3"/>
  <c r="D40" i="3"/>
  <c r="D42" i="3" s="1"/>
  <c r="D43" i="3" s="1"/>
  <c r="D36" i="3"/>
  <c r="B42" i="3"/>
  <c r="B43" i="3" s="1"/>
  <c r="E35" i="3"/>
  <c r="E40" i="3" s="1"/>
  <c r="G28" i="1"/>
  <c r="G29" i="1" s="1"/>
  <c r="G37" i="1" s="1"/>
  <c r="H25" i="1"/>
  <c r="H26" i="1"/>
  <c r="F28" i="1"/>
  <c r="F29" i="1" s="1"/>
  <c r="F37" i="1" s="1"/>
  <c r="F43" i="1" s="1"/>
  <c r="F46" i="1" s="1"/>
  <c r="E28" i="1"/>
  <c r="E29" i="1" s="1"/>
  <c r="E37" i="1" s="1"/>
  <c r="E43" i="1" s="1"/>
  <c r="E46" i="1" s="1"/>
  <c r="D28" i="1"/>
  <c r="D29" i="1" s="1"/>
  <c r="D37" i="1" s="1"/>
  <c r="D43" i="1" s="1"/>
  <c r="D46" i="1" s="1"/>
  <c r="J16" i="3" l="1"/>
  <c r="J20" i="3" s="1"/>
  <c r="J13" i="3"/>
  <c r="J15" i="3" s="1"/>
  <c r="J17" i="3" s="1"/>
  <c r="J19" i="3" s="1"/>
  <c r="C29" i="3"/>
  <c r="C30" i="3" s="1"/>
  <c r="D46" i="3" s="1"/>
  <c r="B29" i="3"/>
  <c r="D29" i="3"/>
  <c r="F28" i="3"/>
  <c r="E36" i="3"/>
  <c r="C36" i="3"/>
  <c r="E42" i="3"/>
  <c r="E43" i="3" s="1"/>
  <c r="F36" i="3"/>
  <c r="I26" i="1"/>
  <c r="H41" i="1" s="1"/>
  <c r="G42" i="1" s="1"/>
  <c r="G43" i="1" s="1"/>
  <c r="K21" i="3" l="1"/>
  <c r="K23" i="3" s="1"/>
  <c r="E29" i="3"/>
  <c r="D30" i="3"/>
  <c r="E46" i="3" s="1"/>
  <c r="B30" i="3"/>
  <c r="C46" i="3" s="1"/>
  <c r="G46" i="1"/>
  <c r="B49" i="1" s="1"/>
  <c r="F42" i="3"/>
  <c r="F43" i="3" s="1"/>
  <c r="B22" i="3"/>
  <c r="B45" i="1"/>
  <c r="F29" i="3" l="1"/>
  <c r="F30" i="3" s="1"/>
  <c r="G46" i="3" s="1"/>
  <c r="E30" i="3"/>
  <c r="F46" i="3" s="1"/>
  <c r="B47" i="3" l="1"/>
  <c r="J45" i="3"/>
  <c r="N11" i="2" l="1"/>
  <c r="N12" i="2"/>
  <c r="I11" i="2"/>
  <c r="J11" i="2"/>
  <c r="K11" i="2"/>
  <c r="L11" i="2"/>
  <c r="M11" i="2"/>
  <c r="O11" i="2"/>
  <c r="P11" i="2"/>
  <c r="Q11" i="2"/>
  <c r="R11" i="2"/>
  <c r="S11" i="2"/>
  <c r="T11" i="2"/>
  <c r="U11" i="2"/>
  <c r="V11" i="2"/>
  <c r="I12" i="2"/>
  <c r="J12" i="2"/>
  <c r="K12" i="2"/>
  <c r="L12" i="2"/>
  <c r="M12" i="2"/>
  <c r="O12" i="2"/>
  <c r="P12" i="2"/>
  <c r="Q12" i="2"/>
  <c r="R12" i="2"/>
  <c r="S12" i="2"/>
  <c r="T12" i="2"/>
  <c r="U12" i="2"/>
  <c r="V12" i="2"/>
  <c r="G30" i="6" l="1"/>
  <c r="D3" i="6"/>
  <c r="E2" i="6"/>
  <c r="E3" i="6" s="1"/>
  <c r="B33" i="6" s="1"/>
  <c r="C16" i="8"/>
  <c r="E12" i="8"/>
  <c r="H12" i="8"/>
  <c r="D12" i="8"/>
  <c r="D11" i="8"/>
  <c r="E11" i="8"/>
  <c r="F11" i="8"/>
  <c r="F12" i="8" s="1"/>
  <c r="G11" i="8"/>
  <c r="G12" i="8" s="1"/>
  <c r="H11" i="8"/>
  <c r="C11" i="8"/>
  <c r="C11" i="7"/>
  <c r="E8" i="7"/>
  <c r="F8" i="7"/>
  <c r="G8" i="7"/>
  <c r="H8" i="7"/>
  <c r="D8" i="7"/>
  <c r="J8" i="7" s="1"/>
  <c r="C12" i="7" s="1"/>
  <c r="C13" i="7" s="1"/>
  <c r="C16" i="6"/>
  <c r="D16" i="6" s="1"/>
  <c r="E16" i="6" s="1"/>
  <c r="D15" i="6"/>
  <c r="I8" i="5"/>
  <c r="J8" i="5" s="1"/>
  <c r="K8" i="5" s="1"/>
  <c r="B9" i="5"/>
  <c r="C8" i="5"/>
  <c r="D8" i="5" s="1"/>
  <c r="E8" i="5" s="1"/>
  <c r="F8" i="5" s="1"/>
  <c r="G8" i="5" s="1"/>
  <c r="C17" i="8" l="1"/>
  <c r="C18" i="8"/>
  <c r="B11" i="5"/>
  <c r="C26" i="6"/>
  <c r="C25" i="6"/>
  <c r="E15" i="6"/>
  <c r="D26" i="6"/>
  <c r="D25" i="6"/>
  <c r="C17" i="6"/>
  <c r="C18" i="6"/>
  <c r="E17" i="6"/>
  <c r="F16" i="6"/>
  <c r="E18" i="6"/>
  <c r="D17" i="6"/>
  <c r="D18" i="6"/>
  <c r="C9" i="5"/>
  <c r="B25" i="4"/>
  <c r="C25" i="4" s="1"/>
  <c r="D25" i="4" s="1"/>
  <c r="E25" i="4" s="1"/>
  <c r="B24" i="4"/>
  <c r="C24" i="4" s="1"/>
  <c r="D24" i="4" s="1"/>
  <c r="E24" i="4" s="1"/>
  <c r="F24" i="4" s="1"/>
  <c r="G24" i="4" s="1"/>
  <c r="B19" i="4"/>
  <c r="C19" i="4" s="1"/>
  <c r="D19" i="4" s="1"/>
  <c r="E19" i="4" s="1"/>
  <c r="F19" i="4" s="1"/>
  <c r="G19" i="4" s="1"/>
  <c r="G20" i="4" s="1"/>
  <c r="C18" i="4"/>
  <c r="I13" i="2"/>
  <c r="J13" i="2"/>
  <c r="K13" i="2"/>
  <c r="L13" i="2"/>
  <c r="H12" i="2"/>
  <c r="B12" i="2"/>
  <c r="C12" i="2" s="1"/>
  <c r="H11" i="2"/>
  <c r="H13" i="2" s="1"/>
  <c r="B11" i="2"/>
  <c r="C11" i="2"/>
  <c r="C13" i="2" s="1"/>
  <c r="D11" i="2"/>
  <c r="D13" i="2" s="1"/>
  <c r="E11" i="2"/>
  <c r="E13" i="2" s="1"/>
  <c r="F11" i="2"/>
  <c r="F13" i="2" s="1"/>
  <c r="G11" i="2"/>
  <c r="F15" i="6" l="1"/>
  <c r="E26" i="6"/>
  <c r="E25" i="6"/>
  <c r="D12" i="2"/>
  <c r="E12" i="2" s="1"/>
  <c r="F12" i="2" s="1"/>
  <c r="G12" i="2" s="1"/>
  <c r="G13" i="2" s="1"/>
  <c r="C19" i="6"/>
  <c r="E19" i="6"/>
  <c r="D19" i="6"/>
  <c r="G16" i="6"/>
  <c r="F17" i="6"/>
  <c r="F18" i="6"/>
  <c r="D9" i="5"/>
  <c r="C11" i="5"/>
  <c r="E26" i="4"/>
  <c r="D26" i="4"/>
  <c r="C26" i="4"/>
  <c r="F25" i="4"/>
  <c r="F26" i="4" s="1"/>
  <c r="F20" i="4"/>
  <c r="B20" i="4"/>
  <c r="D20" i="4"/>
  <c r="E20" i="4"/>
  <c r="C20" i="4"/>
  <c r="B21" i="4"/>
  <c r="D18" i="4"/>
  <c r="B16" i="2"/>
  <c r="G15" i="6" l="1"/>
  <c r="F26" i="6"/>
  <c r="F25" i="6"/>
  <c r="B15" i="2"/>
  <c r="B17" i="2" s="1"/>
  <c r="D22" i="6"/>
  <c r="D24" i="6" s="1"/>
  <c r="D27" i="6" s="1"/>
  <c r="D33" i="6" s="1"/>
  <c r="E22" i="6"/>
  <c r="E24" i="6" s="1"/>
  <c r="E27" i="6" s="1"/>
  <c r="E33" i="6" s="1"/>
  <c r="C22" i="6"/>
  <c r="C24" i="6" s="1"/>
  <c r="C27" i="6" s="1"/>
  <c r="C33" i="6" s="1"/>
  <c r="F19" i="6"/>
  <c r="G18" i="6"/>
  <c r="G17" i="6"/>
  <c r="D11" i="5"/>
  <c r="E9" i="5"/>
  <c r="G25" i="4"/>
  <c r="G26" i="4" s="1"/>
  <c r="C21" i="4"/>
  <c r="B22" i="4"/>
  <c r="B28" i="4" s="1"/>
  <c r="E18" i="4"/>
  <c r="B26" i="4"/>
  <c r="G26" i="6" l="1"/>
  <c r="G25" i="6"/>
  <c r="C37" i="6"/>
  <c r="G31" i="6"/>
  <c r="G32" i="6" s="1"/>
  <c r="C28" i="6"/>
  <c r="E28" i="6"/>
  <c r="D28" i="6"/>
  <c r="G19" i="6"/>
  <c r="G22" i="6" s="1"/>
  <c r="G24" i="6" s="1"/>
  <c r="F22" i="6"/>
  <c r="F24" i="6" s="1"/>
  <c r="F27" i="6" s="1"/>
  <c r="F33" i="6" s="1"/>
  <c r="E11" i="5"/>
  <c r="F9" i="5"/>
  <c r="C22" i="4"/>
  <c r="C28" i="4" s="1"/>
  <c r="F18" i="4"/>
  <c r="G27" i="6" l="1"/>
  <c r="G33" i="6"/>
  <c r="B42" i="6" s="1"/>
  <c r="F28" i="6"/>
  <c r="G28" i="6"/>
  <c r="F11" i="5"/>
  <c r="G9" i="5"/>
  <c r="B29" i="4"/>
  <c r="C29" i="4"/>
  <c r="D21" i="4"/>
  <c r="D22" i="4" s="1"/>
  <c r="D28" i="4" s="1"/>
  <c r="G18" i="4"/>
  <c r="C36" i="6" l="1"/>
  <c r="C38" i="6" s="1"/>
  <c r="B34" i="6"/>
  <c r="G11" i="5"/>
  <c r="B13" i="5" s="1"/>
  <c r="H9" i="5"/>
  <c r="E21" i="4"/>
  <c r="E22" i="4" s="1"/>
  <c r="E28" i="4" s="1"/>
  <c r="I9" i="5" l="1"/>
  <c r="H11" i="5"/>
  <c r="D29" i="4"/>
  <c r="F21" i="4"/>
  <c r="F22" i="4" s="1"/>
  <c r="F28" i="4" s="1"/>
  <c r="J9" i="5" l="1"/>
  <c r="I11" i="5"/>
  <c r="E29" i="4"/>
  <c r="G21" i="4"/>
  <c r="G22" i="4" s="1"/>
  <c r="G28" i="4" s="1"/>
  <c r="B32" i="4" s="1"/>
  <c r="K9" i="5" l="1"/>
  <c r="J11" i="5"/>
  <c r="K11" i="5" l="1"/>
  <c r="B14" i="5"/>
  <c r="B15" i="5" s="1"/>
  <c r="B17" i="5" s="1"/>
  <c r="F29" i="4"/>
  <c r="G29" i="4" l="1"/>
  <c r="B31" i="4" s="1"/>
  <c r="B33" i="4" l="1"/>
  <c r="C35" i="4" s="1"/>
</calcChain>
</file>

<file path=xl/sharedStrings.xml><?xml version="1.0" encoding="utf-8"?>
<sst xmlns="http://schemas.openxmlformats.org/spreadsheetml/2006/main" count="231" uniqueCount="181">
  <si>
    <t>Problem 10.1</t>
  </si>
  <si>
    <t>Sum:</t>
  </si>
  <si>
    <t xml:space="preserve">NPV </t>
  </si>
  <si>
    <t>Net Operating Income</t>
  </si>
  <si>
    <t>Problem 10.2</t>
  </si>
  <si>
    <t>Year</t>
  </si>
  <si>
    <t>INPUT</t>
  </si>
  <si>
    <t xml:space="preserve">Expected annual inflation rate (index) </t>
  </si>
  <si>
    <t>Sale after (n) years</t>
  </si>
  <si>
    <t>Cost of capital (ignore taxes)</t>
  </si>
  <si>
    <t>Terminal value</t>
  </si>
  <si>
    <t>Present value of rental income</t>
  </si>
  <si>
    <t>Present value of sale</t>
  </si>
  <si>
    <t xml:space="preserve">Expected value of property </t>
  </si>
  <si>
    <t>Expected (going out) yield at time of sale</t>
  </si>
  <si>
    <t>Total Units</t>
  </si>
  <si>
    <t>Discount Rate</t>
  </si>
  <si>
    <t>Units</t>
  </si>
  <si>
    <t>Monthly Rent</t>
  </si>
  <si>
    <t>Market Monthly Rent</t>
  </si>
  <si>
    <t>Insurance</t>
  </si>
  <si>
    <t>Repairs &amp; Maintenance</t>
  </si>
  <si>
    <t>Total Expenses</t>
  </si>
  <si>
    <t>Inflation rate (index)</t>
  </si>
  <si>
    <t>Credit Loss (per annum)</t>
  </si>
  <si>
    <t>Effective Gross Income</t>
  </si>
  <si>
    <t xml:space="preserve"> Vacancy </t>
  </si>
  <si>
    <t>Credit Loss</t>
  </si>
  <si>
    <t>Problem 10.4</t>
  </si>
  <si>
    <t>Net Operating Cash Income</t>
  </si>
  <si>
    <t>Value of portfolio</t>
  </si>
  <si>
    <t>Current rent/ rent after index adjustment</t>
  </si>
  <si>
    <t>Present Value of rental income</t>
  </si>
  <si>
    <t>Holding period</t>
  </si>
  <si>
    <t>Outgoing yield</t>
  </si>
  <si>
    <t>Problem 10.5</t>
  </si>
  <si>
    <t>Next year's cash flow</t>
  </si>
  <si>
    <t>Value of property</t>
  </si>
  <si>
    <t>"Going in rate"/cap rate</t>
  </si>
  <si>
    <t>Insurance (per unit)</t>
  </si>
  <si>
    <t>Repairs &amp; Maintenance (per unit)</t>
  </si>
  <si>
    <t xml:space="preserve"> Vacancy Rate</t>
  </si>
  <si>
    <t>No. of months rented out yearly</t>
  </si>
  <si>
    <t>Problem 10.6</t>
  </si>
  <si>
    <t>Potential gross rent</t>
  </si>
  <si>
    <t>Collection/credit loss</t>
  </si>
  <si>
    <t>Potential gross income</t>
  </si>
  <si>
    <t>Expences</t>
  </si>
  <si>
    <t xml:space="preserve">30% of potential gross income </t>
  </si>
  <si>
    <t>Expense ratio</t>
  </si>
  <si>
    <t>Price of portfolio</t>
  </si>
  <si>
    <t>Nominal value of property</t>
  </si>
  <si>
    <t>Internal rate of return</t>
  </si>
  <si>
    <t>Net Present Value at 14% cost of capital</t>
  </si>
  <si>
    <t>Potential property</t>
  </si>
  <si>
    <t>Comparable transactions/properties</t>
  </si>
  <si>
    <t>A</t>
  </si>
  <si>
    <t>B</t>
  </si>
  <si>
    <t>C</t>
  </si>
  <si>
    <t>D</t>
  </si>
  <si>
    <t>E</t>
  </si>
  <si>
    <t>Sales price</t>
  </si>
  <si>
    <t>Potential gross income (GI)</t>
  </si>
  <si>
    <t>GI multiplies</t>
  </si>
  <si>
    <t>Problem 10.7</t>
  </si>
  <si>
    <t>Average</t>
  </si>
  <si>
    <t>Multiplier</t>
  </si>
  <si>
    <t xml:space="preserve">Estimated value </t>
  </si>
  <si>
    <t>Operating expenses in % of potential GI</t>
  </si>
  <si>
    <t>NOI</t>
  </si>
  <si>
    <t>Cap rate</t>
  </si>
  <si>
    <t>Problem 10.8</t>
  </si>
  <si>
    <t>Average cap rate</t>
  </si>
  <si>
    <t>Estimated value of property</t>
  </si>
  <si>
    <t>Debt</t>
  </si>
  <si>
    <t>Equity</t>
  </si>
  <si>
    <t>Interest rate</t>
  </si>
  <si>
    <t>Principal</t>
  </si>
  <si>
    <t>Interest costs</t>
  </si>
  <si>
    <t>Net cash flow</t>
  </si>
  <si>
    <t>Sum principal paid</t>
  </si>
  <si>
    <t>Total cash flow to equity</t>
  </si>
  <si>
    <t xml:space="preserve">Buy portfolio with use of debt. Unleveraged purchase will yield an internal rate of 10,5%, below the cost of capital  (check by entering a number very close to 0 in cell D2. like 0,1%) </t>
  </si>
  <si>
    <t>Hint: Should we apply the same cost of capital with different leverage?</t>
  </si>
  <si>
    <t>At what debt ratio is the investment just profitable (NPV = 0)? Hint: Use Goal seek by asking the model to the debt ratio in cell D2</t>
  </si>
  <si>
    <t>Fixed costs per year</t>
  </si>
  <si>
    <t>Depreciation building</t>
  </si>
  <si>
    <t>Days per year</t>
  </si>
  <si>
    <t>Investment in hotel building</t>
  </si>
  <si>
    <t>Investment in misc. (furniture)</t>
  </si>
  <si>
    <t>Start up costs (expense)</t>
  </si>
  <si>
    <t>Revenue per occupied bed per day</t>
  </si>
  <si>
    <t>Variable costs per bed per  day</t>
  </si>
  <si>
    <t xml:space="preserve">Deprecation hotel </t>
  </si>
  <si>
    <t>Deprecation misc.</t>
  </si>
  <si>
    <t>Tax rate</t>
  </si>
  <si>
    <t>Occupancy first year</t>
  </si>
  <si>
    <t>Occupancy future years</t>
  </si>
  <si>
    <t>Occupancy second year</t>
  </si>
  <si>
    <t>Annual inflation rate</t>
  </si>
  <si>
    <t>Sale of hotel in year 5</t>
  </si>
  <si>
    <t xml:space="preserve">Cost of capital </t>
  </si>
  <si>
    <t>Revenues</t>
  </si>
  <si>
    <t>Variable costs</t>
  </si>
  <si>
    <t>Fixed costs</t>
  </si>
  <si>
    <t>Book value building and misc</t>
  </si>
  <si>
    <t>Depreciation misc.</t>
  </si>
  <si>
    <t>Start up cost</t>
  </si>
  <si>
    <t>Taxable profit</t>
  </si>
  <si>
    <t>Tax</t>
  </si>
  <si>
    <t>Cash flow</t>
  </si>
  <si>
    <t>Capital gain</t>
  </si>
  <si>
    <t>Sale hotel</t>
  </si>
  <si>
    <t>Tax capital gain</t>
  </si>
  <si>
    <t>Net Present Value</t>
  </si>
  <si>
    <t>Cash flow year 5 without capital gain tax</t>
  </si>
  <si>
    <t>Internal rate of return (Goal Seek)</t>
  </si>
  <si>
    <t>Purchase price</t>
  </si>
  <si>
    <t>Building Value</t>
  </si>
  <si>
    <t>Depreciation (in years)</t>
  </si>
  <si>
    <t>Ordinary income tax rate</t>
  </si>
  <si>
    <t>Capital gains tax rate</t>
  </si>
  <si>
    <t>Loan-to-Value</t>
  </si>
  <si>
    <t>Depreciation recapture</t>
  </si>
  <si>
    <t>Loan term</t>
  </si>
  <si>
    <t>years</t>
  </si>
  <si>
    <t>Payments per year</t>
  </si>
  <si>
    <t>Holding Period</t>
  </si>
  <si>
    <t>Selling costs</t>
  </si>
  <si>
    <t>of sale price</t>
  </si>
  <si>
    <t>Reinvestment rate</t>
  </si>
  <si>
    <t>Rent increase (index)</t>
  </si>
  <si>
    <t>Net Operatnig income</t>
  </si>
  <si>
    <t>Loan</t>
  </si>
  <si>
    <t>Annual Loan Payment</t>
  </si>
  <si>
    <t>Mortgage Balance</t>
  </si>
  <si>
    <t>Value Going out rate  6%  year 5</t>
  </si>
  <si>
    <t>SUMMARY LOAN INFORMATION:</t>
  </si>
  <si>
    <t xml:space="preserve"> </t>
  </si>
  <si>
    <t xml:space="preserve">Net Operating Income (NOI)   </t>
  </si>
  <si>
    <t>Less: Interest</t>
  </si>
  <si>
    <t xml:space="preserve">         Depreciation</t>
  </si>
  <si>
    <t>Taxable Income (Loss)</t>
  </si>
  <si>
    <t>Sales Price</t>
  </si>
  <si>
    <t>Sales costs</t>
  </si>
  <si>
    <t>Accumulated Depreciation</t>
  </si>
  <si>
    <t>Capital Gain</t>
  </si>
  <si>
    <t>Price appreciation</t>
  </si>
  <si>
    <t>Tax on depreciation recapture</t>
  </si>
  <si>
    <t>Total capital gain tax</t>
  </si>
  <si>
    <t>NPV</t>
  </si>
  <si>
    <t>Amortization (years)</t>
  </si>
  <si>
    <t>Reisdual debt</t>
  </si>
  <si>
    <t>What do you think about an investment that is only profitable with use of much debt?</t>
  </si>
  <si>
    <t>Cost of capital (equity)</t>
  </si>
  <si>
    <t>Sales price (reported)</t>
  </si>
  <si>
    <t>No. of beds (mistakenly not given in text)</t>
  </si>
  <si>
    <t>Yield going out)</t>
  </si>
  <si>
    <t>Vacancy Rate</t>
  </si>
  <si>
    <t>Resale Price (nominal)</t>
  </si>
  <si>
    <t xml:space="preserve">Loan payment </t>
  </si>
  <si>
    <t>Cash flow before tax</t>
  </si>
  <si>
    <t>Cash flow after tax</t>
  </si>
  <si>
    <t xml:space="preserve">Book value </t>
  </si>
  <si>
    <t>Calculation of taxes:</t>
  </si>
  <si>
    <t>Cash flow from sale (pre-tax)</t>
  </si>
  <si>
    <t>Tax on price gain</t>
  </si>
  <si>
    <t>Cash flow from sale (after tax)</t>
  </si>
  <si>
    <t>Calculating the capital gain tax:</t>
  </si>
  <si>
    <t>Mortgage Balance in year 5</t>
  </si>
  <si>
    <t>Cost of capital (after tax) of maximum 10,7% makes the investment profitable. You can chech this by computing the IRR.</t>
  </si>
  <si>
    <t>Tax (see  line 38)</t>
  </si>
  <si>
    <t>Problem 10.3</t>
  </si>
  <si>
    <t xml:space="preserve">Should buy the portfolio for price of maximum </t>
  </si>
  <si>
    <t>Net operating income (NOI)</t>
  </si>
  <si>
    <t>Cost of Capital (</t>
  </si>
  <si>
    <t>Loan Balance</t>
  </si>
  <si>
    <t>Interest on loan</t>
  </si>
  <si>
    <t>Principal paid</t>
  </si>
  <si>
    <t>Cash Flow (after tax)</t>
  </si>
  <si>
    <t xml:space="preserve"> IRR (after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</si>
</sst>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 * #,##0_ ;_ * \-#,##0_ ;_ * &quot;-&quot;_ ;_ @_ "/>
    <numFmt numFmtId="43" formatCode="_ * #,##0.00_ ;_ * \-#,##0.00_ ;_ * &quot;-&quot;??_ ;_ @_ "/>
    <numFmt numFmtId="164" formatCode="_(* #,##0_);_(* \(#,##0\);_(* &quot;-&quot;_);_(@_)"/>
    <numFmt numFmtId="165" formatCode="0.000\ %"/>
    <numFmt numFmtId="166" formatCode="#,##0.0000;[Red]\-#,##0.0000"/>
    <numFmt numFmtId="167" formatCode="0.0\ %"/>
    <numFmt numFmtId="168" formatCode="#,##0.0;[Red]\-#,##0.0"/>
    <numFmt numFmtId="169" formatCode="#,##0.0_);[Red]\(#,##0.0\)"/>
    <numFmt numFmtId="170" formatCode="_ * #,##0_ ;_ * \-#,##0_ ;_ * &quot;-&quot;??_ ;_ @_ "/>
    <numFmt numFmtId="171" formatCode="0.0"/>
    <numFmt numFmtId="172" formatCode="_ * #,##0_ ;_ * \-#,##0_ ;_ * &quot;-&quot;?_ ;_ @_ "/>
    <numFmt numFmtId="173" formatCode="_(* #,##0_);_(* \(#,##0\);_(* &quot;-&quot;??_);_(@_)"/>
    <numFmt numFmtId="174" formatCode="&quot;$&quot;#,##0_);\(&quot;$&quot;#,##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0" tint="-0.1499984740745262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Accounting"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indexed="20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73">
    <xf numFmtId="0" fontId="0" fillId="0" borderId="0" xfId="0"/>
    <xf numFmtId="9" fontId="0" fillId="0" borderId="0" xfId="0" applyNumberFormat="1"/>
    <xf numFmtId="170" fontId="0" fillId="0" borderId="0" xfId="1" applyNumberFormat="1" applyFont="1"/>
    <xf numFmtId="170" fontId="0" fillId="0" borderId="0" xfId="0" applyNumberFormat="1"/>
    <xf numFmtId="0" fontId="2" fillId="0" borderId="0" xfId="0" applyFont="1"/>
    <xf numFmtId="170" fontId="2" fillId="0" borderId="0" xfId="0" applyNumberFormat="1" applyFont="1"/>
    <xf numFmtId="0" fontId="5" fillId="0" borderId="0" xfId="0" applyFont="1"/>
    <xf numFmtId="0" fontId="0" fillId="0" borderId="3" xfId="0" applyBorder="1"/>
    <xf numFmtId="0" fontId="4" fillId="0" borderId="0" xfId="0" applyFont="1" applyBorder="1"/>
    <xf numFmtId="0" fontId="0" fillId="0" borderId="0" xfId="0" applyBorder="1"/>
    <xf numFmtId="9" fontId="0" fillId="0" borderId="0" xfId="2" applyFont="1"/>
    <xf numFmtId="167" fontId="0" fillId="0" borderId="0" xfId="2" applyNumberFormat="1" applyFont="1"/>
    <xf numFmtId="167" fontId="0" fillId="0" borderId="0" xfId="0" applyNumberFormat="1"/>
    <xf numFmtId="170" fontId="2" fillId="0" borderId="0" xfId="1" applyNumberFormat="1" applyFont="1"/>
    <xf numFmtId="0" fontId="2" fillId="0" borderId="3" xfId="0" applyFont="1" applyBorder="1"/>
    <xf numFmtId="0" fontId="0" fillId="0" borderId="0" xfId="0" quotePrefix="1"/>
    <xf numFmtId="0" fontId="0" fillId="0" borderId="0" xfId="0" applyFont="1"/>
    <xf numFmtId="171" fontId="0" fillId="0" borderId="0" xfId="0" applyNumberFormat="1" applyFont="1"/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0" fillId="0" borderId="0" xfId="0" applyFont="1" applyBorder="1"/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2" fillId="0" borderId="0" xfId="0" applyFont="1" applyBorder="1"/>
    <xf numFmtId="170" fontId="6" fillId="0" borderId="0" xfId="1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170" fontId="0" fillId="0" borderId="0" xfId="0" applyNumberFormat="1" applyFont="1"/>
    <xf numFmtId="167" fontId="0" fillId="0" borderId="0" xfId="0" applyNumberFormat="1" applyFont="1"/>
    <xf numFmtId="172" fontId="2" fillId="0" borderId="0" xfId="0" applyNumberFormat="1" applyFont="1"/>
    <xf numFmtId="9" fontId="0" fillId="0" borderId="0" xfId="0" applyNumberFormat="1" applyBorder="1"/>
    <xf numFmtId="170" fontId="6" fillId="0" borderId="0" xfId="1" applyNumberFormat="1" applyFont="1" applyBorder="1" applyAlignment="1">
      <alignment horizontal="center" vertical="center" wrapText="1"/>
    </xf>
    <xf numFmtId="1" fontId="0" fillId="0" borderId="0" xfId="0" applyNumberFormat="1"/>
    <xf numFmtId="0" fontId="8" fillId="0" borderId="0" xfId="3" applyFont="1"/>
    <xf numFmtId="0" fontId="9" fillId="0" borderId="0" xfId="3" applyFont="1"/>
    <xf numFmtId="0" fontId="9" fillId="0" borderId="0" xfId="3" applyFont="1" applyBorder="1"/>
    <xf numFmtId="0" fontId="6" fillId="0" borderId="0" xfId="0" applyFont="1" applyBorder="1" applyAlignment="1">
      <alignment horizontal="left" vertical="center" wrapText="1"/>
    </xf>
    <xf numFmtId="170" fontId="6" fillId="0" borderId="0" xfId="1" applyNumberFormat="1" applyFont="1" applyBorder="1" applyAlignment="1">
      <alignment horizontal="right" vertical="center" wrapText="1"/>
    </xf>
    <xf numFmtId="0" fontId="6" fillId="0" borderId="0" xfId="0" applyNumberFormat="1" applyFont="1" applyBorder="1" applyAlignment="1">
      <alignment horizontal="right" vertical="center" wrapText="1"/>
    </xf>
    <xf numFmtId="167" fontId="6" fillId="0" borderId="0" xfId="2" applyNumberFormat="1" applyFont="1" applyBorder="1" applyAlignment="1">
      <alignment horizontal="right" vertical="center" wrapText="1"/>
    </xf>
    <xf numFmtId="10" fontId="9" fillId="0" borderId="0" xfId="3" applyNumberFormat="1" applyFont="1"/>
    <xf numFmtId="41" fontId="9" fillId="0" borderId="0" xfId="3" applyNumberFormat="1" applyFont="1"/>
    <xf numFmtId="164" fontId="9" fillId="0" borderId="0" xfId="3" applyNumberFormat="1" applyFont="1"/>
    <xf numFmtId="41" fontId="8" fillId="0" borderId="0" xfId="3" applyNumberFormat="1" applyFont="1"/>
    <xf numFmtId="164" fontId="8" fillId="0" borderId="0" xfId="3" applyNumberFormat="1" applyFont="1"/>
    <xf numFmtId="0" fontId="8" fillId="0" borderId="0" xfId="3" applyFont="1" applyBorder="1"/>
    <xf numFmtId="41" fontId="9" fillId="0" borderId="1" xfId="3" applyNumberFormat="1" applyFont="1" applyBorder="1"/>
    <xf numFmtId="41" fontId="9" fillId="0" borderId="0" xfId="3" applyNumberFormat="1" applyFont="1" applyFill="1"/>
    <xf numFmtId="0" fontId="9" fillId="0" borderId="2" xfId="3" applyFont="1" applyBorder="1"/>
    <xf numFmtId="41" fontId="8" fillId="0" borderId="2" xfId="3" applyNumberFormat="1" applyFont="1" applyBorder="1"/>
    <xf numFmtId="41" fontId="10" fillId="0" borderId="0" xfId="3" applyNumberFormat="1" applyFont="1"/>
    <xf numFmtId="10" fontId="8" fillId="0" borderId="0" xfId="3" applyNumberFormat="1" applyFont="1" applyAlignment="1">
      <alignment horizontal="center"/>
    </xf>
    <xf numFmtId="0" fontId="11" fillId="0" borderId="0" xfId="3" applyFont="1"/>
    <xf numFmtId="38" fontId="9" fillId="0" borderId="0" xfId="3" applyNumberFormat="1" applyFont="1"/>
    <xf numFmtId="165" fontId="9" fillId="0" borderId="0" xfId="3" applyNumberFormat="1" applyFont="1"/>
    <xf numFmtId="40" fontId="9" fillId="0" borderId="0" xfId="3" applyNumberFormat="1" applyFont="1"/>
    <xf numFmtId="10" fontId="9" fillId="0" borderId="0" xfId="3" applyNumberFormat="1" applyFont="1" applyBorder="1"/>
    <xf numFmtId="40" fontId="9" fillId="0" borderId="0" xfId="3" applyNumberFormat="1" applyFont="1" applyBorder="1"/>
    <xf numFmtId="41" fontId="9" fillId="0" borderId="0" xfId="3" applyNumberFormat="1" applyFont="1" applyBorder="1"/>
    <xf numFmtId="9" fontId="9" fillId="0" borderId="0" xfId="3" applyNumberFormat="1" applyFont="1" applyBorder="1"/>
    <xf numFmtId="40" fontId="8" fillId="0" borderId="0" xfId="3" applyNumberFormat="1" applyFont="1" applyBorder="1"/>
    <xf numFmtId="43" fontId="8" fillId="0" borderId="0" xfId="3" applyNumberFormat="1" applyFont="1" applyBorder="1"/>
    <xf numFmtId="166" fontId="9" fillId="0" borderId="0" xfId="3" applyNumberFormat="1" applyFont="1" applyBorder="1"/>
    <xf numFmtId="0" fontId="9" fillId="0" borderId="0" xfId="3" applyFont="1" applyBorder="1" applyAlignment="1">
      <alignment horizontal="center"/>
    </xf>
    <xf numFmtId="0" fontId="9" fillId="0" borderId="0" xfId="3" applyFont="1" applyBorder="1" applyAlignment="1">
      <alignment horizontal="right"/>
    </xf>
    <xf numFmtId="38" fontId="9" fillId="0" borderId="0" xfId="3" applyNumberFormat="1" applyFont="1" applyBorder="1"/>
    <xf numFmtId="3" fontId="9" fillId="0" borderId="0" xfId="3" applyNumberFormat="1" applyFont="1" applyBorder="1"/>
    <xf numFmtId="3" fontId="9" fillId="0" borderId="0" xfId="3" applyNumberFormat="1" applyFont="1"/>
    <xf numFmtId="0" fontId="12" fillId="0" borderId="0" xfId="3" applyFont="1" applyBorder="1" applyAlignment="1">
      <alignment horizontal="left" vertical="top" wrapText="1"/>
    </xf>
    <xf numFmtId="38" fontId="12" fillId="0" borderId="0" xfId="3" applyNumberFormat="1" applyFont="1" applyBorder="1" applyAlignment="1">
      <alignment horizontal="left" vertical="top" wrapText="1"/>
    </xf>
    <xf numFmtId="38" fontId="12" fillId="0" borderId="0" xfId="3" applyNumberFormat="1" applyFont="1" applyBorder="1" applyAlignment="1">
      <alignment horizontal="justify" vertical="top" wrapText="1"/>
    </xf>
    <xf numFmtId="0" fontId="9" fillId="0" borderId="0" xfId="3" applyFont="1" applyBorder="1" applyAlignment="1">
      <alignment horizontal="center" vertical="top" wrapText="1"/>
    </xf>
    <xf numFmtId="38" fontId="9" fillId="0" borderId="0" xfId="3" applyNumberFormat="1" applyFont="1" applyBorder="1" applyAlignment="1">
      <alignment horizontal="center" vertical="top" wrapText="1"/>
    </xf>
    <xf numFmtId="9" fontId="12" fillId="0" borderId="0" xfId="3" applyNumberFormat="1" applyFont="1" applyBorder="1" applyAlignment="1">
      <alignment horizontal="center" vertical="top" wrapText="1"/>
    </xf>
    <xf numFmtId="38" fontId="9" fillId="0" borderId="0" xfId="3" applyNumberFormat="1" applyFont="1" applyBorder="1" applyAlignment="1">
      <alignment horizontal="center"/>
    </xf>
    <xf numFmtId="0" fontId="9" fillId="0" borderId="0" xfId="3" applyFont="1" applyFill="1" applyBorder="1"/>
    <xf numFmtId="9" fontId="9" fillId="0" borderId="0" xfId="3" applyNumberFormat="1" applyFont="1" applyBorder="1" applyAlignment="1">
      <alignment horizontal="center"/>
    </xf>
    <xf numFmtId="10" fontId="9" fillId="0" borderId="0" xfId="3" applyNumberFormat="1" applyFont="1" applyBorder="1" applyAlignment="1">
      <alignment horizontal="center"/>
    </xf>
    <xf numFmtId="3" fontId="9" fillId="0" borderId="0" xfId="3" applyNumberFormat="1" applyFont="1" applyBorder="1" applyAlignment="1">
      <alignment horizontal="center"/>
    </xf>
    <xf numFmtId="0" fontId="12" fillId="0" borderId="0" xfId="3" applyFont="1" applyBorder="1" applyAlignment="1">
      <alignment horizontal="center" vertical="top" wrapText="1"/>
    </xf>
    <xf numFmtId="38" fontId="12" fillId="0" borderId="0" xfId="3" applyNumberFormat="1" applyFont="1" applyBorder="1" applyAlignment="1">
      <alignment horizontal="center" vertical="top" wrapText="1"/>
    </xf>
    <xf numFmtId="40" fontId="9" fillId="0" borderId="0" xfId="3" applyNumberFormat="1" applyFont="1" applyBorder="1" applyAlignment="1">
      <alignment horizontal="center"/>
    </xf>
    <xf numFmtId="9" fontId="1" fillId="0" borderId="0" xfId="4" applyFont="1" applyBorder="1"/>
    <xf numFmtId="167" fontId="9" fillId="0" borderId="0" xfId="3" applyNumberFormat="1" applyFont="1" applyBorder="1"/>
    <xf numFmtId="4" fontId="9" fillId="0" borderId="0" xfId="3" applyNumberFormat="1" applyFont="1" applyBorder="1" applyAlignment="1">
      <alignment horizontal="center"/>
    </xf>
    <xf numFmtId="4" fontId="8" fillId="0" borderId="0" xfId="3" applyNumberFormat="1" applyFont="1" applyBorder="1" applyAlignment="1">
      <alignment horizontal="left"/>
    </xf>
    <xf numFmtId="49" fontId="8" fillId="0" borderId="0" xfId="3" applyNumberFormat="1" applyFont="1" applyBorder="1" applyAlignment="1">
      <alignment horizontal="left"/>
    </xf>
    <xf numFmtId="3" fontId="9" fillId="0" borderId="0" xfId="3" applyNumberFormat="1" applyFont="1" applyBorder="1" applyAlignment="1">
      <alignment horizontal="right"/>
    </xf>
    <xf numFmtId="38" fontId="8" fillId="0" borderId="0" xfId="3" applyNumberFormat="1" applyFont="1" applyBorder="1" applyAlignment="1">
      <alignment horizontal="center"/>
    </xf>
    <xf numFmtId="0" fontId="9" fillId="0" borderId="0" xfId="3" applyFont="1" applyBorder="1" applyAlignment="1">
      <alignment horizontal="left"/>
    </xf>
    <xf numFmtId="9" fontId="9" fillId="0" borderId="0" xfId="4" applyFont="1" applyBorder="1" applyAlignment="1">
      <alignment horizontal="center"/>
    </xf>
    <xf numFmtId="0" fontId="9" fillId="0" borderId="0" xfId="3" quotePrefix="1" applyFont="1" applyBorder="1" applyAlignment="1">
      <alignment horizontal="center"/>
    </xf>
    <xf numFmtId="38" fontId="9" fillId="0" borderId="0" xfId="3" applyNumberFormat="1" applyFont="1" applyFill="1" applyBorder="1" applyAlignment="1">
      <alignment horizontal="center"/>
    </xf>
    <xf numFmtId="166" fontId="9" fillId="0" borderId="0" xfId="3" applyNumberFormat="1" applyFont="1" applyBorder="1" applyAlignment="1">
      <alignment horizontal="center"/>
    </xf>
    <xf numFmtId="168" fontId="9" fillId="0" borderId="0" xfId="3" applyNumberFormat="1" applyFont="1" applyBorder="1"/>
    <xf numFmtId="168" fontId="9" fillId="0" borderId="0" xfId="3" applyNumberFormat="1" applyFont="1" applyBorder="1" applyAlignment="1">
      <alignment horizontal="center"/>
    </xf>
    <xf numFmtId="167" fontId="1" fillId="0" borderId="0" xfId="4" applyNumberFormat="1" applyFont="1" applyBorder="1"/>
    <xf numFmtId="168" fontId="11" fillId="0" borderId="0" xfId="3" applyNumberFormat="1" applyFont="1" applyBorder="1" applyAlignment="1">
      <alignment horizontal="left"/>
    </xf>
    <xf numFmtId="168" fontId="8" fillId="0" borderId="0" xfId="3" applyNumberFormat="1" applyFont="1" applyBorder="1" applyAlignment="1">
      <alignment horizontal="center"/>
    </xf>
    <xf numFmtId="9" fontId="1" fillId="0" borderId="0" xfId="4" applyFont="1" applyBorder="1" applyAlignment="1">
      <alignment horizontal="center"/>
    </xf>
    <xf numFmtId="10" fontId="1" fillId="0" borderId="0" xfId="4" applyNumberFormat="1" applyFont="1" applyBorder="1" applyAlignment="1">
      <alignment horizontal="center"/>
    </xf>
    <xf numFmtId="38" fontId="11" fillId="0" borderId="0" xfId="3" applyNumberFormat="1" applyFont="1" applyBorder="1" applyAlignment="1">
      <alignment horizontal="center"/>
    </xf>
    <xf numFmtId="9" fontId="9" fillId="0" borderId="0" xfId="3" applyNumberFormat="1" applyFont="1"/>
    <xf numFmtId="0" fontId="9" fillId="0" borderId="0" xfId="3" applyFont="1" applyAlignment="1">
      <alignment horizontal="center"/>
    </xf>
    <xf numFmtId="3" fontId="8" fillId="0" borderId="0" xfId="3" applyNumberFormat="1" applyFont="1"/>
    <xf numFmtId="43" fontId="9" fillId="0" borderId="0" xfId="3" applyNumberFormat="1" applyFont="1"/>
    <xf numFmtId="43" fontId="8" fillId="0" borderId="0" xfId="3" applyNumberFormat="1" applyFont="1"/>
    <xf numFmtId="10" fontId="8" fillId="0" borderId="0" xfId="3" applyNumberFormat="1" applyFont="1"/>
    <xf numFmtId="0" fontId="9" fillId="0" borderId="0" xfId="3" quotePrefix="1" applyFont="1" applyAlignment="1">
      <alignment horizontal="left"/>
    </xf>
    <xf numFmtId="167" fontId="8" fillId="0" borderId="0" xfId="3" applyNumberFormat="1" applyFont="1"/>
    <xf numFmtId="0" fontId="9" fillId="0" borderId="0" xfId="3" applyFont="1" applyAlignment="1">
      <alignment horizontal="right"/>
    </xf>
    <xf numFmtId="0" fontId="8" fillId="0" borderId="0" xfId="3" quotePrefix="1" applyFont="1" applyBorder="1" applyAlignment="1">
      <alignment horizontal="left"/>
    </xf>
    <xf numFmtId="38" fontId="8" fillId="0" borderId="0" xfId="3" applyNumberFormat="1" applyFont="1" applyBorder="1"/>
    <xf numFmtId="9" fontId="9" fillId="0" borderId="0" xfId="4" applyNumberFormat="1" applyFont="1" applyBorder="1"/>
    <xf numFmtId="10" fontId="9" fillId="0" borderId="0" xfId="4" applyNumberFormat="1" applyFont="1" applyBorder="1"/>
    <xf numFmtId="3" fontId="11" fillId="0" borderId="0" xfId="4" applyNumberFormat="1" applyFont="1" applyBorder="1"/>
    <xf numFmtId="4" fontId="11" fillId="0" borderId="0" xfId="4" applyNumberFormat="1" applyFont="1" applyBorder="1"/>
    <xf numFmtId="0" fontId="9" fillId="0" borderId="0" xfId="3" quotePrefix="1" applyFont="1" applyBorder="1" applyAlignment="1">
      <alignment horizontal="left"/>
    </xf>
    <xf numFmtId="169" fontId="8" fillId="0" borderId="0" xfId="3" applyNumberFormat="1" applyFont="1" applyBorder="1"/>
    <xf numFmtId="0" fontId="9" fillId="2" borderId="0" xfId="0" applyFont="1" applyFill="1" applyBorder="1"/>
    <xf numFmtId="0" fontId="0" fillId="0" borderId="0" xfId="0" applyNumberForma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71" fontId="6" fillId="0" borderId="0" xfId="0" applyNumberFormat="1" applyFont="1" applyBorder="1" applyAlignment="1">
      <alignment horizontal="center" vertical="center" wrapText="1"/>
    </xf>
    <xf numFmtId="171" fontId="2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170" fontId="9" fillId="0" borderId="0" xfId="1" applyNumberFormat="1" applyFont="1"/>
    <xf numFmtId="0" fontId="0" fillId="2" borderId="0" xfId="0" applyFont="1" applyFill="1" applyBorder="1"/>
    <xf numFmtId="0" fontId="0" fillId="2" borderId="4" xfId="0" applyFont="1" applyFill="1" applyBorder="1"/>
    <xf numFmtId="0" fontId="8" fillId="2" borderId="0" xfId="0" applyFont="1" applyFill="1" applyBorder="1"/>
    <xf numFmtId="0" fontId="15" fillId="2" borderId="0" xfId="0" applyFont="1" applyFill="1" applyBorder="1" applyAlignment="1">
      <alignment horizontal="center"/>
    </xf>
    <xf numFmtId="0" fontId="16" fillId="2" borderId="0" xfId="0" applyFont="1" applyFill="1" applyBorder="1" applyAlignment="1"/>
    <xf numFmtId="170" fontId="9" fillId="2" borderId="0" xfId="1" applyNumberFormat="1" applyFont="1" applyFill="1" applyBorder="1"/>
    <xf numFmtId="0" fontId="17" fillId="2" borderId="0" xfId="0" applyFont="1" applyFill="1" applyBorder="1"/>
    <xf numFmtId="9" fontId="9" fillId="2" borderId="0" xfId="0" applyNumberFormat="1" applyFont="1" applyFill="1" applyBorder="1" applyAlignment="1">
      <alignment horizontal="center"/>
    </xf>
    <xf numFmtId="37" fontId="9" fillId="2" borderId="0" xfId="0" applyNumberFormat="1" applyFont="1" applyFill="1" applyBorder="1" applyProtection="1"/>
    <xf numFmtId="9" fontId="9" fillId="2" borderId="0" xfId="0" applyNumberFormat="1" applyFont="1" applyFill="1" applyBorder="1"/>
    <xf numFmtId="0" fontId="9" fillId="2" borderId="0" xfId="0" applyFont="1" applyFill="1" applyBorder="1" applyAlignment="1">
      <alignment horizontal="center"/>
    </xf>
    <xf numFmtId="9" fontId="9" fillId="2" borderId="0" xfId="2" applyFont="1" applyFill="1" applyBorder="1"/>
    <xf numFmtId="0" fontId="18" fillId="2" borderId="0" xfId="0" applyFont="1" applyFill="1" applyBorder="1" applyProtection="1">
      <protection locked="0"/>
    </xf>
    <xf numFmtId="37" fontId="8" fillId="2" borderId="0" xfId="0" applyNumberFormat="1" applyFont="1" applyFill="1" applyBorder="1" applyProtection="1"/>
    <xf numFmtId="173" fontId="9" fillId="2" borderId="0" xfId="1" applyNumberFormat="1" applyFont="1" applyFill="1" applyBorder="1"/>
    <xf numFmtId="0" fontId="9" fillId="2" borderId="0" xfId="0" applyFont="1" applyFill="1" applyBorder="1" applyAlignment="1">
      <alignment horizontal="left"/>
    </xf>
    <xf numFmtId="0" fontId="19" fillId="2" borderId="0" xfId="0" applyFont="1" applyFill="1" applyBorder="1" applyAlignment="1">
      <alignment horizontal="center"/>
    </xf>
    <xf numFmtId="167" fontId="9" fillId="2" borderId="0" xfId="2" applyNumberFormat="1" applyFont="1" applyFill="1" applyBorder="1"/>
    <xf numFmtId="37" fontId="9" fillId="2" borderId="0" xfId="0" applyNumberFormat="1" applyFont="1" applyFill="1" applyBorder="1" applyAlignment="1" applyProtection="1">
      <alignment horizontal="center"/>
    </xf>
    <xf numFmtId="0" fontId="8" fillId="2" borderId="4" xfId="0" applyFont="1" applyFill="1" applyBorder="1"/>
    <xf numFmtId="37" fontId="8" fillId="2" borderId="4" xfId="0" applyNumberFormat="1" applyFont="1" applyFill="1" applyBorder="1" applyProtection="1"/>
    <xf numFmtId="0" fontId="8" fillId="2" borderId="5" xfId="0" applyFont="1" applyFill="1" applyBorder="1"/>
    <xf numFmtId="37" fontId="8" fillId="2" borderId="5" xfId="0" applyNumberFormat="1" applyFont="1" applyFill="1" applyBorder="1" applyProtection="1"/>
    <xf numFmtId="0" fontId="17" fillId="2" borderId="0" xfId="0" applyFont="1" applyFill="1" applyBorder="1" applyAlignment="1"/>
    <xf numFmtId="0" fontId="9" fillId="2" borderId="0" xfId="0" applyFont="1" applyFill="1" applyBorder="1" applyAlignment="1"/>
    <xf numFmtId="0" fontId="9" fillId="2" borderId="0" xfId="0" applyFont="1" applyFill="1" applyBorder="1" applyAlignment="1">
      <alignment wrapText="1"/>
    </xf>
    <xf numFmtId="37" fontId="9" fillId="2" borderId="0" xfId="0" applyNumberFormat="1" applyFont="1" applyFill="1" applyBorder="1"/>
    <xf numFmtId="37" fontId="9" fillId="2" borderId="0" xfId="0" applyNumberFormat="1" applyFont="1" applyFill="1" applyBorder="1" applyAlignment="1"/>
    <xf numFmtId="0" fontId="8" fillId="2" borderId="0" xfId="0" applyFont="1" applyFill="1" applyBorder="1" applyAlignment="1"/>
    <xf numFmtId="170" fontId="8" fillId="2" borderId="0" xfId="0" applyNumberFormat="1" applyFont="1" applyFill="1" applyBorder="1" applyAlignment="1"/>
    <xf numFmtId="0" fontId="8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center"/>
    </xf>
    <xf numFmtId="174" fontId="9" fillId="2" borderId="0" xfId="0" applyNumberFormat="1" applyFont="1" applyFill="1" applyBorder="1"/>
    <xf numFmtId="0" fontId="11" fillId="2" borderId="0" xfId="0" applyFont="1" applyFill="1" applyBorder="1" applyAlignment="1">
      <alignment horizontal="left"/>
    </xf>
    <xf numFmtId="170" fontId="9" fillId="2" borderId="0" xfId="0" applyNumberFormat="1" applyFont="1" applyFill="1" applyBorder="1"/>
    <xf numFmtId="10" fontId="8" fillId="2" borderId="0" xfId="0" applyNumberFormat="1" applyFont="1" applyFill="1" applyBorder="1"/>
    <xf numFmtId="0" fontId="11" fillId="2" borderId="0" xfId="0" applyFont="1" applyFill="1" applyBorder="1"/>
    <xf numFmtId="10" fontId="8" fillId="2" borderId="0" xfId="0" applyNumberFormat="1" applyFont="1" applyFill="1" applyBorder="1" applyProtection="1"/>
    <xf numFmtId="10" fontId="2" fillId="0" borderId="0" xfId="2" applyNumberFormat="1" applyFont="1"/>
    <xf numFmtId="0" fontId="7" fillId="0" borderId="0" xfId="0" applyFont="1" applyBorder="1" applyAlignment="1">
      <alignment horizontal="center" vertical="center" wrapText="1"/>
    </xf>
    <xf numFmtId="9" fontId="6" fillId="0" borderId="0" xfId="0" applyNumberFormat="1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7" fontId="6" fillId="0" borderId="0" xfId="2" applyNumberFormat="1" applyFont="1" applyBorder="1" applyAlignment="1">
      <alignment vertical="center" wrapText="1"/>
    </xf>
    <xf numFmtId="170" fontId="6" fillId="0" borderId="0" xfId="1" applyNumberFormat="1" applyFont="1" applyBorder="1" applyAlignment="1">
      <alignment vertical="center" wrapText="1"/>
    </xf>
  </cellXfs>
  <cellStyles count="5">
    <cellStyle name="Komma" xfId="1" builtinId="3"/>
    <cellStyle name="Normal" xfId="0" builtinId="0"/>
    <cellStyle name="Normal 2" xfId="3"/>
    <cellStyle name="Prosent" xfId="2" builtinId="5"/>
    <cellStyle name="Pros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29</xdr:row>
      <xdr:rowOff>0</xdr:rowOff>
    </xdr:from>
    <xdr:to>
      <xdr:col>9</xdr:col>
      <xdr:colOff>114733</xdr:colOff>
      <xdr:row>37</xdr:row>
      <xdr:rowOff>11906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5688" y="5548313"/>
          <a:ext cx="2234045" cy="1535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8"/>
  <sheetViews>
    <sheetView tabSelected="1" workbookViewId="0">
      <selection activeCell="A2" sqref="A2"/>
    </sheetView>
  </sheetViews>
  <sheetFormatPr baseColWidth="10" defaultColWidth="11.42578125" defaultRowHeight="15" x14ac:dyDescent="0.25"/>
  <cols>
    <col min="1" max="1" width="40.7109375" style="33" customWidth="1"/>
    <col min="2" max="2" width="14.42578125" style="33" customWidth="1"/>
    <col min="3" max="7" width="14" style="33" customWidth="1"/>
    <col min="8" max="8" width="11" style="33" customWidth="1"/>
    <col min="9" max="9" width="12.7109375" style="33" customWidth="1"/>
    <col min="10" max="10" width="11.85546875" style="33" customWidth="1"/>
    <col min="11" max="207" width="8.7109375" style="33" customWidth="1"/>
    <col min="208" max="256" width="11.42578125" style="33"/>
    <col min="257" max="257" width="16.5703125" style="33" customWidth="1"/>
    <col min="258" max="258" width="14.42578125" style="33" customWidth="1"/>
    <col min="259" max="259" width="12" style="33" customWidth="1"/>
    <col min="260" max="260" width="10.85546875" style="33" customWidth="1"/>
    <col min="261" max="261" width="13.140625" style="33" customWidth="1"/>
    <col min="262" max="262" width="13.28515625" style="33" customWidth="1"/>
    <col min="263" max="263" width="15.42578125" style="33" customWidth="1"/>
    <col min="264" max="264" width="11" style="33" customWidth="1"/>
    <col min="265" max="265" width="12.7109375" style="33" customWidth="1"/>
    <col min="266" max="266" width="11.85546875" style="33" customWidth="1"/>
    <col min="267" max="463" width="8.7109375" style="33" customWidth="1"/>
    <col min="464" max="512" width="11.42578125" style="33"/>
    <col min="513" max="513" width="16.5703125" style="33" customWidth="1"/>
    <col min="514" max="514" width="14.42578125" style="33" customWidth="1"/>
    <col min="515" max="515" width="12" style="33" customWidth="1"/>
    <col min="516" max="516" width="10.85546875" style="33" customWidth="1"/>
    <col min="517" max="517" width="13.140625" style="33" customWidth="1"/>
    <col min="518" max="518" width="13.28515625" style="33" customWidth="1"/>
    <col min="519" max="519" width="15.42578125" style="33" customWidth="1"/>
    <col min="520" max="520" width="11" style="33" customWidth="1"/>
    <col min="521" max="521" width="12.7109375" style="33" customWidth="1"/>
    <col min="522" max="522" width="11.85546875" style="33" customWidth="1"/>
    <col min="523" max="719" width="8.7109375" style="33" customWidth="1"/>
    <col min="720" max="768" width="11.42578125" style="33"/>
    <col min="769" max="769" width="16.5703125" style="33" customWidth="1"/>
    <col min="770" max="770" width="14.42578125" style="33" customWidth="1"/>
    <col min="771" max="771" width="12" style="33" customWidth="1"/>
    <col min="772" max="772" width="10.85546875" style="33" customWidth="1"/>
    <col min="773" max="773" width="13.140625" style="33" customWidth="1"/>
    <col min="774" max="774" width="13.28515625" style="33" customWidth="1"/>
    <col min="775" max="775" width="15.42578125" style="33" customWidth="1"/>
    <col min="776" max="776" width="11" style="33" customWidth="1"/>
    <col min="777" max="777" width="12.7109375" style="33" customWidth="1"/>
    <col min="778" max="778" width="11.85546875" style="33" customWidth="1"/>
    <col min="779" max="975" width="8.7109375" style="33" customWidth="1"/>
    <col min="976" max="1024" width="11.42578125" style="33"/>
    <col min="1025" max="1025" width="16.5703125" style="33" customWidth="1"/>
    <col min="1026" max="1026" width="14.42578125" style="33" customWidth="1"/>
    <col min="1027" max="1027" width="12" style="33" customWidth="1"/>
    <col min="1028" max="1028" width="10.85546875" style="33" customWidth="1"/>
    <col min="1029" max="1029" width="13.140625" style="33" customWidth="1"/>
    <col min="1030" max="1030" width="13.28515625" style="33" customWidth="1"/>
    <col min="1031" max="1031" width="15.42578125" style="33" customWidth="1"/>
    <col min="1032" max="1032" width="11" style="33" customWidth="1"/>
    <col min="1033" max="1033" width="12.7109375" style="33" customWidth="1"/>
    <col min="1034" max="1034" width="11.85546875" style="33" customWidth="1"/>
    <col min="1035" max="1231" width="8.7109375" style="33" customWidth="1"/>
    <col min="1232" max="1280" width="11.42578125" style="33"/>
    <col min="1281" max="1281" width="16.5703125" style="33" customWidth="1"/>
    <col min="1282" max="1282" width="14.42578125" style="33" customWidth="1"/>
    <col min="1283" max="1283" width="12" style="33" customWidth="1"/>
    <col min="1284" max="1284" width="10.85546875" style="33" customWidth="1"/>
    <col min="1285" max="1285" width="13.140625" style="33" customWidth="1"/>
    <col min="1286" max="1286" width="13.28515625" style="33" customWidth="1"/>
    <col min="1287" max="1287" width="15.42578125" style="33" customWidth="1"/>
    <col min="1288" max="1288" width="11" style="33" customWidth="1"/>
    <col min="1289" max="1289" width="12.7109375" style="33" customWidth="1"/>
    <col min="1290" max="1290" width="11.85546875" style="33" customWidth="1"/>
    <col min="1291" max="1487" width="8.7109375" style="33" customWidth="1"/>
    <col min="1488" max="1536" width="11.42578125" style="33"/>
    <col min="1537" max="1537" width="16.5703125" style="33" customWidth="1"/>
    <col min="1538" max="1538" width="14.42578125" style="33" customWidth="1"/>
    <col min="1539" max="1539" width="12" style="33" customWidth="1"/>
    <col min="1540" max="1540" width="10.85546875" style="33" customWidth="1"/>
    <col min="1541" max="1541" width="13.140625" style="33" customWidth="1"/>
    <col min="1542" max="1542" width="13.28515625" style="33" customWidth="1"/>
    <col min="1543" max="1543" width="15.42578125" style="33" customWidth="1"/>
    <col min="1544" max="1544" width="11" style="33" customWidth="1"/>
    <col min="1545" max="1545" width="12.7109375" style="33" customWidth="1"/>
    <col min="1546" max="1546" width="11.85546875" style="33" customWidth="1"/>
    <col min="1547" max="1743" width="8.7109375" style="33" customWidth="1"/>
    <col min="1744" max="1792" width="11.42578125" style="33"/>
    <col min="1793" max="1793" width="16.5703125" style="33" customWidth="1"/>
    <col min="1794" max="1794" width="14.42578125" style="33" customWidth="1"/>
    <col min="1795" max="1795" width="12" style="33" customWidth="1"/>
    <col min="1796" max="1796" width="10.85546875" style="33" customWidth="1"/>
    <col min="1797" max="1797" width="13.140625" style="33" customWidth="1"/>
    <col min="1798" max="1798" width="13.28515625" style="33" customWidth="1"/>
    <col min="1799" max="1799" width="15.42578125" style="33" customWidth="1"/>
    <col min="1800" max="1800" width="11" style="33" customWidth="1"/>
    <col min="1801" max="1801" width="12.7109375" style="33" customWidth="1"/>
    <col min="1802" max="1802" width="11.85546875" style="33" customWidth="1"/>
    <col min="1803" max="1999" width="8.7109375" style="33" customWidth="1"/>
    <col min="2000" max="2048" width="11.42578125" style="33"/>
    <col min="2049" max="2049" width="16.5703125" style="33" customWidth="1"/>
    <col min="2050" max="2050" width="14.42578125" style="33" customWidth="1"/>
    <col min="2051" max="2051" width="12" style="33" customWidth="1"/>
    <col min="2052" max="2052" width="10.85546875" style="33" customWidth="1"/>
    <col min="2053" max="2053" width="13.140625" style="33" customWidth="1"/>
    <col min="2054" max="2054" width="13.28515625" style="33" customWidth="1"/>
    <col min="2055" max="2055" width="15.42578125" style="33" customWidth="1"/>
    <col min="2056" max="2056" width="11" style="33" customWidth="1"/>
    <col min="2057" max="2057" width="12.7109375" style="33" customWidth="1"/>
    <col min="2058" max="2058" width="11.85546875" style="33" customWidth="1"/>
    <col min="2059" max="2255" width="8.7109375" style="33" customWidth="1"/>
    <col min="2256" max="2304" width="11.42578125" style="33"/>
    <col min="2305" max="2305" width="16.5703125" style="33" customWidth="1"/>
    <col min="2306" max="2306" width="14.42578125" style="33" customWidth="1"/>
    <col min="2307" max="2307" width="12" style="33" customWidth="1"/>
    <col min="2308" max="2308" width="10.85546875" style="33" customWidth="1"/>
    <col min="2309" max="2309" width="13.140625" style="33" customWidth="1"/>
    <col min="2310" max="2310" width="13.28515625" style="33" customWidth="1"/>
    <col min="2311" max="2311" width="15.42578125" style="33" customWidth="1"/>
    <col min="2312" max="2312" width="11" style="33" customWidth="1"/>
    <col min="2313" max="2313" width="12.7109375" style="33" customWidth="1"/>
    <col min="2314" max="2314" width="11.85546875" style="33" customWidth="1"/>
    <col min="2315" max="2511" width="8.7109375" style="33" customWidth="1"/>
    <col min="2512" max="2560" width="11.42578125" style="33"/>
    <col min="2561" max="2561" width="16.5703125" style="33" customWidth="1"/>
    <col min="2562" max="2562" width="14.42578125" style="33" customWidth="1"/>
    <col min="2563" max="2563" width="12" style="33" customWidth="1"/>
    <col min="2564" max="2564" width="10.85546875" style="33" customWidth="1"/>
    <col min="2565" max="2565" width="13.140625" style="33" customWidth="1"/>
    <col min="2566" max="2566" width="13.28515625" style="33" customWidth="1"/>
    <col min="2567" max="2567" width="15.42578125" style="33" customWidth="1"/>
    <col min="2568" max="2568" width="11" style="33" customWidth="1"/>
    <col min="2569" max="2569" width="12.7109375" style="33" customWidth="1"/>
    <col min="2570" max="2570" width="11.85546875" style="33" customWidth="1"/>
    <col min="2571" max="2767" width="8.7109375" style="33" customWidth="1"/>
    <col min="2768" max="2816" width="11.42578125" style="33"/>
    <col min="2817" max="2817" width="16.5703125" style="33" customWidth="1"/>
    <col min="2818" max="2818" width="14.42578125" style="33" customWidth="1"/>
    <col min="2819" max="2819" width="12" style="33" customWidth="1"/>
    <col min="2820" max="2820" width="10.85546875" style="33" customWidth="1"/>
    <col min="2821" max="2821" width="13.140625" style="33" customWidth="1"/>
    <col min="2822" max="2822" width="13.28515625" style="33" customWidth="1"/>
    <col min="2823" max="2823" width="15.42578125" style="33" customWidth="1"/>
    <col min="2824" max="2824" width="11" style="33" customWidth="1"/>
    <col min="2825" max="2825" width="12.7109375" style="33" customWidth="1"/>
    <col min="2826" max="2826" width="11.85546875" style="33" customWidth="1"/>
    <col min="2827" max="3023" width="8.7109375" style="33" customWidth="1"/>
    <col min="3024" max="3072" width="11.42578125" style="33"/>
    <col min="3073" max="3073" width="16.5703125" style="33" customWidth="1"/>
    <col min="3074" max="3074" width="14.42578125" style="33" customWidth="1"/>
    <col min="3075" max="3075" width="12" style="33" customWidth="1"/>
    <col min="3076" max="3076" width="10.85546875" style="33" customWidth="1"/>
    <col min="3077" max="3077" width="13.140625" style="33" customWidth="1"/>
    <col min="3078" max="3078" width="13.28515625" style="33" customWidth="1"/>
    <col min="3079" max="3079" width="15.42578125" style="33" customWidth="1"/>
    <col min="3080" max="3080" width="11" style="33" customWidth="1"/>
    <col min="3081" max="3081" width="12.7109375" style="33" customWidth="1"/>
    <col min="3082" max="3082" width="11.85546875" style="33" customWidth="1"/>
    <col min="3083" max="3279" width="8.7109375" style="33" customWidth="1"/>
    <col min="3280" max="3328" width="11.42578125" style="33"/>
    <col min="3329" max="3329" width="16.5703125" style="33" customWidth="1"/>
    <col min="3330" max="3330" width="14.42578125" style="33" customWidth="1"/>
    <col min="3331" max="3331" width="12" style="33" customWidth="1"/>
    <col min="3332" max="3332" width="10.85546875" style="33" customWidth="1"/>
    <col min="3333" max="3333" width="13.140625" style="33" customWidth="1"/>
    <col min="3334" max="3334" width="13.28515625" style="33" customWidth="1"/>
    <col min="3335" max="3335" width="15.42578125" style="33" customWidth="1"/>
    <col min="3336" max="3336" width="11" style="33" customWidth="1"/>
    <col min="3337" max="3337" width="12.7109375" style="33" customWidth="1"/>
    <col min="3338" max="3338" width="11.85546875" style="33" customWidth="1"/>
    <col min="3339" max="3535" width="8.7109375" style="33" customWidth="1"/>
    <col min="3536" max="3584" width="11.42578125" style="33"/>
    <col min="3585" max="3585" width="16.5703125" style="33" customWidth="1"/>
    <col min="3586" max="3586" width="14.42578125" style="33" customWidth="1"/>
    <col min="3587" max="3587" width="12" style="33" customWidth="1"/>
    <col min="3588" max="3588" width="10.85546875" style="33" customWidth="1"/>
    <col min="3589" max="3589" width="13.140625" style="33" customWidth="1"/>
    <col min="3590" max="3590" width="13.28515625" style="33" customWidth="1"/>
    <col min="3591" max="3591" width="15.42578125" style="33" customWidth="1"/>
    <col min="3592" max="3592" width="11" style="33" customWidth="1"/>
    <col min="3593" max="3593" width="12.7109375" style="33" customWidth="1"/>
    <col min="3594" max="3594" width="11.85546875" style="33" customWidth="1"/>
    <col min="3595" max="3791" width="8.7109375" style="33" customWidth="1"/>
    <col min="3792" max="3840" width="11.42578125" style="33"/>
    <col min="3841" max="3841" width="16.5703125" style="33" customWidth="1"/>
    <col min="3842" max="3842" width="14.42578125" style="33" customWidth="1"/>
    <col min="3843" max="3843" width="12" style="33" customWidth="1"/>
    <col min="3844" max="3844" width="10.85546875" style="33" customWidth="1"/>
    <col min="3845" max="3845" width="13.140625" style="33" customWidth="1"/>
    <col min="3846" max="3846" width="13.28515625" style="33" customWidth="1"/>
    <col min="3847" max="3847" width="15.42578125" style="33" customWidth="1"/>
    <col min="3848" max="3848" width="11" style="33" customWidth="1"/>
    <col min="3849" max="3849" width="12.7109375" style="33" customWidth="1"/>
    <col min="3850" max="3850" width="11.85546875" style="33" customWidth="1"/>
    <col min="3851" max="4047" width="8.7109375" style="33" customWidth="1"/>
    <col min="4048" max="4096" width="11.42578125" style="33"/>
    <col min="4097" max="4097" width="16.5703125" style="33" customWidth="1"/>
    <col min="4098" max="4098" width="14.42578125" style="33" customWidth="1"/>
    <col min="4099" max="4099" width="12" style="33" customWidth="1"/>
    <col min="4100" max="4100" width="10.85546875" style="33" customWidth="1"/>
    <col min="4101" max="4101" width="13.140625" style="33" customWidth="1"/>
    <col min="4102" max="4102" width="13.28515625" style="33" customWidth="1"/>
    <col min="4103" max="4103" width="15.42578125" style="33" customWidth="1"/>
    <col min="4104" max="4104" width="11" style="33" customWidth="1"/>
    <col min="4105" max="4105" width="12.7109375" style="33" customWidth="1"/>
    <col min="4106" max="4106" width="11.85546875" style="33" customWidth="1"/>
    <col min="4107" max="4303" width="8.7109375" style="33" customWidth="1"/>
    <col min="4304" max="4352" width="11.42578125" style="33"/>
    <col min="4353" max="4353" width="16.5703125" style="33" customWidth="1"/>
    <col min="4354" max="4354" width="14.42578125" style="33" customWidth="1"/>
    <col min="4355" max="4355" width="12" style="33" customWidth="1"/>
    <col min="4356" max="4356" width="10.85546875" style="33" customWidth="1"/>
    <col min="4357" max="4357" width="13.140625" style="33" customWidth="1"/>
    <col min="4358" max="4358" width="13.28515625" style="33" customWidth="1"/>
    <col min="4359" max="4359" width="15.42578125" style="33" customWidth="1"/>
    <col min="4360" max="4360" width="11" style="33" customWidth="1"/>
    <col min="4361" max="4361" width="12.7109375" style="33" customWidth="1"/>
    <col min="4362" max="4362" width="11.85546875" style="33" customWidth="1"/>
    <col min="4363" max="4559" width="8.7109375" style="33" customWidth="1"/>
    <col min="4560" max="4608" width="11.42578125" style="33"/>
    <col min="4609" max="4609" width="16.5703125" style="33" customWidth="1"/>
    <col min="4610" max="4610" width="14.42578125" style="33" customWidth="1"/>
    <col min="4611" max="4611" width="12" style="33" customWidth="1"/>
    <col min="4612" max="4612" width="10.85546875" style="33" customWidth="1"/>
    <col min="4613" max="4613" width="13.140625" style="33" customWidth="1"/>
    <col min="4614" max="4614" width="13.28515625" style="33" customWidth="1"/>
    <col min="4615" max="4615" width="15.42578125" style="33" customWidth="1"/>
    <col min="4616" max="4616" width="11" style="33" customWidth="1"/>
    <col min="4617" max="4617" width="12.7109375" style="33" customWidth="1"/>
    <col min="4618" max="4618" width="11.85546875" style="33" customWidth="1"/>
    <col min="4619" max="4815" width="8.7109375" style="33" customWidth="1"/>
    <col min="4816" max="4864" width="11.42578125" style="33"/>
    <col min="4865" max="4865" width="16.5703125" style="33" customWidth="1"/>
    <col min="4866" max="4866" width="14.42578125" style="33" customWidth="1"/>
    <col min="4867" max="4867" width="12" style="33" customWidth="1"/>
    <col min="4868" max="4868" width="10.85546875" style="33" customWidth="1"/>
    <col min="4869" max="4869" width="13.140625" style="33" customWidth="1"/>
    <col min="4870" max="4870" width="13.28515625" style="33" customWidth="1"/>
    <col min="4871" max="4871" width="15.42578125" style="33" customWidth="1"/>
    <col min="4872" max="4872" width="11" style="33" customWidth="1"/>
    <col min="4873" max="4873" width="12.7109375" style="33" customWidth="1"/>
    <col min="4874" max="4874" width="11.85546875" style="33" customWidth="1"/>
    <col min="4875" max="5071" width="8.7109375" style="33" customWidth="1"/>
    <col min="5072" max="5120" width="11.42578125" style="33"/>
    <col min="5121" max="5121" width="16.5703125" style="33" customWidth="1"/>
    <col min="5122" max="5122" width="14.42578125" style="33" customWidth="1"/>
    <col min="5123" max="5123" width="12" style="33" customWidth="1"/>
    <col min="5124" max="5124" width="10.85546875" style="33" customWidth="1"/>
    <col min="5125" max="5125" width="13.140625" style="33" customWidth="1"/>
    <col min="5126" max="5126" width="13.28515625" style="33" customWidth="1"/>
    <col min="5127" max="5127" width="15.42578125" style="33" customWidth="1"/>
    <col min="5128" max="5128" width="11" style="33" customWidth="1"/>
    <col min="5129" max="5129" width="12.7109375" style="33" customWidth="1"/>
    <col min="5130" max="5130" width="11.85546875" style="33" customWidth="1"/>
    <col min="5131" max="5327" width="8.7109375" style="33" customWidth="1"/>
    <col min="5328" max="5376" width="11.42578125" style="33"/>
    <col min="5377" max="5377" width="16.5703125" style="33" customWidth="1"/>
    <col min="5378" max="5378" width="14.42578125" style="33" customWidth="1"/>
    <col min="5379" max="5379" width="12" style="33" customWidth="1"/>
    <col min="5380" max="5380" width="10.85546875" style="33" customWidth="1"/>
    <col min="5381" max="5381" width="13.140625" style="33" customWidth="1"/>
    <col min="5382" max="5382" width="13.28515625" style="33" customWidth="1"/>
    <col min="5383" max="5383" width="15.42578125" style="33" customWidth="1"/>
    <col min="5384" max="5384" width="11" style="33" customWidth="1"/>
    <col min="5385" max="5385" width="12.7109375" style="33" customWidth="1"/>
    <col min="5386" max="5386" width="11.85546875" style="33" customWidth="1"/>
    <col min="5387" max="5583" width="8.7109375" style="33" customWidth="1"/>
    <col min="5584" max="5632" width="11.42578125" style="33"/>
    <col min="5633" max="5633" width="16.5703125" style="33" customWidth="1"/>
    <col min="5634" max="5634" width="14.42578125" style="33" customWidth="1"/>
    <col min="5635" max="5635" width="12" style="33" customWidth="1"/>
    <col min="5636" max="5636" width="10.85546875" style="33" customWidth="1"/>
    <col min="5637" max="5637" width="13.140625" style="33" customWidth="1"/>
    <col min="5638" max="5638" width="13.28515625" style="33" customWidth="1"/>
    <col min="5639" max="5639" width="15.42578125" style="33" customWidth="1"/>
    <col min="5640" max="5640" width="11" style="33" customWidth="1"/>
    <col min="5641" max="5641" width="12.7109375" style="33" customWidth="1"/>
    <col min="5642" max="5642" width="11.85546875" style="33" customWidth="1"/>
    <col min="5643" max="5839" width="8.7109375" style="33" customWidth="1"/>
    <col min="5840" max="5888" width="11.42578125" style="33"/>
    <col min="5889" max="5889" width="16.5703125" style="33" customWidth="1"/>
    <col min="5890" max="5890" width="14.42578125" style="33" customWidth="1"/>
    <col min="5891" max="5891" width="12" style="33" customWidth="1"/>
    <col min="5892" max="5892" width="10.85546875" style="33" customWidth="1"/>
    <col min="5893" max="5893" width="13.140625" style="33" customWidth="1"/>
    <col min="5894" max="5894" width="13.28515625" style="33" customWidth="1"/>
    <col min="5895" max="5895" width="15.42578125" style="33" customWidth="1"/>
    <col min="5896" max="5896" width="11" style="33" customWidth="1"/>
    <col min="5897" max="5897" width="12.7109375" style="33" customWidth="1"/>
    <col min="5898" max="5898" width="11.85546875" style="33" customWidth="1"/>
    <col min="5899" max="6095" width="8.7109375" style="33" customWidth="1"/>
    <col min="6096" max="6144" width="11.42578125" style="33"/>
    <col min="6145" max="6145" width="16.5703125" style="33" customWidth="1"/>
    <col min="6146" max="6146" width="14.42578125" style="33" customWidth="1"/>
    <col min="6147" max="6147" width="12" style="33" customWidth="1"/>
    <col min="6148" max="6148" width="10.85546875" style="33" customWidth="1"/>
    <col min="6149" max="6149" width="13.140625" style="33" customWidth="1"/>
    <col min="6150" max="6150" width="13.28515625" style="33" customWidth="1"/>
    <col min="6151" max="6151" width="15.42578125" style="33" customWidth="1"/>
    <col min="6152" max="6152" width="11" style="33" customWidth="1"/>
    <col min="6153" max="6153" width="12.7109375" style="33" customWidth="1"/>
    <col min="6154" max="6154" width="11.85546875" style="33" customWidth="1"/>
    <col min="6155" max="6351" width="8.7109375" style="33" customWidth="1"/>
    <col min="6352" max="6400" width="11.42578125" style="33"/>
    <col min="6401" max="6401" width="16.5703125" style="33" customWidth="1"/>
    <col min="6402" max="6402" width="14.42578125" style="33" customWidth="1"/>
    <col min="6403" max="6403" width="12" style="33" customWidth="1"/>
    <col min="6404" max="6404" width="10.85546875" style="33" customWidth="1"/>
    <col min="6405" max="6405" width="13.140625" style="33" customWidth="1"/>
    <col min="6406" max="6406" width="13.28515625" style="33" customWidth="1"/>
    <col min="6407" max="6407" width="15.42578125" style="33" customWidth="1"/>
    <col min="6408" max="6408" width="11" style="33" customWidth="1"/>
    <col min="6409" max="6409" width="12.7109375" style="33" customWidth="1"/>
    <col min="6410" max="6410" width="11.85546875" style="33" customWidth="1"/>
    <col min="6411" max="6607" width="8.7109375" style="33" customWidth="1"/>
    <col min="6608" max="6656" width="11.42578125" style="33"/>
    <col min="6657" max="6657" width="16.5703125" style="33" customWidth="1"/>
    <col min="6658" max="6658" width="14.42578125" style="33" customWidth="1"/>
    <col min="6659" max="6659" width="12" style="33" customWidth="1"/>
    <col min="6660" max="6660" width="10.85546875" style="33" customWidth="1"/>
    <col min="6661" max="6661" width="13.140625" style="33" customWidth="1"/>
    <col min="6662" max="6662" width="13.28515625" style="33" customWidth="1"/>
    <col min="6663" max="6663" width="15.42578125" style="33" customWidth="1"/>
    <col min="6664" max="6664" width="11" style="33" customWidth="1"/>
    <col min="6665" max="6665" width="12.7109375" style="33" customWidth="1"/>
    <col min="6666" max="6666" width="11.85546875" style="33" customWidth="1"/>
    <col min="6667" max="6863" width="8.7109375" style="33" customWidth="1"/>
    <col min="6864" max="6912" width="11.42578125" style="33"/>
    <col min="6913" max="6913" width="16.5703125" style="33" customWidth="1"/>
    <col min="6914" max="6914" width="14.42578125" style="33" customWidth="1"/>
    <col min="6915" max="6915" width="12" style="33" customWidth="1"/>
    <col min="6916" max="6916" width="10.85546875" style="33" customWidth="1"/>
    <col min="6917" max="6917" width="13.140625" style="33" customWidth="1"/>
    <col min="6918" max="6918" width="13.28515625" style="33" customWidth="1"/>
    <col min="6919" max="6919" width="15.42578125" style="33" customWidth="1"/>
    <col min="6920" max="6920" width="11" style="33" customWidth="1"/>
    <col min="6921" max="6921" width="12.7109375" style="33" customWidth="1"/>
    <col min="6922" max="6922" width="11.85546875" style="33" customWidth="1"/>
    <col min="6923" max="7119" width="8.7109375" style="33" customWidth="1"/>
    <col min="7120" max="7168" width="11.42578125" style="33"/>
    <col min="7169" max="7169" width="16.5703125" style="33" customWidth="1"/>
    <col min="7170" max="7170" width="14.42578125" style="33" customWidth="1"/>
    <col min="7171" max="7171" width="12" style="33" customWidth="1"/>
    <col min="7172" max="7172" width="10.85546875" style="33" customWidth="1"/>
    <col min="7173" max="7173" width="13.140625" style="33" customWidth="1"/>
    <col min="7174" max="7174" width="13.28515625" style="33" customWidth="1"/>
    <col min="7175" max="7175" width="15.42578125" style="33" customWidth="1"/>
    <col min="7176" max="7176" width="11" style="33" customWidth="1"/>
    <col min="7177" max="7177" width="12.7109375" style="33" customWidth="1"/>
    <col min="7178" max="7178" width="11.85546875" style="33" customWidth="1"/>
    <col min="7179" max="7375" width="8.7109375" style="33" customWidth="1"/>
    <col min="7376" max="7424" width="11.42578125" style="33"/>
    <col min="7425" max="7425" width="16.5703125" style="33" customWidth="1"/>
    <col min="7426" max="7426" width="14.42578125" style="33" customWidth="1"/>
    <col min="7427" max="7427" width="12" style="33" customWidth="1"/>
    <col min="7428" max="7428" width="10.85546875" style="33" customWidth="1"/>
    <col min="7429" max="7429" width="13.140625" style="33" customWidth="1"/>
    <col min="7430" max="7430" width="13.28515625" style="33" customWidth="1"/>
    <col min="7431" max="7431" width="15.42578125" style="33" customWidth="1"/>
    <col min="7432" max="7432" width="11" style="33" customWidth="1"/>
    <col min="7433" max="7433" width="12.7109375" style="33" customWidth="1"/>
    <col min="7434" max="7434" width="11.85546875" style="33" customWidth="1"/>
    <col min="7435" max="7631" width="8.7109375" style="33" customWidth="1"/>
    <col min="7632" max="7680" width="11.42578125" style="33"/>
    <col min="7681" max="7681" width="16.5703125" style="33" customWidth="1"/>
    <col min="7682" max="7682" width="14.42578125" style="33" customWidth="1"/>
    <col min="7683" max="7683" width="12" style="33" customWidth="1"/>
    <col min="7684" max="7684" width="10.85546875" style="33" customWidth="1"/>
    <col min="7685" max="7685" width="13.140625" style="33" customWidth="1"/>
    <col min="7686" max="7686" width="13.28515625" style="33" customWidth="1"/>
    <col min="7687" max="7687" width="15.42578125" style="33" customWidth="1"/>
    <col min="7688" max="7688" width="11" style="33" customWidth="1"/>
    <col min="7689" max="7689" width="12.7109375" style="33" customWidth="1"/>
    <col min="7690" max="7690" width="11.85546875" style="33" customWidth="1"/>
    <col min="7691" max="7887" width="8.7109375" style="33" customWidth="1"/>
    <col min="7888" max="7936" width="11.42578125" style="33"/>
    <col min="7937" max="7937" width="16.5703125" style="33" customWidth="1"/>
    <col min="7938" max="7938" width="14.42578125" style="33" customWidth="1"/>
    <col min="7939" max="7939" width="12" style="33" customWidth="1"/>
    <col min="7940" max="7940" width="10.85546875" style="33" customWidth="1"/>
    <col min="7941" max="7941" width="13.140625" style="33" customWidth="1"/>
    <col min="7942" max="7942" width="13.28515625" style="33" customWidth="1"/>
    <col min="7943" max="7943" width="15.42578125" style="33" customWidth="1"/>
    <col min="7944" max="7944" width="11" style="33" customWidth="1"/>
    <col min="7945" max="7945" width="12.7109375" style="33" customWidth="1"/>
    <col min="7946" max="7946" width="11.85546875" style="33" customWidth="1"/>
    <col min="7947" max="8143" width="8.7109375" style="33" customWidth="1"/>
    <col min="8144" max="8192" width="11.42578125" style="33"/>
    <col min="8193" max="8193" width="16.5703125" style="33" customWidth="1"/>
    <col min="8194" max="8194" width="14.42578125" style="33" customWidth="1"/>
    <col min="8195" max="8195" width="12" style="33" customWidth="1"/>
    <col min="8196" max="8196" width="10.85546875" style="33" customWidth="1"/>
    <col min="8197" max="8197" width="13.140625" style="33" customWidth="1"/>
    <col min="8198" max="8198" width="13.28515625" style="33" customWidth="1"/>
    <col min="8199" max="8199" width="15.42578125" style="33" customWidth="1"/>
    <col min="8200" max="8200" width="11" style="33" customWidth="1"/>
    <col min="8201" max="8201" width="12.7109375" style="33" customWidth="1"/>
    <col min="8202" max="8202" width="11.85546875" style="33" customWidth="1"/>
    <col min="8203" max="8399" width="8.7109375" style="33" customWidth="1"/>
    <col min="8400" max="8448" width="11.42578125" style="33"/>
    <col min="8449" max="8449" width="16.5703125" style="33" customWidth="1"/>
    <col min="8450" max="8450" width="14.42578125" style="33" customWidth="1"/>
    <col min="8451" max="8451" width="12" style="33" customWidth="1"/>
    <col min="8452" max="8452" width="10.85546875" style="33" customWidth="1"/>
    <col min="8453" max="8453" width="13.140625" style="33" customWidth="1"/>
    <col min="8454" max="8454" width="13.28515625" style="33" customWidth="1"/>
    <col min="8455" max="8455" width="15.42578125" style="33" customWidth="1"/>
    <col min="8456" max="8456" width="11" style="33" customWidth="1"/>
    <col min="8457" max="8457" width="12.7109375" style="33" customWidth="1"/>
    <col min="8458" max="8458" width="11.85546875" style="33" customWidth="1"/>
    <col min="8459" max="8655" width="8.7109375" style="33" customWidth="1"/>
    <col min="8656" max="8704" width="11.42578125" style="33"/>
    <col min="8705" max="8705" width="16.5703125" style="33" customWidth="1"/>
    <col min="8706" max="8706" width="14.42578125" style="33" customWidth="1"/>
    <col min="8707" max="8707" width="12" style="33" customWidth="1"/>
    <col min="8708" max="8708" width="10.85546875" style="33" customWidth="1"/>
    <col min="8709" max="8709" width="13.140625" style="33" customWidth="1"/>
    <col min="8710" max="8710" width="13.28515625" style="33" customWidth="1"/>
    <col min="8711" max="8711" width="15.42578125" style="33" customWidth="1"/>
    <col min="8712" max="8712" width="11" style="33" customWidth="1"/>
    <col min="8713" max="8713" width="12.7109375" style="33" customWidth="1"/>
    <col min="8714" max="8714" width="11.85546875" style="33" customWidth="1"/>
    <col min="8715" max="8911" width="8.7109375" style="33" customWidth="1"/>
    <col min="8912" max="8960" width="11.42578125" style="33"/>
    <col min="8961" max="8961" width="16.5703125" style="33" customWidth="1"/>
    <col min="8962" max="8962" width="14.42578125" style="33" customWidth="1"/>
    <col min="8963" max="8963" width="12" style="33" customWidth="1"/>
    <col min="8964" max="8964" width="10.85546875" style="33" customWidth="1"/>
    <col min="8965" max="8965" width="13.140625" style="33" customWidth="1"/>
    <col min="8966" max="8966" width="13.28515625" style="33" customWidth="1"/>
    <col min="8967" max="8967" width="15.42578125" style="33" customWidth="1"/>
    <col min="8968" max="8968" width="11" style="33" customWidth="1"/>
    <col min="8969" max="8969" width="12.7109375" style="33" customWidth="1"/>
    <col min="8970" max="8970" width="11.85546875" style="33" customWidth="1"/>
    <col min="8971" max="9167" width="8.7109375" style="33" customWidth="1"/>
    <col min="9168" max="9216" width="11.42578125" style="33"/>
    <col min="9217" max="9217" width="16.5703125" style="33" customWidth="1"/>
    <col min="9218" max="9218" width="14.42578125" style="33" customWidth="1"/>
    <col min="9219" max="9219" width="12" style="33" customWidth="1"/>
    <col min="9220" max="9220" width="10.85546875" style="33" customWidth="1"/>
    <col min="9221" max="9221" width="13.140625" style="33" customWidth="1"/>
    <col min="9222" max="9222" width="13.28515625" style="33" customWidth="1"/>
    <col min="9223" max="9223" width="15.42578125" style="33" customWidth="1"/>
    <col min="9224" max="9224" width="11" style="33" customWidth="1"/>
    <col min="9225" max="9225" width="12.7109375" style="33" customWidth="1"/>
    <col min="9226" max="9226" width="11.85546875" style="33" customWidth="1"/>
    <col min="9227" max="9423" width="8.7109375" style="33" customWidth="1"/>
    <col min="9424" max="9472" width="11.42578125" style="33"/>
    <col min="9473" max="9473" width="16.5703125" style="33" customWidth="1"/>
    <col min="9474" max="9474" width="14.42578125" style="33" customWidth="1"/>
    <col min="9475" max="9475" width="12" style="33" customWidth="1"/>
    <col min="9476" max="9476" width="10.85546875" style="33" customWidth="1"/>
    <col min="9477" max="9477" width="13.140625" style="33" customWidth="1"/>
    <col min="9478" max="9478" width="13.28515625" style="33" customWidth="1"/>
    <col min="9479" max="9479" width="15.42578125" style="33" customWidth="1"/>
    <col min="9480" max="9480" width="11" style="33" customWidth="1"/>
    <col min="9481" max="9481" width="12.7109375" style="33" customWidth="1"/>
    <col min="9482" max="9482" width="11.85546875" style="33" customWidth="1"/>
    <col min="9483" max="9679" width="8.7109375" style="33" customWidth="1"/>
    <col min="9680" max="9728" width="11.42578125" style="33"/>
    <col min="9729" max="9729" width="16.5703125" style="33" customWidth="1"/>
    <col min="9730" max="9730" width="14.42578125" style="33" customWidth="1"/>
    <col min="9731" max="9731" width="12" style="33" customWidth="1"/>
    <col min="9732" max="9732" width="10.85546875" style="33" customWidth="1"/>
    <col min="9733" max="9733" width="13.140625" style="33" customWidth="1"/>
    <col min="9734" max="9734" width="13.28515625" style="33" customWidth="1"/>
    <col min="9735" max="9735" width="15.42578125" style="33" customWidth="1"/>
    <col min="9736" max="9736" width="11" style="33" customWidth="1"/>
    <col min="9737" max="9737" width="12.7109375" style="33" customWidth="1"/>
    <col min="9738" max="9738" width="11.85546875" style="33" customWidth="1"/>
    <col min="9739" max="9935" width="8.7109375" style="33" customWidth="1"/>
    <col min="9936" max="9984" width="11.42578125" style="33"/>
    <col min="9985" max="9985" width="16.5703125" style="33" customWidth="1"/>
    <col min="9986" max="9986" width="14.42578125" style="33" customWidth="1"/>
    <col min="9987" max="9987" width="12" style="33" customWidth="1"/>
    <col min="9988" max="9988" width="10.85546875" style="33" customWidth="1"/>
    <col min="9989" max="9989" width="13.140625" style="33" customWidth="1"/>
    <col min="9990" max="9990" width="13.28515625" style="33" customWidth="1"/>
    <col min="9991" max="9991" width="15.42578125" style="33" customWidth="1"/>
    <col min="9992" max="9992" width="11" style="33" customWidth="1"/>
    <col min="9993" max="9993" width="12.7109375" style="33" customWidth="1"/>
    <col min="9994" max="9994" width="11.85546875" style="33" customWidth="1"/>
    <col min="9995" max="10191" width="8.7109375" style="33" customWidth="1"/>
    <col min="10192" max="10240" width="11.42578125" style="33"/>
    <col min="10241" max="10241" width="16.5703125" style="33" customWidth="1"/>
    <col min="10242" max="10242" width="14.42578125" style="33" customWidth="1"/>
    <col min="10243" max="10243" width="12" style="33" customWidth="1"/>
    <col min="10244" max="10244" width="10.85546875" style="33" customWidth="1"/>
    <col min="10245" max="10245" width="13.140625" style="33" customWidth="1"/>
    <col min="10246" max="10246" width="13.28515625" style="33" customWidth="1"/>
    <col min="10247" max="10247" width="15.42578125" style="33" customWidth="1"/>
    <col min="10248" max="10248" width="11" style="33" customWidth="1"/>
    <col min="10249" max="10249" width="12.7109375" style="33" customWidth="1"/>
    <col min="10250" max="10250" width="11.85546875" style="33" customWidth="1"/>
    <col min="10251" max="10447" width="8.7109375" style="33" customWidth="1"/>
    <col min="10448" max="10496" width="11.42578125" style="33"/>
    <col min="10497" max="10497" width="16.5703125" style="33" customWidth="1"/>
    <col min="10498" max="10498" width="14.42578125" style="33" customWidth="1"/>
    <col min="10499" max="10499" width="12" style="33" customWidth="1"/>
    <col min="10500" max="10500" width="10.85546875" style="33" customWidth="1"/>
    <col min="10501" max="10501" width="13.140625" style="33" customWidth="1"/>
    <col min="10502" max="10502" width="13.28515625" style="33" customWidth="1"/>
    <col min="10503" max="10503" width="15.42578125" style="33" customWidth="1"/>
    <col min="10504" max="10504" width="11" style="33" customWidth="1"/>
    <col min="10505" max="10505" width="12.7109375" style="33" customWidth="1"/>
    <col min="10506" max="10506" width="11.85546875" style="33" customWidth="1"/>
    <col min="10507" max="10703" width="8.7109375" style="33" customWidth="1"/>
    <col min="10704" max="10752" width="11.42578125" style="33"/>
    <col min="10753" max="10753" width="16.5703125" style="33" customWidth="1"/>
    <col min="10754" max="10754" width="14.42578125" style="33" customWidth="1"/>
    <col min="10755" max="10755" width="12" style="33" customWidth="1"/>
    <col min="10756" max="10756" width="10.85546875" style="33" customWidth="1"/>
    <col min="10757" max="10757" width="13.140625" style="33" customWidth="1"/>
    <col min="10758" max="10758" width="13.28515625" style="33" customWidth="1"/>
    <col min="10759" max="10759" width="15.42578125" style="33" customWidth="1"/>
    <col min="10760" max="10760" width="11" style="33" customWidth="1"/>
    <col min="10761" max="10761" width="12.7109375" style="33" customWidth="1"/>
    <col min="10762" max="10762" width="11.85546875" style="33" customWidth="1"/>
    <col min="10763" max="10959" width="8.7109375" style="33" customWidth="1"/>
    <col min="10960" max="11008" width="11.42578125" style="33"/>
    <col min="11009" max="11009" width="16.5703125" style="33" customWidth="1"/>
    <col min="11010" max="11010" width="14.42578125" style="33" customWidth="1"/>
    <col min="11011" max="11011" width="12" style="33" customWidth="1"/>
    <col min="11012" max="11012" width="10.85546875" style="33" customWidth="1"/>
    <col min="11013" max="11013" width="13.140625" style="33" customWidth="1"/>
    <col min="11014" max="11014" width="13.28515625" style="33" customWidth="1"/>
    <col min="11015" max="11015" width="15.42578125" style="33" customWidth="1"/>
    <col min="11016" max="11016" width="11" style="33" customWidth="1"/>
    <col min="11017" max="11017" width="12.7109375" style="33" customWidth="1"/>
    <col min="11018" max="11018" width="11.85546875" style="33" customWidth="1"/>
    <col min="11019" max="11215" width="8.7109375" style="33" customWidth="1"/>
    <col min="11216" max="11264" width="11.42578125" style="33"/>
    <col min="11265" max="11265" width="16.5703125" style="33" customWidth="1"/>
    <col min="11266" max="11266" width="14.42578125" style="33" customWidth="1"/>
    <col min="11267" max="11267" width="12" style="33" customWidth="1"/>
    <col min="11268" max="11268" width="10.85546875" style="33" customWidth="1"/>
    <col min="11269" max="11269" width="13.140625" style="33" customWidth="1"/>
    <col min="11270" max="11270" width="13.28515625" style="33" customWidth="1"/>
    <col min="11271" max="11271" width="15.42578125" style="33" customWidth="1"/>
    <col min="11272" max="11272" width="11" style="33" customWidth="1"/>
    <col min="11273" max="11273" width="12.7109375" style="33" customWidth="1"/>
    <col min="11274" max="11274" width="11.85546875" style="33" customWidth="1"/>
    <col min="11275" max="11471" width="8.7109375" style="33" customWidth="1"/>
    <col min="11472" max="11520" width="11.42578125" style="33"/>
    <col min="11521" max="11521" width="16.5703125" style="33" customWidth="1"/>
    <col min="11522" max="11522" width="14.42578125" style="33" customWidth="1"/>
    <col min="11523" max="11523" width="12" style="33" customWidth="1"/>
    <col min="11524" max="11524" width="10.85546875" style="33" customWidth="1"/>
    <col min="11525" max="11525" width="13.140625" style="33" customWidth="1"/>
    <col min="11526" max="11526" width="13.28515625" style="33" customWidth="1"/>
    <col min="11527" max="11527" width="15.42578125" style="33" customWidth="1"/>
    <col min="11528" max="11528" width="11" style="33" customWidth="1"/>
    <col min="11529" max="11529" width="12.7109375" style="33" customWidth="1"/>
    <col min="11530" max="11530" width="11.85546875" style="33" customWidth="1"/>
    <col min="11531" max="11727" width="8.7109375" style="33" customWidth="1"/>
    <col min="11728" max="11776" width="11.42578125" style="33"/>
    <col min="11777" max="11777" width="16.5703125" style="33" customWidth="1"/>
    <col min="11778" max="11778" width="14.42578125" style="33" customWidth="1"/>
    <col min="11779" max="11779" width="12" style="33" customWidth="1"/>
    <col min="11780" max="11780" width="10.85546875" style="33" customWidth="1"/>
    <col min="11781" max="11781" width="13.140625" style="33" customWidth="1"/>
    <col min="11782" max="11782" width="13.28515625" style="33" customWidth="1"/>
    <col min="11783" max="11783" width="15.42578125" style="33" customWidth="1"/>
    <col min="11784" max="11784" width="11" style="33" customWidth="1"/>
    <col min="11785" max="11785" width="12.7109375" style="33" customWidth="1"/>
    <col min="11786" max="11786" width="11.85546875" style="33" customWidth="1"/>
    <col min="11787" max="11983" width="8.7109375" style="33" customWidth="1"/>
    <col min="11984" max="12032" width="11.42578125" style="33"/>
    <col min="12033" max="12033" width="16.5703125" style="33" customWidth="1"/>
    <col min="12034" max="12034" width="14.42578125" style="33" customWidth="1"/>
    <col min="12035" max="12035" width="12" style="33" customWidth="1"/>
    <col min="12036" max="12036" width="10.85546875" style="33" customWidth="1"/>
    <col min="12037" max="12037" width="13.140625" style="33" customWidth="1"/>
    <col min="12038" max="12038" width="13.28515625" style="33" customWidth="1"/>
    <col min="12039" max="12039" width="15.42578125" style="33" customWidth="1"/>
    <col min="12040" max="12040" width="11" style="33" customWidth="1"/>
    <col min="12041" max="12041" width="12.7109375" style="33" customWidth="1"/>
    <col min="12042" max="12042" width="11.85546875" style="33" customWidth="1"/>
    <col min="12043" max="12239" width="8.7109375" style="33" customWidth="1"/>
    <col min="12240" max="12288" width="11.42578125" style="33"/>
    <col min="12289" max="12289" width="16.5703125" style="33" customWidth="1"/>
    <col min="12290" max="12290" width="14.42578125" style="33" customWidth="1"/>
    <col min="12291" max="12291" width="12" style="33" customWidth="1"/>
    <col min="12292" max="12292" width="10.85546875" style="33" customWidth="1"/>
    <col min="12293" max="12293" width="13.140625" style="33" customWidth="1"/>
    <col min="12294" max="12294" width="13.28515625" style="33" customWidth="1"/>
    <col min="12295" max="12295" width="15.42578125" style="33" customWidth="1"/>
    <col min="12296" max="12296" width="11" style="33" customWidth="1"/>
    <col min="12297" max="12297" width="12.7109375" style="33" customWidth="1"/>
    <col min="12298" max="12298" width="11.85546875" style="33" customWidth="1"/>
    <col min="12299" max="12495" width="8.7109375" style="33" customWidth="1"/>
    <col min="12496" max="12544" width="11.42578125" style="33"/>
    <col min="12545" max="12545" width="16.5703125" style="33" customWidth="1"/>
    <col min="12546" max="12546" width="14.42578125" style="33" customWidth="1"/>
    <col min="12547" max="12547" width="12" style="33" customWidth="1"/>
    <col min="12548" max="12548" width="10.85546875" style="33" customWidth="1"/>
    <col min="12549" max="12549" width="13.140625" style="33" customWidth="1"/>
    <col min="12550" max="12550" width="13.28515625" style="33" customWidth="1"/>
    <col min="12551" max="12551" width="15.42578125" style="33" customWidth="1"/>
    <col min="12552" max="12552" width="11" style="33" customWidth="1"/>
    <col min="12553" max="12553" width="12.7109375" style="33" customWidth="1"/>
    <col min="12554" max="12554" width="11.85546875" style="33" customWidth="1"/>
    <col min="12555" max="12751" width="8.7109375" style="33" customWidth="1"/>
    <col min="12752" max="12800" width="11.42578125" style="33"/>
    <col min="12801" max="12801" width="16.5703125" style="33" customWidth="1"/>
    <col min="12802" max="12802" width="14.42578125" style="33" customWidth="1"/>
    <col min="12803" max="12803" width="12" style="33" customWidth="1"/>
    <col min="12804" max="12804" width="10.85546875" style="33" customWidth="1"/>
    <col min="12805" max="12805" width="13.140625" style="33" customWidth="1"/>
    <col min="12806" max="12806" width="13.28515625" style="33" customWidth="1"/>
    <col min="12807" max="12807" width="15.42578125" style="33" customWidth="1"/>
    <col min="12808" max="12808" width="11" style="33" customWidth="1"/>
    <col min="12809" max="12809" width="12.7109375" style="33" customWidth="1"/>
    <col min="12810" max="12810" width="11.85546875" style="33" customWidth="1"/>
    <col min="12811" max="13007" width="8.7109375" style="33" customWidth="1"/>
    <col min="13008" max="13056" width="11.42578125" style="33"/>
    <col min="13057" max="13057" width="16.5703125" style="33" customWidth="1"/>
    <col min="13058" max="13058" width="14.42578125" style="33" customWidth="1"/>
    <col min="13059" max="13059" width="12" style="33" customWidth="1"/>
    <col min="13060" max="13060" width="10.85546875" style="33" customWidth="1"/>
    <col min="13061" max="13061" width="13.140625" style="33" customWidth="1"/>
    <col min="13062" max="13062" width="13.28515625" style="33" customWidth="1"/>
    <col min="13063" max="13063" width="15.42578125" style="33" customWidth="1"/>
    <col min="13064" max="13064" width="11" style="33" customWidth="1"/>
    <col min="13065" max="13065" width="12.7109375" style="33" customWidth="1"/>
    <col min="13066" max="13066" width="11.85546875" style="33" customWidth="1"/>
    <col min="13067" max="13263" width="8.7109375" style="33" customWidth="1"/>
    <col min="13264" max="13312" width="11.42578125" style="33"/>
    <col min="13313" max="13313" width="16.5703125" style="33" customWidth="1"/>
    <col min="13314" max="13314" width="14.42578125" style="33" customWidth="1"/>
    <col min="13315" max="13315" width="12" style="33" customWidth="1"/>
    <col min="13316" max="13316" width="10.85546875" style="33" customWidth="1"/>
    <col min="13317" max="13317" width="13.140625" style="33" customWidth="1"/>
    <col min="13318" max="13318" width="13.28515625" style="33" customWidth="1"/>
    <col min="13319" max="13319" width="15.42578125" style="33" customWidth="1"/>
    <col min="13320" max="13320" width="11" style="33" customWidth="1"/>
    <col min="13321" max="13321" width="12.7109375" style="33" customWidth="1"/>
    <col min="13322" max="13322" width="11.85546875" style="33" customWidth="1"/>
    <col min="13323" max="13519" width="8.7109375" style="33" customWidth="1"/>
    <col min="13520" max="13568" width="11.42578125" style="33"/>
    <col min="13569" max="13569" width="16.5703125" style="33" customWidth="1"/>
    <col min="13570" max="13570" width="14.42578125" style="33" customWidth="1"/>
    <col min="13571" max="13571" width="12" style="33" customWidth="1"/>
    <col min="13572" max="13572" width="10.85546875" style="33" customWidth="1"/>
    <col min="13573" max="13573" width="13.140625" style="33" customWidth="1"/>
    <col min="13574" max="13574" width="13.28515625" style="33" customWidth="1"/>
    <col min="13575" max="13575" width="15.42578125" style="33" customWidth="1"/>
    <col min="13576" max="13576" width="11" style="33" customWidth="1"/>
    <col min="13577" max="13577" width="12.7109375" style="33" customWidth="1"/>
    <col min="13578" max="13578" width="11.85546875" style="33" customWidth="1"/>
    <col min="13579" max="13775" width="8.7109375" style="33" customWidth="1"/>
    <col min="13776" max="13824" width="11.42578125" style="33"/>
    <col min="13825" max="13825" width="16.5703125" style="33" customWidth="1"/>
    <col min="13826" max="13826" width="14.42578125" style="33" customWidth="1"/>
    <col min="13827" max="13827" width="12" style="33" customWidth="1"/>
    <col min="13828" max="13828" width="10.85546875" style="33" customWidth="1"/>
    <col min="13829" max="13829" width="13.140625" style="33" customWidth="1"/>
    <col min="13830" max="13830" width="13.28515625" style="33" customWidth="1"/>
    <col min="13831" max="13831" width="15.42578125" style="33" customWidth="1"/>
    <col min="13832" max="13832" width="11" style="33" customWidth="1"/>
    <col min="13833" max="13833" width="12.7109375" style="33" customWidth="1"/>
    <col min="13834" max="13834" width="11.85546875" style="33" customWidth="1"/>
    <col min="13835" max="14031" width="8.7109375" style="33" customWidth="1"/>
    <col min="14032" max="14080" width="11.42578125" style="33"/>
    <col min="14081" max="14081" width="16.5703125" style="33" customWidth="1"/>
    <col min="14082" max="14082" width="14.42578125" style="33" customWidth="1"/>
    <col min="14083" max="14083" width="12" style="33" customWidth="1"/>
    <col min="14084" max="14084" width="10.85546875" style="33" customWidth="1"/>
    <col min="14085" max="14085" width="13.140625" style="33" customWidth="1"/>
    <col min="14086" max="14086" width="13.28515625" style="33" customWidth="1"/>
    <col min="14087" max="14087" width="15.42578125" style="33" customWidth="1"/>
    <col min="14088" max="14088" width="11" style="33" customWidth="1"/>
    <col min="14089" max="14089" width="12.7109375" style="33" customWidth="1"/>
    <col min="14090" max="14090" width="11.85546875" style="33" customWidth="1"/>
    <col min="14091" max="14287" width="8.7109375" style="33" customWidth="1"/>
    <col min="14288" max="14336" width="11.42578125" style="33"/>
    <col min="14337" max="14337" width="16.5703125" style="33" customWidth="1"/>
    <col min="14338" max="14338" width="14.42578125" style="33" customWidth="1"/>
    <col min="14339" max="14339" width="12" style="33" customWidth="1"/>
    <col min="14340" max="14340" width="10.85546875" style="33" customWidth="1"/>
    <col min="14341" max="14341" width="13.140625" style="33" customWidth="1"/>
    <col min="14342" max="14342" width="13.28515625" style="33" customWidth="1"/>
    <col min="14343" max="14343" width="15.42578125" style="33" customWidth="1"/>
    <col min="14344" max="14344" width="11" style="33" customWidth="1"/>
    <col min="14345" max="14345" width="12.7109375" style="33" customWidth="1"/>
    <col min="14346" max="14346" width="11.85546875" style="33" customWidth="1"/>
    <col min="14347" max="14543" width="8.7109375" style="33" customWidth="1"/>
    <col min="14544" max="14592" width="11.42578125" style="33"/>
    <col min="14593" max="14593" width="16.5703125" style="33" customWidth="1"/>
    <col min="14594" max="14594" width="14.42578125" style="33" customWidth="1"/>
    <col min="14595" max="14595" width="12" style="33" customWidth="1"/>
    <col min="14596" max="14596" width="10.85546875" style="33" customWidth="1"/>
    <col min="14597" max="14597" width="13.140625" style="33" customWidth="1"/>
    <col min="14598" max="14598" width="13.28515625" style="33" customWidth="1"/>
    <col min="14599" max="14599" width="15.42578125" style="33" customWidth="1"/>
    <col min="14600" max="14600" width="11" style="33" customWidth="1"/>
    <col min="14601" max="14601" width="12.7109375" style="33" customWidth="1"/>
    <col min="14602" max="14602" width="11.85546875" style="33" customWidth="1"/>
    <col min="14603" max="14799" width="8.7109375" style="33" customWidth="1"/>
    <col min="14800" max="14848" width="11.42578125" style="33"/>
    <col min="14849" max="14849" width="16.5703125" style="33" customWidth="1"/>
    <col min="14850" max="14850" width="14.42578125" style="33" customWidth="1"/>
    <col min="14851" max="14851" width="12" style="33" customWidth="1"/>
    <col min="14852" max="14852" width="10.85546875" style="33" customWidth="1"/>
    <col min="14853" max="14853" width="13.140625" style="33" customWidth="1"/>
    <col min="14854" max="14854" width="13.28515625" style="33" customWidth="1"/>
    <col min="14855" max="14855" width="15.42578125" style="33" customWidth="1"/>
    <col min="14856" max="14856" width="11" style="33" customWidth="1"/>
    <col min="14857" max="14857" width="12.7109375" style="33" customWidth="1"/>
    <col min="14858" max="14858" width="11.85546875" style="33" customWidth="1"/>
    <col min="14859" max="15055" width="8.7109375" style="33" customWidth="1"/>
    <col min="15056" max="15104" width="11.42578125" style="33"/>
    <col min="15105" max="15105" width="16.5703125" style="33" customWidth="1"/>
    <col min="15106" max="15106" width="14.42578125" style="33" customWidth="1"/>
    <col min="15107" max="15107" width="12" style="33" customWidth="1"/>
    <col min="15108" max="15108" width="10.85546875" style="33" customWidth="1"/>
    <col min="15109" max="15109" width="13.140625" style="33" customWidth="1"/>
    <col min="15110" max="15110" width="13.28515625" style="33" customWidth="1"/>
    <col min="15111" max="15111" width="15.42578125" style="33" customWidth="1"/>
    <col min="15112" max="15112" width="11" style="33" customWidth="1"/>
    <col min="15113" max="15113" width="12.7109375" style="33" customWidth="1"/>
    <col min="15114" max="15114" width="11.85546875" style="33" customWidth="1"/>
    <col min="15115" max="15311" width="8.7109375" style="33" customWidth="1"/>
    <col min="15312" max="15360" width="11.42578125" style="33"/>
    <col min="15361" max="15361" width="16.5703125" style="33" customWidth="1"/>
    <col min="15362" max="15362" width="14.42578125" style="33" customWidth="1"/>
    <col min="15363" max="15363" width="12" style="33" customWidth="1"/>
    <col min="15364" max="15364" width="10.85546875" style="33" customWidth="1"/>
    <col min="15365" max="15365" width="13.140625" style="33" customWidth="1"/>
    <col min="15366" max="15366" width="13.28515625" style="33" customWidth="1"/>
    <col min="15367" max="15367" width="15.42578125" style="33" customWidth="1"/>
    <col min="15368" max="15368" width="11" style="33" customWidth="1"/>
    <col min="15369" max="15369" width="12.7109375" style="33" customWidth="1"/>
    <col min="15370" max="15370" width="11.85546875" style="33" customWidth="1"/>
    <col min="15371" max="15567" width="8.7109375" style="33" customWidth="1"/>
    <col min="15568" max="15616" width="11.42578125" style="33"/>
    <col min="15617" max="15617" width="16.5703125" style="33" customWidth="1"/>
    <col min="15618" max="15618" width="14.42578125" style="33" customWidth="1"/>
    <col min="15619" max="15619" width="12" style="33" customWidth="1"/>
    <col min="15620" max="15620" width="10.85546875" style="33" customWidth="1"/>
    <col min="15621" max="15621" width="13.140625" style="33" customWidth="1"/>
    <col min="15622" max="15622" width="13.28515625" style="33" customWidth="1"/>
    <col min="15623" max="15623" width="15.42578125" style="33" customWidth="1"/>
    <col min="15624" max="15624" width="11" style="33" customWidth="1"/>
    <col min="15625" max="15625" width="12.7109375" style="33" customWidth="1"/>
    <col min="15626" max="15626" width="11.85546875" style="33" customWidth="1"/>
    <col min="15627" max="15823" width="8.7109375" style="33" customWidth="1"/>
    <col min="15824" max="15872" width="11.42578125" style="33"/>
    <col min="15873" max="15873" width="16.5703125" style="33" customWidth="1"/>
    <col min="15874" max="15874" width="14.42578125" style="33" customWidth="1"/>
    <col min="15875" max="15875" width="12" style="33" customWidth="1"/>
    <col min="15876" max="15876" width="10.85546875" style="33" customWidth="1"/>
    <col min="15877" max="15877" width="13.140625" style="33" customWidth="1"/>
    <col min="15878" max="15878" width="13.28515625" style="33" customWidth="1"/>
    <col min="15879" max="15879" width="15.42578125" style="33" customWidth="1"/>
    <col min="15880" max="15880" width="11" style="33" customWidth="1"/>
    <col min="15881" max="15881" width="12.7109375" style="33" customWidth="1"/>
    <col min="15882" max="15882" width="11.85546875" style="33" customWidth="1"/>
    <col min="15883" max="16079" width="8.7109375" style="33" customWidth="1"/>
    <col min="16080" max="16128" width="11.42578125" style="33"/>
    <col min="16129" max="16129" width="16.5703125" style="33" customWidth="1"/>
    <col min="16130" max="16130" width="14.42578125" style="33" customWidth="1"/>
    <col min="16131" max="16131" width="12" style="33" customWidth="1"/>
    <col min="16132" max="16132" width="10.85546875" style="33" customWidth="1"/>
    <col min="16133" max="16133" width="13.140625" style="33" customWidth="1"/>
    <col min="16134" max="16134" width="13.28515625" style="33" customWidth="1"/>
    <col min="16135" max="16135" width="15.42578125" style="33" customWidth="1"/>
    <col min="16136" max="16136" width="11" style="33" customWidth="1"/>
    <col min="16137" max="16137" width="12.7109375" style="33" customWidth="1"/>
    <col min="16138" max="16138" width="11.85546875" style="33" customWidth="1"/>
    <col min="16139" max="16335" width="8.7109375" style="33" customWidth="1"/>
    <col min="16336" max="16384" width="11.42578125" style="33"/>
  </cols>
  <sheetData>
    <row r="1" spans="1:32" x14ac:dyDescent="0.25">
      <c r="A1" s="32" t="s">
        <v>0</v>
      </c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</row>
    <row r="2" spans="1:32" x14ac:dyDescent="0.25">
      <c r="A2" s="32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</row>
    <row r="3" spans="1:32" x14ac:dyDescent="0.25">
      <c r="A3" s="35" t="s">
        <v>88</v>
      </c>
      <c r="B3" s="36">
        <v>88000000</v>
      </c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</row>
    <row r="4" spans="1:32" x14ac:dyDescent="0.25">
      <c r="A4" s="35" t="s">
        <v>89</v>
      </c>
      <c r="B4" s="36">
        <v>9000000</v>
      </c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</row>
    <row r="5" spans="1:32" x14ac:dyDescent="0.25">
      <c r="A5" s="35" t="s">
        <v>90</v>
      </c>
      <c r="B5" s="36">
        <v>3000000</v>
      </c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</row>
    <row r="6" spans="1:32" x14ac:dyDescent="0.25">
      <c r="A6" s="35" t="s">
        <v>91</v>
      </c>
      <c r="B6" s="37">
        <v>1000</v>
      </c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 spans="1:32" x14ac:dyDescent="0.25">
      <c r="A7" s="35" t="s">
        <v>156</v>
      </c>
      <c r="B7" s="37">
        <v>400</v>
      </c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spans="1:32" x14ac:dyDescent="0.25">
      <c r="A8" s="35" t="s">
        <v>92</v>
      </c>
      <c r="B8" s="37">
        <v>650</v>
      </c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</row>
    <row r="9" spans="1:32" x14ac:dyDescent="0.25">
      <c r="A9" s="35" t="s">
        <v>85</v>
      </c>
      <c r="B9" s="36">
        <v>14660000</v>
      </c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</row>
    <row r="10" spans="1:32" x14ac:dyDescent="0.25">
      <c r="A10" s="35" t="s">
        <v>93</v>
      </c>
      <c r="B10" s="38">
        <v>0.04</v>
      </c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</row>
    <row r="11" spans="1:32" x14ac:dyDescent="0.25">
      <c r="A11" s="35" t="s">
        <v>94</v>
      </c>
      <c r="B11" s="38">
        <v>0.2</v>
      </c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</row>
    <row r="12" spans="1:32" x14ac:dyDescent="0.25">
      <c r="A12" s="35" t="s">
        <v>95</v>
      </c>
      <c r="B12" s="38">
        <v>0.28000000000000003</v>
      </c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</row>
    <row r="13" spans="1:32" x14ac:dyDescent="0.25">
      <c r="A13" s="35" t="s">
        <v>96</v>
      </c>
      <c r="B13" s="38">
        <v>0.5</v>
      </c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</row>
    <row r="14" spans="1:32" x14ac:dyDescent="0.25">
      <c r="A14" s="35" t="s">
        <v>98</v>
      </c>
      <c r="B14" s="38">
        <v>0.55000000000000004</v>
      </c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</row>
    <row r="15" spans="1:32" x14ac:dyDescent="0.25">
      <c r="A15" s="35" t="s">
        <v>97</v>
      </c>
      <c r="B15" s="38">
        <v>0.6</v>
      </c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</row>
    <row r="16" spans="1:32" x14ac:dyDescent="0.25">
      <c r="A16" s="35" t="s">
        <v>99</v>
      </c>
      <c r="B16" s="38">
        <v>0.03</v>
      </c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</row>
    <row r="17" spans="1:32" x14ac:dyDescent="0.25">
      <c r="A17" s="33" t="s">
        <v>100</v>
      </c>
      <c r="B17" s="128">
        <v>80000000</v>
      </c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</row>
    <row r="18" spans="1:32" x14ac:dyDescent="0.25">
      <c r="A18" s="33" t="s">
        <v>101</v>
      </c>
      <c r="B18" s="39">
        <v>0.1</v>
      </c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</row>
    <row r="19" spans="1:32" customFormat="1" x14ac:dyDescent="0.25">
      <c r="A19" t="s">
        <v>87</v>
      </c>
      <c r="B19" s="31">
        <v>365</v>
      </c>
    </row>
    <row r="20" spans="1:32" customFormat="1" x14ac:dyDescent="0.25">
      <c r="B20" s="31"/>
    </row>
    <row r="21" spans="1:32" s="32" customFormat="1" x14ac:dyDescent="0.25">
      <c r="A21" s="32" t="s">
        <v>5</v>
      </c>
      <c r="B21" s="32">
        <v>0</v>
      </c>
      <c r="C21" s="32">
        <v>1</v>
      </c>
      <c r="D21" s="32">
        <v>2</v>
      </c>
      <c r="E21" s="32">
        <v>3</v>
      </c>
      <c r="F21" s="32">
        <v>4</v>
      </c>
      <c r="G21" s="32">
        <v>5</v>
      </c>
      <c r="H21" s="42"/>
      <c r="I21" s="42"/>
      <c r="M21" s="43"/>
      <c r="N21" s="43"/>
      <c r="O21" s="43"/>
      <c r="P21" s="43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</row>
    <row r="22" spans="1:32" x14ac:dyDescent="0.25">
      <c r="A22" s="33" t="s">
        <v>102</v>
      </c>
      <c r="B22" s="40"/>
      <c r="C22" s="40">
        <f>B13*B7*B6*$B$19*(1+$B$16)^C21</f>
        <v>75190000</v>
      </c>
      <c r="D22" s="40">
        <f>B14*$B$7*$B$6*$B$19*(1+B16)^D21</f>
        <v>85190270.000000015</v>
      </c>
      <c r="E22" s="40">
        <f>$B$15*$B$7*$B$6*$B$19*(1+$B$16)^E21</f>
        <v>95722885.200000003</v>
      </c>
      <c r="F22" s="40">
        <f t="shared" ref="F22:G22" si="0">$B$15*$B$7*$B$6*$B$19*(1+$B$16)^F21</f>
        <v>98594571.755999997</v>
      </c>
      <c r="G22" s="40">
        <f t="shared" si="0"/>
        <v>101552408.90867999</v>
      </c>
      <c r="H22" s="45"/>
      <c r="I22" s="40"/>
      <c r="M22" s="41"/>
      <c r="N22" s="41"/>
      <c r="O22" s="41"/>
      <c r="P22" s="41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</row>
    <row r="23" spans="1:32" x14ac:dyDescent="0.25">
      <c r="A23" s="33" t="s">
        <v>103</v>
      </c>
      <c r="B23" s="40"/>
      <c r="C23" s="40">
        <f>B13*B7*$B$8*$B$19*(1+$B$16)</f>
        <v>48873500</v>
      </c>
      <c r="D23" s="40">
        <f>B14*$B$7*$B$8*$B$19*(1+$B$16)^D21</f>
        <v>55373675.500000007</v>
      </c>
      <c r="E23" s="40">
        <f>$B$15*$B$7*$B$8*$B$19*(1+$B$16)^E21</f>
        <v>62219875.380000003</v>
      </c>
      <c r="F23" s="40">
        <f t="shared" ref="F23:G23" si="1">$B$15*$B$7*$B$8*$B$19*(1+$B$16)^F21</f>
        <v>64086471.641399994</v>
      </c>
      <c r="G23" s="40">
        <f t="shared" si="1"/>
        <v>66009065.790641993</v>
      </c>
      <c r="H23" s="45"/>
      <c r="I23" s="40"/>
      <c r="M23" s="41"/>
      <c r="N23" s="41"/>
      <c r="O23" s="41"/>
      <c r="P23" s="41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</row>
    <row r="24" spans="1:32" x14ac:dyDescent="0.25">
      <c r="A24" s="33" t="s">
        <v>104</v>
      </c>
      <c r="B24" s="40"/>
      <c r="C24" s="40">
        <f>$B$9*(1+$B$16)^C21</f>
        <v>15099800</v>
      </c>
      <c r="D24" s="40">
        <f t="shared" ref="D24:G24" si="2">$B$9*(1+$B$16)^D21</f>
        <v>15552794</v>
      </c>
      <c r="E24" s="40">
        <f t="shared" si="2"/>
        <v>16019377.82</v>
      </c>
      <c r="F24" s="40">
        <f t="shared" si="2"/>
        <v>16499959.154599998</v>
      </c>
      <c r="G24" s="40">
        <f t="shared" si="2"/>
        <v>16994957.929237999</v>
      </c>
      <c r="H24" s="45" t="s">
        <v>105</v>
      </c>
      <c r="I24" s="40"/>
      <c r="M24" s="41"/>
      <c r="N24" s="41"/>
      <c r="O24" s="41"/>
      <c r="P24" s="41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</row>
    <row r="25" spans="1:32" x14ac:dyDescent="0.25">
      <c r="A25" s="33" t="s">
        <v>86</v>
      </c>
      <c r="B25" s="40"/>
      <c r="C25" s="40">
        <f>B3*$B$10</f>
        <v>3520000</v>
      </c>
      <c r="D25" s="40">
        <f>C25*(1-$B$10)</f>
        <v>3379200</v>
      </c>
      <c r="E25" s="40">
        <f t="shared" ref="E25:G25" si="3">D25*(1-$B$10)</f>
        <v>3244032</v>
      </c>
      <c r="F25" s="40">
        <f t="shared" si="3"/>
        <v>3114270.7199999997</v>
      </c>
      <c r="G25" s="40">
        <f t="shared" si="3"/>
        <v>2989699.8911999995</v>
      </c>
      <c r="H25" s="45">
        <f>B3-SUM(C25:G25)</f>
        <v>71752797.388799995</v>
      </c>
      <c r="I25" s="40" t="s">
        <v>1</v>
      </c>
      <c r="M25" s="41"/>
      <c r="N25" s="41"/>
      <c r="O25" s="41"/>
      <c r="P25" s="41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</row>
    <row r="26" spans="1:32" x14ac:dyDescent="0.25">
      <c r="A26" s="33" t="s">
        <v>106</v>
      </c>
      <c r="B26" s="40"/>
      <c r="C26" s="40">
        <f>B4*B11</f>
        <v>1800000</v>
      </c>
      <c r="D26" s="40">
        <f>C26*(1-$B$11)</f>
        <v>1440000</v>
      </c>
      <c r="E26" s="40">
        <f>D26*(1-$B$11)</f>
        <v>1152000</v>
      </c>
      <c r="F26" s="40">
        <f>E26*(1-$B$11)</f>
        <v>921600</v>
      </c>
      <c r="G26" s="40">
        <f>F26*(1-$B$11)</f>
        <v>737280</v>
      </c>
      <c r="H26" s="45">
        <f>B4-SUM(C26:G26)</f>
        <v>2949120</v>
      </c>
      <c r="I26" s="42">
        <f>SUM(H25:H26)</f>
        <v>74701917.388799995</v>
      </c>
      <c r="M26" s="41"/>
      <c r="N26" s="41"/>
      <c r="O26" s="41"/>
      <c r="P26" s="41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</row>
    <row r="27" spans="1:32" x14ac:dyDescent="0.25">
      <c r="A27" s="33" t="s">
        <v>107</v>
      </c>
      <c r="B27" s="40">
        <f>B5</f>
        <v>3000000</v>
      </c>
      <c r="C27" s="42"/>
      <c r="D27" s="42"/>
      <c r="E27" s="42"/>
      <c r="F27" s="42"/>
      <c r="G27" s="42"/>
      <c r="H27" s="45"/>
      <c r="I27" s="40"/>
      <c r="M27" s="41"/>
      <c r="N27" s="41"/>
      <c r="O27" s="41"/>
      <c r="P27" s="41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</row>
    <row r="28" spans="1:32" x14ac:dyDescent="0.25">
      <c r="A28" s="33" t="s">
        <v>108</v>
      </c>
      <c r="B28" s="42">
        <f>B22+-B23-B24-B25-B26-B27</f>
        <v>-3000000</v>
      </c>
      <c r="C28" s="42">
        <f>C22+-C23-C24-C25-C26-C27+B28</f>
        <v>2896700</v>
      </c>
      <c r="D28" s="42">
        <f t="shared" ref="D28:G28" si="4">D22+-D23-D24-D25-D26-D27</f>
        <v>9444600.5000000075</v>
      </c>
      <c r="E28" s="42">
        <f t="shared" si="4"/>
        <v>13087600</v>
      </c>
      <c r="F28" s="42">
        <f t="shared" si="4"/>
        <v>13972270.240000006</v>
      </c>
      <c r="G28" s="42">
        <f t="shared" si="4"/>
        <v>14821405.297600001</v>
      </c>
      <c r="H28" s="45"/>
      <c r="I28" s="40"/>
      <c r="M28" s="41"/>
      <c r="N28" s="41"/>
      <c r="O28" s="41"/>
      <c r="P28" s="41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</row>
    <row r="29" spans="1:32" x14ac:dyDescent="0.25">
      <c r="A29" s="33" t="s">
        <v>109</v>
      </c>
      <c r="B29" s="40" t="s">
        <v>138</v>
      </c>
      <c r="C29" s="40">
        <f>$B$12*C28</f>
        <v>811076.00000000012</v>
      </c>
      <c r="D29" s="40">
        <f>$B$12*D28</f>
        <v>2644488.1400000025</v>
      </c>
      <c r="E29" s="40">
        <f>$B$12*E28</f>
        <v>3664528.0000000005</v>
      </c>
      <c r="F29" s="40">
        <f>$B$12*F28</f>
        <v>3912235.6672000019</v>
      </c>
      <c r="G29" s="40">
        <f>$B$12*G28</f>
        <v>4149993.4833280006</v>
      </c>
      <c r="H29" s="45"/>
      <c r="I29" s="40"/>
      <c r="M29" s="41"/>
      <c r="N29" s="41"/>
      <c r="O29" s="41"/>
      <c r="P29" s="41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</row>
    <row r="30" spans="1:32" x14ac:dyDescent="0.25">
      <c r="B30" s="40"/>
      <c r="C30" s="40"/>
      <c r="D30" s="40"/>
      <c r="E30" s="40"/>
      <c r="F30" s="40"/>
      <c r="G30" s="40"/>
      <c r="H30" s="40"/>
      <c r="I30" s="40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</row>
    <row r="31" spans="1:32" x14ac:dyDescent="0.25">
      <c r="B31" s="40"/>
      <c r="C31" s="40"/>
      <c r="D31" s="40"/>
      <c r="E31" s="40"/>
      <c r="F31" s="40"/>
      <c r="G31" s="40"/>
      <c r="H31" s="40"/>
      <c r="I31" s="40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</row>
    <row r="32" spans="1:32" x14ac:dyDescent="0.25">
      <c r="A32" s="33" t="s">
        <v>110</v>
      </c>
      <c r="B32" s="40"/>
      <c r="C32" s="40"/>
      <c r="D32" s="40"/>
      <c r="E32" s="40"/>
      <c r="F32" s="40"/>
      <c r="G32" s="40"/>
      <c r="H32" s="40"/>
      <c r="I32" s="40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</row>
    <row r="33" spans="1:32" x14ac:dyDescent="0.25">
      <c r="A33" s="32" t="s">
        <v>5</v>
      </c>
      <c r="B33" s="32">
        <v>0</v>
      </c>
      <c r="C33" s="32">
        <v>1</v>
      </c>
      <c r="D33" s="32">
        <v>2</v>
      </c>
      <c r="E33" s="32">
        <v>3</v>
      </c>
      <c r="F33" s="32">
        <v>4</v>
      </c>
      <c r="G33" s="32">
        <v>5</v>
      </c>
      <c r="H33" s="40"/>
      <c r="I33" s="40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</row>
    <row r="34" spans="1:32" x14ac:dyDescent="0.25">
      <c r="A34" s="33" t="s">
        <v>102</v>
      </c>
      <c r="B34" s="40"/>
      <c r="C34" s="46">
        <f t="shared" ref="C34:G36" si="5">C22</f>
        <v>75190000</v>
      </c>
      <c r="D34" s="46">
        <f t="shared" si="5"/>
        <v>85190270.000000015</v>
      </c>
      <c r="E34" s="46">
        <f t="shared" si="5"/>
        <v>95722885.200000003</v>
      </c>
      <c r="F34" s="46">
        <f t="shared" si="5"/>
        <v>98594571.755999997</v>
      </c>
      <c r="G34" s="46">
        <f t="shared" si="5"/>
        <v>101552408.90867999</v>
      </c>
      <c r="H34" s="40"/>
      <c r="I34" s="40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</row>
    <row r="35" spans="1:32" x14ac:dyDescent="0.25">
      <c r="A35" s="33" t="s">
        <v>103</v>
      </c>
      <c r="B35" s="40"/>
      <c r="C35" s="46">
        <f t="shared" si="5"/>
        <v>48873500</v>
      </c>
      <c r="D35" s="46">
        <f t="shared" si="5"/>
        <v>55373675.500000007</v>
      </c>
      <c r="E35" s="46">
        <f t="shared" si="5"/>
        <v>62219875.380000003</v>
      </c>
      <c r="F35" s="46">
        <f t="shared" si="5"/>
        <v>64086471.641399994</v>
      </c>
      <c r="G35" s="46">
        <f t="shared" si="5"/>
        <v>66009065.790641993</v>
      </c>
      <c r="H35" s="40"/>
      <c r="I35" s="40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</row>
    <row r="36" spans="1:32" x14ac:dyDescent="0.25">
      <c r="A36" s="33" t="s">
        <v>104</v>
      </c>
      <c r="B36" s="40"/>
      <c r="C36" s="46">
        <f t="shared" si="5"/>
        <v>15099800</v>
      </c>
      <c r="D36" s="46">
        <f t="shared" si="5"/>
        <v>15552794</v>
      </c>
      <c r="E36" s="46">
        <f t="shared" si="5"/>
        <v>16019377.82</v>
      </c>
      <c r="F36" s="46">
        <f t="shared" si="5"/>
        <v>16499959.154599998</v>
      </c>
      <c r="G36" s="46">
        <f t="shared" si="5"/>
        <v>16994957.929237999</v>
      </c>
      <c r="H36" s="40"/>
      <c r="I36" s="40"/>
      <c r="Y36" s="34"/>
      <c r="Z36" s="34"/>
      <c r="AA36" s="34"/>
      <c r="AB36" s="34"/>
      <c r="AC36" s="34"/>
      <c r="AD36" s="34"/>
      <c r="AE36" s="34"/>
      <c r="AF36" s="34"/>
    </row>
    <row r="37" spans="1:32" x14ac:dyDescent="0.25">
      <c r="A37" s="33" t="s">
        <v>109</v>
      </c>
      <c r="B37" s="40" t="str">
        <f t="shared" ref="B37:G37" si="6">B29</f>
        <v xml:space="preserve"> </v>
      </c>
      <c r="C37" s="46">
        <f t="shared" si="6"/>
        <v>811076.00000000012</v>
      </c>
      <c r="D37" s="46">
        <f t="shared" si="6"/>
        <v>2644488.1400000025</v>
      </c>
      <c r="E37" s="46">
        <f t="shared" si="6"/>
        <v>3664528.0000000005</v>
      </c>
      <c r="F37" s="46">
        <f t="shared" si="6"/>
        <v>3912235.6672000019</v>
      </c>
      <c r="G37" s="46">
        <f t="shared" si="6"/>
        <v>4149993.4833280006</v>
      </c>
      <c r="H37" s="40"/>
      <c r="I37" s="40"/>
      <c r="Y37" s="34"/>
      <c r="Z37" s="34"/>
      <c r="AA37" s="34"/>
      <c r="AB37" s="34"/>
      <c r="AC37" s="34"/>
      <c r="AD37" s="34"/>
      <c r="AE37" s="34"/>
      <c r="AF37" s="34"/>
    </row>
    <row r="38" spans="1:32" x14ac:dyDescent="0.25">
      <c r="A38" s="35" t="str">
        <f t="shared" ref="A38:B40" si="7">A3</f>
        <v>Investment in hotel building</v>
      </c>
      <c r="B38" s="40">
        <f t="shared" si="7"/>
        <v>88000000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Y38" s="34"/>
      <c r="Z38" s="34"/>
      <c r="AA38" s="34"/>
      <c r="AB38" s="34"/>
      <c r="AC38" s="34"/>
      <c r="AD38" s="34"/>
      <c r="AE38" s="34"/>
      <c r="AF38" s="34"/>
    </row>
    <row r="39" spans="1:32" x14ac:dyDescent="0.25">
      <c r="A39" s="35" t="str">
        <f t="shared" si="7"/>
        <v>Investment in misc. (furniture)</v>
      </c>
      <c r="B39" s="40">
        <f t="shared" si="7"/>
        <v>9000000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Y39" s="34"/>
      <c r="Z39" s="34"/>
      <c r="AA39" s="34"/>
      <c r="AB39" s="34"/>
      <c r="AC39" s="34"/>
      <c r="AD39" s="34"/>
      <c r="AE39" s="34"/>
      <c r="AF39" s="34"/>
    </row>
    <row r="40" spans="1:32" x14ac:dyDescent="0.25">
      <c r="A40" s="35" t="str">
        <f t="shared" si="7"/>
        <v>Start up costs (expense)</v>
      </c>
      <c r="B40" s="40">
        <f t="shared" si="7"/>
        <v>3000000</v>
      </c>
      <c r="C40" s="40"/>
      <c r="D40" s="40"/>
      <c r="E40" s="40"/>
      <c r="F40" s="40"/>
      <c r="G40" s="40"/>
      <c r="H40" s="45" t="s">
        <v>111</v>
      </c>
      <c r="I40" s="40"/>
      <c r="J40" s="40"/>
      <c r="K40" s="40"/>
      <c r="L40" s="40"/>
      <c r="Y40" s="34"/>
      <c r="Z40" s="34"/>
      <c r="AA40" s="34"/>
      <c r="AB40" s="34"/>
      <c r="AC40" s="34"/>
      <c r="AD40" s="34"/>
      <c r="AE40" s="34"/>
      <c r="AF40" s="34"/>
    </row>
    <row r="41" spans="1:32" x14ac:dyDescent="0.25">
      <c r="A41" s="33" t="s">
        <v>112</v>
      </c>
      <c r="B41" s="40"/>
      <c r="C41" s="40"/>
      <c r="D41" s="40"/>
      <c r="E41" s="40"/>
      <c r="F41" s="40"/>
      <c r="G41" s="40">
        <f>B17*(1+B16)^G33</f>
        <v>92741925.943999991</v>
      </c>
      <c r="H41" s="45">
        <f>G41-I26</f>
        <v>18040008.555199996</v>
      </c>
      <c r="I41" s="40"/>
      <c r="J41" s="40"/>
      <c r="K41" s="40"/>
      <c r="L41" s="40"/>
      <c r="Y41" s="34"/>
      <c r="Z41" s="34"/>
      <c r="AA41" s="34"/>
      <c r="AB41" s="34"/>
      <c r="AC41" s="34"/>
      <c r="AD41" s="34"/>
      <c r="AE41" s="34"/>
      <c r="AF41" s="34"/>
    </row>
    <row r="42" spans="1:32" ht="15.75" thickBot="1" x14ac:dyDescent="0.3">
      <c r="A42" s="33" t="s">
        <v>113</v>
      </c>
      <c r="C42" s="40"/>
      <c r="D42" s="40"/>
      <c r="E42" s="40"/>
      <c r="F42" s="40"/>
      <c r="G42" s="40">
        <f>$H$41*B11*B12/(B18+B11)</f>
        <v>3367468.2636373327</v>
      </c>
      <c r="H42" s="45"/>
      <c r="I42" s="40"/>
      <c r="J42" s="40"/>
      <c r="K42" s="40"/>
      <c r="L42" s="40"/>
      <c r="Y42" s="34"/>
      <c r="Z42" s="34"/>
      <c r="AA42" s="34"/>
      <c r="AB42" s="34"/>
      <c r="AC42" s="34"/>
      <c r="AD42" s="34"/>
      <c r="AE42" s="34"/>
      <c r="AF42" s="34"/>
    </row>
    <row r="43" spans="1:32" x14ac:dyDescent="0.25">
      <c r="A43" s="47" t="s">
        <v>79</v>
      </c>
      <c r="B43" s="48">
        <f>-(B38+B39+B40)</f>
        <v>-100000000</v>
      </c>
      <c r="C43" s="48">
        <f t="shared" ref="C43:E43" si="8">C34-C35-C36-C37</f>
        <v>10405624</v>
      </c>
      <c r="D43" s="48">
        <f t="shared" si="8"/>
        <v>11619312.360000005</v>
      </c>
      <c r="E43" s="48">
        <f t="shared" si="8"/>
        <v>13819104</v>
      </c>
      <c r="F43" s="48">
        <f>F34-F35-F36-F37</f>
        <v>14095905.292800002</v>
      </c>
      <c r="G43" s="48">
        <f>G34-G35-G36-G37+G41-G42</f>
        <v>103772849.38583466</v>
      </c>
      <c r="H43" s="40"/>
      <c r="I43" s="40"/>
      <c r="J43" s="40"/>
      <c r="K43" s="40"/>
      <c r="L43" s="40"/>
      <c r="Y43" s="34"/>
      <c r="Z43" s="34"/>
      <c r="AA43" s="34"/>
      <c r="AB43" s="34"/>
      <c r="AC43" s="34"/>
      <c r="AD43" s="34"/>
      <c r="AE43" s="34"/>
      <c r="AF43" s="34"/>
    </row>
    <row r="44" spans="1:32" x14ac:dyDescent="0.25"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Y44" s="34"/>
      <c r="Z44" s="34"/>
      <c r="AA44" s="34"/>
      <c r="AB44" s="34"/>
      <c r="AC44" s="34"/>
      <c r="AD44" s="34"/>
      <c r="AE44" s="34"/>
      <c r="AF44" s="34"/>
    </row>
    <row r="45" spans="1:32" ht="17.25" x14ac:dyDescent="0.4">
      <c r="A45" s="33" t="s">
        <v>114</v>
      </c>
      <c r="B45" s="49">
        <f>B43+NPV(B18,C43:G43)</f>
        <v>3507360.958624661</v>
      </c>
      <c r="C45" s="40"/>
      <c r="D45" s="40"/>
      <c r="E45" s="40"/>
      <c r="F45" s="40"/>
      <c r="G45" s="40" t="s">
        <v>115</v>
      </c>
      <c r="H45" s="40"/>
      <c r="I45" s="40"/>
      <c r="J45" s="40"/>
      <c r="K45" s="40"/>
      <c r="L45" s="40"/>
      <c r="Y45" s="34"/>
      <c r="Z45" s="34"/>
      <c r="AA45" s="34"/>
      <c r="AB45" s="34"/>
      <c r="AC45" s="34"/>
      <c r="AD45" s="34"/>
      <c r="AE45" s="34"/>
      <c r="AF45" s="34"/>
    </row>
    <row r="46" spans="1:32" x14ac:dyDescent="0.25">
      <c r="B46" s="40"/>
      <c r="C46" s="40">
        <f>C43</f>
        <v>10405624</v>
      </c>
      <c r="D46" s="40">
        <f>D43</f>
        <v>11619312.360000005</v>
      </c>
      <c r="E46" s="40">
        <f>E43</f>
        <v>13819104</v>
      </c>
      <c r="F46" s="40">
        <f>F43</f>
        <v>14095905.292800002</v>
      </c>
      <c r="G46" s="40">
        <f>G43+G42</f>
        <v>107140317.649472</v>
      </c>
      <c r="H46" s="40"/>
      <c r="I46" s="40"/>
      <c r="J46" s="40"/>
      <c r="K46" s="40"/>
      <c r="L46" s="40"/>
      <c r="Y46" s="34"/>
      <c r="Z46" s="34"/>
      <c r="AA46" s="34"/>
      <c r="AB46" s="34"/>
      <c r="AC46" s="34"/>
      <c r="AD46" s="34"/>
      <c r="AE46" s="34"/>
      <c r="AF46" s="34"/>
    </row>
    <row r="47" spans="1:32" x14ac:dyDescent="0.25">
      <c r="A47" s="33" t="s">
        <v>116</v>
      </c>
      <c r="B47" s="50">
        <v>0.10523407548576619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Y47" s="34"/>
      <c r="Z47" s="34"/>
      <c r="AA47" s="34"/>
      <c r="AB47" s="34"/>
      <c r="AC47" s="34"/>
      <c r="AD47" s="34"/>
      <c r="AE47" s="34"/>
      <c r="AF47" s="34"/>
    </row>
    <row r="48" spans="1:32" x14ac:dyDescent="0.25"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Y48" s="34"/>
      <c r="Z48" s="34"/>
      <c r="AA48" s="34"/>
      <c r="AB48" s="34"/>
      <c r="AC48" s="34"/>
      <c r="AD48" s="34"/>
      <c r="AE48" s="34"/>
      <c r="AF48" s="34"/>
    </row>
    <row r="49" spans="1:32" x14ac:dyDescent="0.25">
      <c r="A49" s="51" t="s">
        <v>2</v>
      </c>
      <c r="B49" s="52">
        <f>$B$43+NPV(B47,$C$46:$G$46)-$H$41*B11*B12/(B47+B11)</f>
        <v>264757.2183250864</v>
      </c>
      <c r="C49" s="40"/>
      <c r="F49" s="40"/>
      <c r="G49" s="40"/>
      <c r="H49" s="40"/>
      <c r="I49" s="40"/>
      <c r="J49" s="40"/>
      <c r="K49" s="40"/>
      <c r="L49" s="40"/>
      <c r="Y49" s="34"/>
      <c r="Z49" s="34"/>
      <c r="AA49" s="34"/>
      <c r="AB49" s="34"/>
      <c r="AC49" s="34"/>
      <c r="AD49" s="34"/>
      <c r="AE49" s="34"/>
      <c r="AF49" s="34"/>
    </row>
    <row r="50" spans="1:32" x14ac:dyDescent="0.25"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Y50" s="34"/>
      <c r="Z50" s="34"/>
      <c r="AA50" s="34"/>
      <c r="AB50" s="34"/>
      <c r="AC50" s="34"/>
      <c r="AD50" s="34"/>
      <c r="AE50" s="34"/>
      <c r="AF50" s="34"/>
    </row>
    <row r="51" spans="1:32" x14ac:dyDescent="0.25">
      <c r="B51" s="40"/>
      <c r="C51" s="53"/>
      <c r="D51" s="54"/>
      <c r="E51" s="40"/>
      <c r="F51" s="40"/>
      <c r="G51" s="40"/>
      <c r="H51" s="40"/>
      <c r="I51" s="40"/>
      <c r="J51" s="40"/>
      <c r="K51" s="40"/>
      <c r="L51" s="40"/>
      <c r="Y51" s="34"/>
      <c r="Z51" s="34"/>
      <c r="AA51" s="34"/>
      <c r="AB51" s="34"/>
      <c r="AC51" s="34"/>
      <c r="AD51" s="34"/>
      <c r="AE51" s="34"/>
      <c r="AF51" s="34"/>
    </row>
    <row r="52" spans="1:32" x14ac:dyDescent="0.25">
      <c r="A52" s="32"/>
      <c r="B52" s="40"/>
      <c r="C52" s="39"/>
      <c r="D52" s="54"/>
      <c r="E52" s="40"/>
      <c r="F52" s="40"/>
      <c r="G52" s="40"/>
      <c r="H52" s="40"/>
      <c r="I52" s="40"/>
      <c r="J52" s="40"/>
      <c r="K52" s="40"/>
      <c r="L52" s="40"/>
      <c r="Y52" s="34"/>
      <c r="Z52" s="34"/>
      <c r="AA52" s="34"/>
      <c r="AB52" s="34"/>
      <c r="AC52" s="34"/>
      <c r="AD52" s="34"/>
      <c r="AE52" s="34"/>
      <c r="AF52" s="34"/>
    </row>
    <row r="53" spans="1:32" x14ac:dyDescent="0.25">
      <c r="A53" s="34"/>
      <c r="B53" s="34"/>
      <c r="C53" s="55"/>
      <c r="D53" s="56"/>
      <c r="E53" s="57"/>
      <c r="F53" s="57"/>
      <c r="G53" s="57"/>
      <c r="H53" s="57"/>
      <c r="I53" s="57"/>
      <c r="J53" s="57"/>
      <c r="K53" s="57"/>
      <c r="L53" s="40"/>
      <c r="Y53" s="34"/>
      <c r="Z53" s="34"/>
      <c r="AA53" s="34"/>
      <c r="AB53" s="34"/>
      <c r="AC53" s="34"/>
      <c r="AD53" s="34"/>
      <c r="AE53" s="34"/>
      <c r="AF53" s="34"/>
    </row>
    <row r="54" spans="1:32" x14ac:dyDescent="0.25">
      <c r="A54" s="34"/>
      <c r="B54" s="57"/>
      <c r="C54" s="55"/>
      <c r="D54" s="56"/>
      <c r="E54" s="57"/>
      <c r="F54" s="57"/>
      <c r="G54" s="57"/>
      <c r="H54" s="57"/>
      <c r="I54" s="57"/>
      <c r="J54" s="57"/>
      <c r="K54" s="57"/>
      <c r="L54" s="40"/>
      <c r="Y54" s="34"/>
      <c r="Z54" s="34"/>
      <c r="AA54" s="34"/>
      <c r="AB54" s="34"/>
      <c r="AC54" s="34"/>
      <c r="AD54" s="34"/>
      <c r="AE54" s="34"/>
      <c r="AF54" s="34"/>
    </row>
    <row r="55" spans="1:32" x14ac:dyDescent="0.25">
      <c r="A55" s="44"/>
      <c r="B55" s="34"/>
      <c r="C55" s="34"/>
      <c r="D55" s="34"/>
      <c r="E55" s="34"/>
      <c r="F55" s="34"/>
      <c r="G55" s="34"/>
      <c r="H55" s="34"/>
      <c r="I55" s="34"/>
      <c r="J55" s="57"/>
      <c r="K55" s="57"/>
      <c r="L55" s="40"/>
      <c r="Y55" s="34"/>
      <c r="Z55" s="34"/>
      <c r="AA55" s="34"/>
      <c r="AB55" s="34"/>
      <c r="AC55" s="34"/>
      <c r="AD55" s="34"/>
      <c r="AE55" s="34"/>
      <c r="AF55" s="34"/>
    </row>
    <row r="56" spans="1:32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57"/>
      <c r="K56" s="57"/>
      <c r="L56" s="40"/>
      <c r="Y56" s="34"/>
      <c r="Z56" s="34"/>
      <c r="AA56" s="34"/>
      <c r="AB56" s="34"/>
      <c r="AC56" s="34"/>
      <c r="AD56" s="34"/>
      <c r="AE56" s="34"/>
      <c r="AF56" s="34"/>
    </row>
    <row r="57" spans="1:32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57"/>
      <c r="K57" s="57"/>
      <c r="L57" s="40"/>
      <c r="Y57" s="34"/>
      <c r="Z57" s="34"/>
      <c r="AA57" s="34"/>
      <c r="AB57" s="34"/>
      <c r="AC57" s="34"/>
      <c r="AD57" s="34"/>
      <c r="AE57" s="34"/>
      <c r="AF57" s="34"/>
    </row>
    <row r="58" spans="1:32" x14ac:dyDescent="0.25">
      <c r="A58" s="34"/>
      <c r="B58" s="34"/>
      <c r="C58" s="34"/>
      <c r="D58" s="44"/>
      <c r="E58" s="44"/>
      <c r="F58" s="34"/>
      <c r="G58" s="34"/>
      <c r="H58" s="34"/>
      <c r="I58" s="34"/>
      <c r="J58" s="57"/>
      <c r="K58" s="57"/>
      <c r="L58" s="40"/>
      <c r="Y58" s="34"/>
      <c r="Z58" s="34"/>
      <c r="AA58" s="34"/>
      <c r="AB58" s="34"/>
      <c r="AC58" s="34"/>
      <c r="AD58" s="34"/>
      <c r="AE58" s="34"/>
      <c r="AF58" s="34"/>
    </row>
    <row r="59" spans="1:32" x14ac:dyDescent="0.25">
      <c r="A59" s="34"/>
      <c r="B59" s="34"/>
      <c r="C59" s="34"/>
      <c r="D59" s="44"/>
      <c r="E59" s="44"/>
      <c r="F59" s="34"/>
      <c r="G59" s="34"/>
      <c r="H59" s="34"/>
      <c r="I59" s="34"/>
      <c r="J59" s="57"/>
      <c r="K59" s="57"/>
      <c r="L59" s="40"/>
      <c r="Y59" s="34"/>
      <c r="Z59" s="34"/>
      <c r="AA59" s="34"/>
      <c r="AB59" s="34"/>
      <c r="AC59" s="34"/>
      <c r="AD59" s="34"/>
      <c r="AE59" s="34"/>
      <c r="AF59" s="34"/>
    </row>
    <row r="60" spans="1:32" x14ac:dyDescent="0.25">
      <c r="A60" s="34"/>
      <c r="B60" s="34"/>
      <c r="C60" s="34"/>
      <c r="D60" s="44"/>
      <c r="E60" s="44"/>
      <c r="F60" s="34"/>
      <c r="G60" s="34"/>
      <c r="H60" s="34"/>
      <c r="I60" s="34"/>
      <c r="J60" s="57"/>
      <c r="K60" s="57"/>
      <c r="L60" s="40"/>
      <c r="Y60" s="34"/>
      <c r="Z60" s="34"/>
      <c r="AA60" s="34"/>
      <c r="AB60" s="34"/>
      <c r="AC60" s="34"/>
      <c r="AD60" s="34"/>
      <c r="AE60" s="34"/>
      <c r="AF60" s="34"/>
    </row>
    <row r="61" spans="1:32" x14ac:dyDescent="0.25">
      <c r="A61" s="34"/>
      <c r="B61" s="34"/>
      <c r="C61" s="34"/>
      <c r="D61" s="44"/>
      <c r="E61" s="44"/>
      <c r="F61" s="34"/>
      <c r="G61" s="34"/>
      <c r="H61" s="34"/>
      <c r="I61" s="34"/>
      <c r="J61" s="57"/>
      <c r="K61" s="57"/>
      <c r="L61" s="40"/>
      <c r="Y61" s="34"/>
      <c r="Z61" s="34"/>
      <c r="AA61" s="34"/>
      <c r="AB61" s="34"/>
      <c r="AC61" s="34"/>
      <c r="AD61" s="34"/>
      <c r="AE61" s="34"/>
      <c r="AF61" s="34"/>
    </row>
    <row r="62" spans="1:32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40"/>
      <c r="Y62" s="34"/>
      <c r="Z62" s="34"/>
      <c r="AA62" s="34"/>
      <c r="AB62" s="34"/>
      <c r="AC62" s="34"/>
      <c r="AD62" s="34"/>
      <c r="AE62" s="34"/>
      <c r="AF62" s="34"/>
    </row>
    <row r="63" spans="1:32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40"/>
      <c r="Y63" s="34"/>
      <c r="Z63" s="34"/>
      <c r="AA63" s="34"/>
      <c r="AB63" s="34"/>
      <c r="AC63" s="34"/>
      <c r="AD63" s="34"/>
      <c r="AE63" s="34"/>
      <c r="AF63" s="34"/>
    </row>
    <row r="64" spans="1:32" x14ac:dyDescent="0.25">
      <c r="A64" s="34"/>
      <c r="B64" s="34"/>
      <c r="C64" s="34"/>
      <c r="D64" s="58"/>
      <c r="E64" s="34"/>
      <c r="F64" s="34"/>
      <c r="G64" s="34"/>
      <c r="H64" s="34"/>
      <c r="I64" s="34"/>
      <c r="J64" s="34"/>
      <c r="K64" s="34"/>
      <c r="L64" s="40"/>
      <c r="Y64" s="34"/>
      <c r="Z64" s="34"/>
      <c r="AA64" s="34"/>
      <c r="AB64" s="34"/>
      <c r="AC64" s="34"/>
      <c r="AD64" s="34"/>
      <c r="AE64" s="34"/>
      <c r="AF64" s="34"/>
    </row>
    <row r="65" spans="1:32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40"/>
      <c r="Y65" s="34"/>
      <c r="Z65" s="34"/>
      <c r="AA65" s="34"/>
      <c r="AB65" s="34"/>
      <c r="AC65" s="34"/>
      <c r="AD65" s="34"/>
      <c r="AE65" s="34"/>
      <c r="AF65" s="34"/>
    </row>
    <row r="66" spans="1:32" x14ac:dyDescent="0.25">
      <c r="A66" s="34"/>
      <c r="B66" s="34"/>
      <c r="C66" s="34"/>
      <c r="D66" s="34"/>
      <c r="E66" s="34"/>
      <c r="F66" s="59"/>
      <c r="G66" s="56"/>
      <c r="H66" s="60"/>
      <c r="I66" s="34"/>
      <c r="J66" s="34"/>
      <c r="K66" s="34"/>
      <c r="L66" s="40"/>
      <c r="Y66" s="34"/>
      <c r="Z66" s="34"/>
      <c r="AA66" s="34"/>
      <c r="AB66" s="34"/>
      <c r="AC66" s="34"/>
      <c r="AD66" s="34"/>
      <c r="AE66" s="34"/>
      <c r="AF66" s="34"/>
    </row>
    <row r="67" spans="1:32" x14ac:dyDescent="0.25">
      <c r="A67" s="34"/>
      <c r="B67" s="34"/>
      <c r="C67" s="34"/>
      <c r="D67" s="34"/>
      <c r="E67" s="34"/>
      <c r="F67" s="59"/>
      <c r="G67" s="61"/>
      <c r="H67" s="60"/>
      <c r="I67" s="34"/>
      <c r="J67" s="34"/>
      <c r="K67" s="34"/>
      <c r="L67" s="40"/>
      <c r="Y67" s="34"/>
      <c r="Z67" s="34"/>
      <c r="AA67" s="34"/>
      <c r="AB67" s="34"/>
      <c r="AC67" s="34"/>
      <c r="AD67" s="34"/>
      <c r="AE67" s="34"/>
      <c r="AF67" s="34"/>
    </row>
    <row r="68" spans="1:32" x14ac:dyDescent="0.25">
      <c r="A68" s="34"/>
      <c r="B68" s="34"/>
      <c r="C68" s="34"/>
      <c r="D68" s="34"/>
      <c r="E68" s="34"/>
      <c r="F68" s="59"/>
      <c r="G68" s="61"/>
      <c r="H68" s="60"/>
      <c r="I68" s="34"/>
      <c r="J68" s="34"/>
      <c r="K68" s="34"/>
      <c r="L68" s="40"/>
      <c r="Y68" s="34"/>
      <c r="Z68" s="34"/>
      <c r="AA68" s="34"/>
      <c r="AB68" s="34"/>
      <c r="AC68" s="34"/>
      <c r="AD68" s="34"/>
      <c r="AE68" s="34"/>
      <c r="AF68" s="34"/>
    </row>
    <row r="69" spans="1:32" x14ac:dyDescent="0.25">
      <c r="A69" s="34"/>
      <c r="B69" s="34"/>
      <c r="C69" s="34"/>
      <c r="D69" s="34"/>
      <c r="E69" s="34"/>
      <c r="F69" s="59"/>
      <c r="G69" s="61"/>
      <c r="H69" s="60"/>
      <c r="I69" s="34"/>
      <c r="J69" s="34"/>
      <c r="K69" s="34"/>
      <c r="L69" s="40"/>
      <c r="Y69" s="34"/>
      <c r="Z69" s="34"/>
      <c r="AA69" s="34"/>
      <c r="AB69" s="34"/>
      <c r="AC69" s="34"/>
      <c r="AD69" s="34"/>
      <c r="AE69" s="34"/>
      <c r="AF69" s="34"/>
    </row>
    <row r="70" spans="1:32" x14ac:dyDescent="0.25">
      <c r="A70" s="34"/>
      <c r="B70" s="34"/>
      <c r="C70" s="34"/>
      <c r="D70" s="34"/>
      <c r="E70" s="34"/>
      <c r="F70" s="62"/>
      <c r="G70" s="62"/>
      <c r="H70" s="62"/>
      <c r="I70" s="34"/>
      <c r="J70" s="34"/>
      <c r="K70" s="34"/>
      <c r="L70" s="40"/>
      <c r="Y70" s="34"/>
      <c r="Z70" s="34"/>
      <c r="AA70" s="34"/>
      <c r="AB70" s="34"/>
      <c r="AC70" s="34"/>
      <c r="AD70" s="34"/>
      <c r="AE70" s="34"/>
      <c r="AF70" s="34"/>
    </row>
    <row r="71" spans="1:32" x14ac:dyDescent="0.25">
      <c r="A71" s="63"/>
      <c r="B71" s="44"/>
      <c r="C71" s="34"/>
      <c r="D71" s="34"/>
      <c r="E71" s="34"/>
      <c r="F71" s="34"/>
      <c r="G71" s="34"/>
      <c r="H71" s="34"/>
      <c r="I71" s="34"/>
      <c r="J71" s="34"/>
      <c r="K71" s="34"/>
      <c r="L71" s="40"/>
      <c r="Y71" s="34"/>
      <c r="Z71" s="34"/>
      <c r="AA71" s="34"/>
      <c r="AB71" s="34"/>
      <c r="AC71" s="34"/>
      <c r="AD71" s="34"/>
      <c r="AE71" s="34"/>
      <c r="AF71" s="34"/>
    </row>
    <row r="72" spans="1:32" x14ac:dyDescent="0.25">
      <c r="A72" s="63"/>
      <c r="B72" s="44"/>
      <c r="C72" s="34"/>
      <c r="D72" s="34"/>
      <c r="E72" s="34"/>
      <c r="F72" s="34"/>
      <c r="G72" s="34"/>
      <c r="H72" s="34"/>
      <c r="I72" s="34"/>
      <c r="J72" s="34"/>
      <c r="K72" s="34"/>
      <c r="L72" s="40"/>
      <c r="Y72" s="34"/>
      <c r="Z72" s="34"/>
      <c r="AA72" s="34"/>
      <c r="AB72" s="34"/>
      <c r="AC72" s="34"/>
      <c r="AD72" s="34"/>
      <c r="AE72" s="34"/>
      <c r="AF72" s="34"/>
    </row>
    <row r="73" spans="1:32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Y73" s="34"/>
      <c r="Z73" s="34"/>
      <c r="AA73" s="34"/>
      <c r="AB73" s="34"/>
      <c r="AC73" s="34"/>
      <c r="AD73" s="34"/>
      <c r="AE73" s="34"/>
      <c r="AF73" s="34"/>
    </row>
    <row r="74" spans="1:32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Y74" s="34"/>
      <c r="Z74" s="34"/>
      <c r="AA74" s="34"/>
      <c r="AB74" s="34"/>
      <c r="AC74" s="34"/>
      <c r="AD74" s="34"/>
      <c r="AE74" s="34"/>
      <c r="AF74" s="34"/>
    </row>
    <row r="75" spans="1:32" x14ac:dyDescent="0.25">
      <c r="A75" s="34"/>
      <c r="B75" s="64"/>
      <c r="C75" s="64"/>
      <c r="D75" s="64"/>
      <c r="E75" s="64"/>
      <c r="F75" s="64"/>
      <c r="G75" s="34"/>
      <c r="H75" s="64"/>
      <c r="I75" s="65"/>
      <c r="J75" s="34"/>
      <c r="K75" s="34"/>
      <c r="Y75" s="34"/>
      <c r="Z75" s="34"/>
      <c r="AA75" s="34"/>
      <c r="AB75" s="34"/>
      <c r="AC75" s="34"/>
      <c r="AD75" s="34"/>
      <c r="AE75" s="34"/>
      <c r="AF75" s="34"/>
    </row>
    <row r="76" spans="1:32" x14ac:dyDescent="0.25">
      <c r="A76" s="44"/>
      <c r="B76" s="34"/>
      <c r="C76" s="34"/>
      <c r="D76" s="34"/>
      <c r="E76" s="34"/>
      <c r="F76" s="34"/>
      <c r="G76" s="34"/>
      <c r="H76" s="34"/>
      <c r="I76" s="34"/>
      <c r="J76" s="34"/>
      <c r="K76" s="34"/>
      <c r="Y76" s="34"/>
      <c r="Z76" s="34"/>
      <c r="AA76" s="34"/>
      <c r="AB76" s="34"/>
      <c r="AC76" s="34"/>
      <c r="AD76" s="34"/>
      <c r="AE76" s="34"/>
      <c r="AF76" s="34"/>
    </row>
    <row r="77" spans="1:32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Y77" s="34"/>
      <c r="Z77" s="34"/>
      <c r="AA77" s="34"/>
      <c r="AB77" s="34"/>
      <c r="AC77" s="34"/>
      <c r="AD77" s="34"/>
      <c r="AE77" s="34"/>
      <c r="AF77" s="34"/>
    </row>
    <row r="78" spans="1:32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Y78" s="34"/>
      <c r="Z78" s="34"/>
      <c r="AA78" s="34"/>
      <c r="AB78" s="34"/>
      <c r="AC78" s="34"/>
      <c r="AD78" s="34"/>
      <c r="AE78" s="34"/>
      <c r="AF78" s="34"/>
    </row>
    <row r="79" spans="1:32" x14ac:dyDescent="0.25">
      <c r="Y79" s="34"/>
      <c r="Z79" s="34"/>
      <c r="AA79" s="34"/>
      <c r="AB79" s="34"/>
      <c r="AC79" s="34"/>
      <c r="AD79" s="34"/>
      <c r="AE79" s="34"/>
      <c r="AF79" s="34"/>
    </row>
    <row r="80" spans="1:32" x14ac:dyDescent="0.25">
      <c r="Y80" s="34"/>
      <c r="Z80" s="34"/>
      <c r="AA80" s="34"/>
      <c r="AB80" s="34"/>
      <c r="AC80" s="34"/>
      <c r="AD80" s="34"/>
      <c r="AE80" s="34"/>
      <c r="AF80" s="34"/>
    </row>
    <row r="81" spans="25:32" x14ac:dyDescent="0.25">
      <c r="Y81" s="34"/>
      <c r="Z81" s="34"/>
      <c r="AA81" s="34"/>
      <c r="AB81" s="34"/>
      <c r="AC81" s="34"/>
      <c r="AD81" s="34"/>
      <c r="AE81" s="34"/>
      <c r="AF81" s="34"/>
    </row>
    <row r="82" spans="25:32" x14ac:dyDescent="0.25">
      <c r="Y82" s="34"/>
      <c r="Z82" s="34"/>
      <c r="AA82" s="34"/>
      <c r="AB82" s="34"/>
      <c r="AC82" s="34"/>
      <c r="AD82" s="34"/>
      <c r="AE82" s="34"/>
      <c r="AF82" s="34"/>
    </row>
    <row r="83" spans="25:32" x14ac:dyDescent="0.25">
      <c r="Y83" s="34"/>
      <c r="Z83" s="34"/>
      <c r="AA83" s="34"/>
      <c r="AB83" s="34"/>
      <c r="AC83" s="34"/>
      <c r="AD83" s="34"/>
      <c r="AE83" s="34"/>
      <c r="AF83" s="34"/>
    </row>
    <row r="84" spans="25:32" x14ac:dyDescent="0.25">
      <c r="Y84" s="34"/>
      <c r="Z84" s="34"/>
      <c r="AA84" s="34"/>
      <c r="AB84" s="34"/>
      <c r="AC84" s="34"/>
      <c r="AD84" s="34"/>
      <c r="AE84" s="34"/>
      <c r="AF84" s="34"/>
    </row>
    <row r="85" spans="25:32" x14ac:dyDescent="0.25">
      <c r="Y85" s="34"/>
      <c r="Z85" s="34"/>
      <c r="AA85" s="34"/>
      <c r="AB85" s="34"/>
      <c r="AC85" s="34"/>
      <c r="AD85" s="34"/>
      <c r="AE85" s="34"/>
      <c r="AF85" s="34"/>
    </row>
    <row r="86" spans="25:32" x14ac:dyDescent="0.25">
      <c r="Y86" s="34"/>
      <c r="Z86" s="34"/>
      <c r="AA86" s="34"/>
      <c r="AB86" s="34"/>
      <c r="AC86" s="34"/>
      <c r="AD86" s="34"/>
      <c r="AE86" s="34"/>
      <c r="AF86" s="34"/>
    </row>
    <row r="87" spans="25:32" x14ac:dyDescent="0.25">
      <c r="Y87" s="34"/>
      <c r="Z87" s="34"/>
      <c r="AA87" s="34"/>
      <c r="AB87" s="34"/>
      <c r="AC87" s="34"/>
      <c r="AD87" s="34"/>
      <c r="AE87" s="34"/>
      <c r="AF87" s="34"/>
    </row>
    <row r="88" spans="25:32" x14ac:dyDescent="0.25">
      <c r="Y88" s="34"/>
      <c r="Z88" s="34"/>
      <c r="AA88" s="34"/>
      <c r="AB88" s="34"/>
      <c r="AC88" s="34"/>
      <c r="AD88" s="34"/>
      <c r="AE88" s="34"/>
      <c r="AF88" s="34"/>
    </row>
    <row r="89" spans="25:32" x14ac:dyDescent="0.25">
      <c r="Y89" s="34"/>
      <c r="Z89" s="34"/>
      <c r="AA89" s="34"/>
      <c r="AB89" s="34"/>
      <c r="AC89" s="34"/>
      <c r="AD89" s="34"/>
      <c r="AE89" s="34"/>
      <c r="AF89" s="34"/>
    </row>
    <row r="90" spans="25:32" x14ac:dyDescent="0.25">
      <c r="Y90" s="34"/>
      <c r="Z90" s="34"/>
      <c r="AA90" s="34"/>
      <c r="AB90" s="34"/>
      <c r="AC90" s="34"/>
      <c r="AD90" s="34"/>
      <c r="AE90" s="34"/>
      <c r="AF90" s="34"/>
    </row>
    <row r="91" spans="25:32" x14ac:dyDescent="0.25">
      <c r="Y91" s="34"/>
      <c r="Z91" s="34"/>
      <c r="AA91" s="34"/>
      <c r="AB91" s="34"/>
      <c r="AC91" s="34"/>
      <c r="AD91" s="34"/>
      <c r="AE91" s="34"/>
      <c r="AF91" s="34"/>
    </row>
    <row r="92" spans="25:32" x14ac:dyDescent="0.25">
      <c r="Y92" s="34"/>
      <c r="Z92" s="34"/>
      <c r="AA92" s="34"/>
      <c r="AB92" s="34"/>
      <c r="AC92" s="34"/>
      <c r="AD92" s="34"/>
      <c r="AE92" s="34"/>
      <c r="AF92" s="34"/>
    </row>
    <row r="93" spans="25:32" x14ac:dyDescent="0.25">
      <c r="Y93" s="34"/>
      <c r="Z93" s="34"/>
      <c r="AA93" s="34"/>
      <c r="AB93" s="34"/>
      <c r="AC93" s="34"/>
      <c r="AD93" s="34"/>
      <c r="AE93" s="34"/>
      <c r="AF93" s="34"/>
    </row>
    <row r="94" spans="25:32" x14ac:dyDescent="0.25">
      <c r="Y94" s="34"/>
      <c r="Z94" s="34"/>
      <c r="AA94" s="34"/>
      <c r="AB94" s="34"/>
      <c r="AC94" s="34"/>
      <c r="AD94" s="34"/>
      <c r="AE94" s="34"/>
      <c r="AF94" s="34"/>
    </row>
    <row r="95" spans="25:32" x14ac:dyDescent="0.25">
      <c r="Y95" s="34"/>
      <c r="Z95" s="34"/>
      <c r="AA95" s="34"/>
      <c r="AB95" s="34"/>
      <c r="AC95" s="34"/>
      <c r="AD95" s="34"/>
      <c r="AE95" s="34"/>
      <c r="AF95" s="34"/>
    </row>
    <row r="96" spans="25:32" x14ac:dyDescent="0.25">
      <c r="Y96" s="34"/>
      <c r="Z96" s="34"/>
      <c r="AA96" s="34"/>
      <c r="AB96" s="34"/>
      <c r="AC96" s="34"/>
      <c r="AD96" s="34"/>
      <c r="AE96" s="34"/>
      <c r="AF96" s="34"/>
    </row>
    <row r="97" spans="2:32" x14ac:dyDescent="0.25">
      <c r="Y97" s="34"/>
      <c r="Z97" s="34"/>
      <c r="AA97" s="34"/>
      <c r="AB97" s="34"/>
      <c r="AC97" s="34"/>
      <c r="AD97" s="34"/>
      <c r="AE97" s="34"/>
      <c r="AF97" s="34"/>
    </row>
    <row r="98" spans="2:32" x14ac:dyDescent="0.25">
      <c r="B98" s="52"/>
      <c r="C98" s="52"/>
      <c r="D98" s="52"/>
      <c r="E98" s="52"/>
      <c r="F98" s="52"/>
      <c r="G98" s="52"/>
      <c r="H98" s="52"/>
      <c r="I98" s="66"/>
      <c r="Y98" s="34"/>
      <c r="Z98" s="34"/>
      <c r="AA98" s="34"/>
      <c r="AB98" s="34"/>
      <c r="AC98" s="34"/>
      <c r="AD98" s="34"/>
      <c r="AE98" s="34"/>
      <c r="AF98" s="34"/>
    </row>
    <row r="99" spans="2:32" x14ac:dyDescent="0.25">
      <c r="B99" s="52"/>
      <c r="C99" s="52"/>
      <c r="D99" s="52"/>
      <c r="E99" s="52"/>
      <c r="F99" s="52"/>
      <c r="G99" s="52"/>
      <c r="H99" s="52"/>
      <c r="I99" s="66"/>
      <c r="M99" s="40"/>
      <c r="N99" s="40"/>
      <c r="O99" s="40"/>
      <c r="Y99" s="34"/>
      <c r="Z99" s="34"/>
      <c r="AA99" s="34"/>
      <c r="AB99" s="34"/>
      <c r="AC99" s="34"/>
      <c r="AD99" s="34"/>
      <c r="AE99" s="34"/>
      <c r="AF99" s="34"/>
    </row>
    <row r="100" spans="2:32" x14ac:dyDescent="0.25">
      <c r="B100" s="52"/>
      <c r="C100" s="52"/>
      <c r="D100" s="52"/>
      <c r="E100" s="52"/>
      <c r="F100" s="52"/>
      <c r="G100" s="52"/>
      <c r="H100" s="52"/>
      <c r="I100" s="66"/>
      <c r="M100" s="40"/>
      <c r="N100" s="40"/>
      <c r="O100" s="40"/>
      <c r="Y100" s="34"/>
      <c r="Z100" s="34"/>
      <c r="AA100" s="34"/>
      <c r="AB100" s="34"/>
      <c r="AC100" s="34"/>
      <c r="AD100" s="34"/>
      <c r="AE100" s="34"/>
      <c r="AF100" s="34"/>
    </row>
    <row r="101" spans="2:32" x14ac:dyDescent="0.25">
      <c r="B101" s="52"/>
      <c r="C101" s="52"/>
      <c r="D101" s="52"/>
      <c r="E101" s="52"/>
      <c r="F101" s="52"/>
      <c r="G101" s="52"/>
      <c r="H101" s="52"/>
      <c r="I101" s="66"/>
      <c r="M101" s="40"/>
      <c r="N101" s="40"/>
      <c r="O101" s="40"/>
      <c r="Y101" s="34"/>
      <c r="Z101" s="34"/>
      <c r="AA101" s="34"/>
      <c r="AB101" s="34"/>
      <c r="AC101" s="34"/>
      <c r="AD101" s="34"/>
      <c r="AE101" s="34"/>
      <c r="AF101" s="34"/>
    </row>
    <row r="102" spans="2:32" x14ac:dyDescent="0.25">
      <c r="B102" s="52"/>
      <c r="C102" s="52"/>
      <c r="D102" s="52"/>
      <c r="E102" s="52"/>
      <c r="F102" s="52"/>
      <c r="G102" s="52"/>
      <c r="H102" s="52"/>
      <c r="I102" s="66"/>
      <c r="M102" s="40"/>
      <c r="N102" s="40"/>
      <c r="O102" s="40"/>
      <c r="Y102" s="34"/>
      <c r="Z102" s="34"/>
      <c r="AA102" s="34"/>
      <c r="AB102" s="34"/>
      <c r="AC102" s="34"/>
      <c r="AD102" s="34"/>
      <c r="AE102" s="34"/>
      <c r="AF102" s="34"/>
    </row>
    <row r="103" spans="2:32" x14ac:dyDescent="0.25">
      <c r="B103" s="52"/>
      <c r="C103" s="52"/>
      <c r="D103" s="52"/>
      <c r="E103" s="52"/>
      <c r="F103" s="52"/>
      <c r="G103" s="52"/>
      <c r="H103" s="52"/>
      <c r="I103" s="66"/>
      <c r="M103" s="40"/>
      <c r="N103" s="40"/>
      <c r="O103" s="40"/>
      <c r="Y103" s="34"/>
      <c r="Z103" s="34"/>
      <c r="AA103" s="34"/>
      <c r="AB103" s="34"/>
      <c r="AC103" s="34"/>
      <c r="AD103" s="34"/>
      <c r="AE103" s="34"/>
      <c r="AF103" s="34"/>
    </row>
    <row r="104" spans="2:32" x14ac:dyDescent="0.25">
      <c r="B104" s="52"/>
      <c r="C104" s="52"/>
      <c r="D104" s="52"/>
      <c r="E104" s="52"/>
      <c r="F104" s="52"/>
      <c r="G104" s="52"/>
      <c r="H104" s="52"/>
      <c r="I104" s="66"/>
      <c r="M104" s="40"/>
      <c r="N104" s="40"/>
      <c r="O104" s="40"/>
      <c r="Y104" s="34"/>
      <c r="Z104" s="34"/>
      <c r="AA104" s="34"/>
      <c r="AB104" s="34"/>
      <c r="AC104" s="34"/>
      <c r="AD104" s="34"/>
      <c r="AE104" s="34"/>
      <c r="AF104" s="34"/>
    </row>
    <row r="105" spans="2:32" x14ac:dyDescent="0.25">
      <c r="B105" s="52"/>
      <c r="C105" s="52"/>
      <c r="D105" s="52"/>
      <c r="E105" s="52"/>
      <c r="F105" s="52"/>
      <c r="G105" s="52"/>
      <c r="H105" s="52"/>
      <c r="I105" s="66"/>
      <c r="M105" s="40"/>
      <c r="N105" s="40"/>
      <c r="O105" s="40"/>
      <c r="Y105" s="34"/>
      <c r="Z105" s="34"/>
      <c r="AA105" s="34"/>
      <c r="AB105" s="34"/>
      <c r="AC105" s="34"/>
      <c r="AD105" s="34"/>
      <c r="AE105" s="34"/>
      <c r="AF105" s="34"/>
    </row>
    <row r="106" spans="2:32" x14ac:dyDescent="0.25">
      <c r="B106" s="52"/>
      <c r="C106" s="52"/>
      <c r="D106" s="52"/>
      <c r="E106" s="52"/>
      <c r="F106" s="52"/>
      <c r="G106" s="52"/>
      <c r="H106" s="52"/>
      <c r="I106" s="66"/>
      <c r="M106" s="40"/>
      <c r="N106" s="40"/>
      <c r="O106" s="40"/>
      <c r="Y106" s="34"/>
      <c r="Z106" s="34"/>
      <c r="AA106" s="34"/>
      <c r="AB106" s="34"/>
      <c r="AC106" s="34"/>
      <c r="AD106" s="34"/>
      <c r="AE106" s="34"/>
      <c r="AF106" s="34"/>
    </row>
    <row r="107" spans="2:32" x14ac:dyDescent="0.25">
      <c r="B107" s="52"/>
      <c r="C107" s="52"/>
      <c r="D107" s="52"/>
      <c r="E107" s="52"/>
      <c r="F107" s="52"/>
      <c r="G107" s="52"/>
      <c r="H107" s="52"/>
      <c r="I107" s="66"/>
      <c r="M107" s="40"/>
      <c r="N107" s="40"/>
      <c r="O107" s="40"/>
      <c r="Y107" s="34"/>
      <c r="Z107" s="34"/>
      <c r="AA107" s="34"/>
      <c r="AB107" s="34"/>
      <c r="AC107" s="34"/>
      <c r="AD107" s="34"/>
      <c r="AE107" s="34"/>
      <c r="AF107" s="34"/>
    </row>
    <row r="108" spans="2:32" x14ac:dyDescent="0.25">
      <c r="B108" s="52"/>
      <c r="C108" s="52"/>
      <c r="D108" s="52"/>
      <c r="E108" s="52"/>
      <c r="F108" s="52"/>
      <c r="G108" s="52"/>
      <c r="H108" s="52"/>
      <c r="I108" s="66"/>
      <c r="M108" s="40"/>
      <c r="N108" s="40"/>
      <c r="O108" s="40"/>
      <c r="Y108" s="34"/>
      <c r="Z108" s="34"/>
      <c r="AA108" s="34"/>
      <c r="AB108" s="34"/>
      <c r="AC108" s="34"/>
      <c r="AD108" s="34"/>
      <c r="AE108" s="34"/>
      <c r="AF108" s="34"/>
    </row>
    <row r="109" spans="2:32" x14ac:dyDescent="0.25">
      <c r="B109" s="52"/>
      <c r="C109" s="52"/>
      <c r="D109" s="52"/>
      <c r="E109" s="52"/>
      <c r="F109" s="52"/>
      <c r="G109" s="52"/>
      <c r="H109" s="52"/>
      <c r="I109" s="66"/>
      <c r="M109" s="40"/>
      <c r="N109" s="40"/>
      <c r="O109" s="40"/>
      <c r="Y109" s="34"/>
      <c r="Z109" s="34"/>
      <c r="AA109" s="34"/>
      <c r="AB109" s="34"/>
      <c r="AC109" s="34"/>
      <c r="AD109" s="34"/>
      <c r="AE109" s="34"/>
      <c r="AF109" s="34"/>
    </row>
    <row r="110" spans="2:32" x14ac:dyDescent="0.25">
      <c r="B110" s="52"/>
      <c r="C110" s="52"/>
      <c r="D110" s="52"/>
      <c r="E110" s="52"/>
      <c r="F110" s="52"/>
      <c r="G110" s="52"/>
      <c r="H110" s="52"/>
      <c r="I110" s="66"/>
      <c r="M110" s="40"/>
      <c r="N110" s="40"/>
      <c r="O110" s="40"/>
      <c r="Y110" s="34"/>
      <c r="Z110" s="34"/>
      <c r="AA110" s="34"/>
      <c r="AB110" s="34"/>
      <c r="AC110" s="34"/>
      <c r="AD110" s="34"/>
      <c r="AE110" s="34"/>
      <c r="AF110" s="34"/>
    </row>
    <row r="111" spans="2:32" x14ac:dyDescent="0.25">
      <c r="B111" s="52"/>
      <c r="C111" s="52"/>
      <c r="D111" s="52"/>
      <c r="E111" s="52"/>
      <c r="F111" s="52"/>
      <c r="G111" s="52"/>
      <c r="H111" s="52"/>
      <c r="I111" s="66"/>
      <c r="M111" s="40"/>
      <c r="N111" s="40"/>
      <c r="O111" s="40"/>
      <c r="Y111" s="34"/>
      <c r="Z111" s="34"/>
      <c r="AA111" s="34"/>
      <c r="AB111" s="34"/>
      <c r="AC111" s="34"/>
      <c r="AD111" s="34"/>
      <c r="AE111" s="34"/>
      <c r="AF111" s="34"/>
    </row>
    <row r="112" spans="2:32" x14ac:dyDescent="0.25">
      <c r="B112" s="52"/>
      <c r="C112" s="52"/>
      <c r="D112" s="52"/>
      <c r="E112" s="52"/>
      <c r="F112" s="52"/>
      <c r="G112" s="52"/>
      <c r="H112" s="52"/>
      <c r="I112" s="66"/>
      <c r="M112" s="40"/>
      <c r="N112" s="40"/>
      <c r="O112" s="40"/>
      <c r="Y112" s="34"/>
      <c r="Z112" s="34"/>
      <c r="AA112" s="34"/>
      <c r="AB112" s="34"/>
      <c r="AC112" s="34"/>
      <c r="AD112" s="34"/>
      <c r="AE112" s="34"/>
      <c r="AF112" s="34"/>
    </row>
    <row r="113" spans="13:32" x14ac:dyDescent="0.25">
      <c r="M113" s="40"/>
      <c r="N113" s="40"/>
      <c r="O113" s="40"/>
      <c r="Y113" s="34"/>
      <c r="Z113" s="34"/>
      <c r="AA113" s="34"/>
      <c r="AB113" s="34"/>
      <c r="AC113" s="34"/>
      <c r="AD113" s="34"/>
      <c r="AE113" s="34"/>
      <c r="AF113" s="34"/>
    </row>
    <row r="114" spans="13:32" x14ac:dyDescent="0.25">
      <c r="M114" s="40"/>
      <c r="N114" s="40"/>
      <c r="O114" s="40"/>
      <c r="Y114" s="34"/>
      <c r="Z114" s="34"/>
      <c r="AA114" s="34"/>
      <c r="AB114" s="34"/>
      <c r="AC114" s="34"/>
      <c r="AD114" s="34"/>
      <c r="AE114" s="34"/>
      <c r="AF114" s="34"/>
    </row>
    <row r="115" spans="13:32" x14ac:dyDescent="0.25">
      <c r="M115" s="40"/>
      <c r="N115" s="40"/>
      <c r="O115" s="40"/>
      <c r="Y115" s="34"/>
      <c r="Z115" s="34"/>
      <c r="AA115" s="34"/>
      <c r="AB115" s="34"/>
      <c r="AC115" s="34"/>
      <c r="AD115" s="34"/>
      <c r="AE115" s="34"/>
      <c r="AF115" s="34"/>
    </row>
    <row r="116" spans="13:32" x14ac:dyDescent="0.25">
      <c r="M116" s="40"/>
      <c r="N116" s="40"/>
      <c r="O116" s="40"/>
      <c r="Y116" s="34"/>
      <c r="Z116" s="34"/>
      <c r="AA116" s="34"/>
      <c r="AB116" s="34"/>
      <c r="AC116" s="34"/>
      <c r="AD116" s="34"/>
      <c r="AE116" s="34"/>
      <c r="AF116" s="34"/>
    </row>
    <row r="117" spans="13:32" x14ac:dyDescent="0.25">
      <c r="M117" s="40"/>
      <c r="N117" s="40"/>
      <c r="O117" s="40"/>
      <c r="Y117" s="34"/>
      <c r="Z117" s="34"/>
      <c r="AA117" s="34"/>
      <c r="AB117" s="34"/>
      <c r="AC117" s="34"/>
      <c r="AD117" s="34"/>
      <c r="AE117" s="34"/>
      <c r="AF117" s="34"/>
    </row>
    <row r="118" spans="13:32" x14ac:dyDescent="0.25">
      <c r="M118" s="40"/>
      <c r="N118" s="40"/>
      <c r="O118" s="40"/>
      <c r="Y118" s="34"/>
      <c r="Z118" s="34"/>
      <c r="AA118" s="34"/>
      <c r="AB118" s="34"/>
      <c r="AC118" s="34"/>
      <c r="AD118" s="34"/>
      <c r="AE118" s="34"/>
      <c r="AF118" s="34"/>
    </row>
    <row r="119" spans="13:32" x14ac:dyDescent="0.25">
      <c r="M119" s="40"/>
      <c r="N119" s="40"/>
      <c r="O119" s="40"/>
      <c r="Y119" s="34"/>
      <c r="Z119" s="34"/>
      <c r="AA119" s="34"/>
      <c r="AB119" s="34"/>
      <c r="AC119" s="34"/>
      <c r="AD119" s="34"/>
      <c r="AE119" s="34"/>
      <c r="AF119" s="34"/>
    </row>
    <row r="120" spans="13:32" x14ac:dyDescent="0.25">
      <c r="M120" s="40"/>
      <c r="N120" s="40"/>
      <c r="O120" s="40"/>
      <c r="Y120" s="34"/>
      <c r="Z120" s="34"/>
      <c r="AA120" s="34"/>
      <c r="AB120" s="34"/>
      <c r="AC120" s="34"/>
      <c r="AD120" s="34"/>
      <c r="AE120" s="34"/>
      <c r="AF120" s="34"/>
    </row>
    <row r="121" spans="13:32" x14ac:dyDescent="0.25">
      <c r="M121" s="40"/>
      <c r="N121" s="40"/>
      <c r="O121" s="40"/>
      <c r="Y121" s="34"/>
      <c r="Z121" s="34"/>
      <c r="AA121" s="34"/>
      <c r="AB121" s="34"/>
      <c r="AC121" s="34"/>
      <c r="AD121" s="34"/>
      <c r="AE121" s="34"/>
      <c r="AF121" s="34"/>
    </row>
    <row r="122" spans="13:32" x14ac:dyDescent="0.25">
      <c r="M122" s="40"/>
      <c r="N122" s="40"/>
      <c r="O122" s="40"/>
      <c r="Y122" s="34"/>
      <c r="Z122" s="34"/>
      <c r="AA122" s="34"/>
      <c r="AB122" s="34"/>
      <c r="AC122" s="34"/>
      <c r="AD122" s="34"/>
      <c r="AE122" s="34"/>
      <c r="AF122" s="34"/>
    </row>
    <row r="123" spans="13:32" x14ac:dyDescent="0.25">
      <c r="M123" s="40"/>
      <c r="N123" s="40"/>
      <c r="O123" s="40"/>
      <c r="Y123" s="34"/>
      <c r="Z123" s="34"/>
      <c r="AA123" s="34"/>
      <c r="AB123" s="34"/>
      <c r="AC123" s="34"/>
      <c r="AD123" s="34"/>
      <c r="AE123" s="34"/>
      <c r="AF123" s="34"/>
    </row>
    <row r="124" spans="13:32" x14ac:dyDescent="0.25">
      <c r="M124" s="40"/>
      <c r="N124" s="40"/>
      <c r="O124" s="40"/>
      <c r="Y124" s="34"/>
      <c r="Z124" s="34"/>
      <c r="AA124" s="34"/>
      <c r="AB124" s="34"/>
      <c r="AC124" s="34"/>
      <c r="AD124" s="34"/>
      <c r="AE124" s="34"/>
      <c r="AF124" s="34"/>
    </row>
    <row r="125" spans="13:32" x14ac:dyDescent="0.25">
      <c r="M125" s="40"/>
      <c r="N125" s="40"/>
      <c r="O125" s="40"/>
      <c r="Y125" s="34"/>
      <c r="Z125" s="34"/>
      <c r="AA125" s="34"/>
      <c r="AB125" s="34"/>
      <c r="AC125" s="34"/>
      <c r="AD125" s="34"/>
      <c r="AE125" s="34"/>
      <c r="AF125" s="34"/>
    </row>
    <row r="126" spans="13:32" x14ac:dyDescent="0.25">
      <c r="M126" s="40"/>
      <c r="N126" s="40"/>
      <c r="O126" s="40"/>
      <c r="Y126" s="34"/>
      <c r="Z126" s="34"/>
      <c r="AA126" s="34"/>
      <c r="AB126" s="34"/>
      <c r="AC126" s="34"/>
      <c r="AD126" s="34"/>
      <c r="AE126" s="34"/>
      <c r="AF126" s="34"/>
    </row>
    <row r="127" spans="13:32" x14ac:dyDescent="0.25">
      <c r="M127" s="40"/>
      <c r="N127" s="40"/>
      <c r="O127" s="40"/>
      <c r="Y127" s="34"/>
      <c r="Z127" s="34"/>
      <c r="AA127" s="34"/>
      <c r="AB127" s="34"/>
      <c r="AC127" s="34"/>
      <c r="AD127" s="34"/>
      <c r="AE127" s="34"/>
      <c r="AF127" s="34"/>
    </row>
    <row r="128" spans="13:32" x14ac:dyDescent="0.25">
      <c r="M128" s="40"/>
      <c r="N128" s="40"/>
      <c r="O128" s="40"/>
      <c r="Y128" s="34"/>
      <c r="Z128" s="34"/>
      <c r="AA128" s="34"/>
      <c r="AB128" s="34"/>
      <c r="AC128" s="34"/>
      <c r="AD128" s="34"/>
      <c r="AE128" s="34"/>
      <c r="AF128" s="34"/>
    </row>
    <row r="129" spans="13:32" x14ac:dyDescent="0.25">
      <c r="M129" s="40"/>
      <c r="N129" s="40"/>
      <c r="O129" s="40"/>
      <c r="Y129" s="34"/>
      <c r="Z129" s="34"/>
      <c r="AA129" s="34"/>
      <c r="AB129" s="34"/>
      <c r="AC129" s="34"/>
      <c r="AD129" s="34"/>
      <c r="AE129" s="34"/>
      <c r="AF129" s="34"/>
    </row>
    <row r="130" spans="13:32" x14ac:dyDescent="0.25">
      <c r="M130" s="40"/>
      <c r="N130" s="40"/>
      <c r="O130" s="40"/>
      <c r="Y130" s="34"/>
      <c r="Z130" s="34"/>
      <c r="AA130" s="34"/>
      <c r="AB130" s="34"/>
      <c r="AC130" s="34"/>
      <c r="AD130" s="34"/>
      <c r="AE130" s="34"/>
      <c r="AF130" s="34"/>
    </row>
    <row r="131" spans="13:32" x14ac:dyDescent="0.25">
      <c r="M131" s="40"/>
      <c r="N131" s="40"/>
      <c r="O131" s="40"/>
      <c r="Y131" s="34"/>
      <c r="Z131" s="34"/>
      <c r="AA131" s="34"/>
      <c r="AB131" s="34"/>
      <c r="AC131" s="34"/>
      <c r="AD131" s="34"/>
      <c r="AE131" s="34"/>
      <c r="AF131" s="34"/>
    </row>
    <row r="132" spans="13:32" x14ac:dyDescent="0.25">
      <c r="M132" s="40"/>
      <c r="N132" s="40"/>
      <c r="O132" s="40"/>
      <c r="Y132" s="34"/>
      <c r="Z132" s="34"/>
      <c r="AA132" s="34"/>
      <c r="AB132" s="34"/>
      <c r="AC132" s="34"/>
      <c r="AD132" s="34"/>
      <c r="AE132" s="34"/>
      <c r="AF132" s="34"/>
    </row>
    <row r="133" spans="13:32" x14ac:dyDescent="0.25">
      <c r="M133" s="40"/>
      <c r="N133" s="40"/>
      <c r="O133" s="40"/>
      <c r="Y133" s="34"/>
      <c r="Z133" s="34"/>
      <c r="AA133" s="34"/>
      <c r="AB133" s="34"/>
      <c r="AC133" s="34"/>
      <c r="AD133" s="34"/>
      <c r="AE133" s="34"/>
      <c r="AF133" s="34"/>
    </row>
    <row r="134" spans="13:32" x14ac:dyDescent="0.25">
      <c r="M134" s="40"/>
      <c r="N134" s="40"/>
      <c r="O134" s="40"/>
      <c r="Y134" s="34"/>
      <c r="Z134" s="34"/>
      <c r="AA134" s="34"/>
      <c r="AB134" s="34"/>
      <c r="AC134" s="34"/>
      <c r="AD134" s="34"/>
      <c r="AE134" s="34"/>
      <c r="AF134" s="34"/>
    </row>
    <row r="135" spans="13:32" x14ac:dyDescent="0.25">
      <c r="M135" s="40"/>
      <c r="N135" s="40"/>
      <c r="O135" s="40"/>
      <c r="Y135" s="34"/>
      <c r="Z135" s="34"/>
      <c r="AA135" s="34"/>
      <c r="AB135" s="34"/>
      <c r="AC135" s="34"/>
      <c r="AD135" s="34"/>
      <c r="AE135" s="34"/>
      <c r="AF135" s="34"/>
    </row>
    <row r="136" spans="13:32" x14ac:dyDescent="0.25">
      <c r="Y136" s="34"/>
      <c r="Z136" s="34"/>
      <c r="AA136" s="34"/>
      <c r="AB136" s="34"/>
      <c r="AC136" s="34"/>
      <c r="AD136" s="34"/>
      <c r="AE136" s="34"/>
      <c r="AF136" s="34"/>
    </row>
    <row r="137" spans="13:32" x14ac:dyDescent="0.25">
      <c r="Y137" s="34"/>
      <c r="Z137" s="34"/>
      <c r="AA137" s="34"/>
      <c r="AB137" s="34"/>
      <c r="AC137" s="34"/>
      <c r="AD137" s="34"/>
      <c r="AE137" s="34"/>
      <c r="AF137" s="34"/>
    </row>
    <row r="138" spans="13:32" x14ac:dyDescent="0.25">
      <c r="Y138" s="34"/>
      <c r="Z138" s="34"/>
      <c r="AA138" s="34"/>
      <c r="AB138" s="34"/>
      <c r="AC138" s="34"/>
      <c r="AD138" s="34"/>
      <c r="AE138" s="34"/>
      <c r="AF138" s="34"/>
    </row>
    <row r="139" spans="13:32" x14ac:dyDescent="0.25">
      <c r="Y139" s="34"/>
      <c r="Z139" s="34"/>
      <c r="AA139" s="34"/>
      <c r="AB139" s="34"/>
      <c r="AC139" s="34"/>
      <c r="AD139" s="34"/>
      <c r="AE139" s="34"/>
      <c r="AF139" s="34"/>
    </row>
    <row r="140" spans="13:32" x14ac:dyDescent="0.25">
      <c r="Y140" s="34"/>
      <c r="Z140" s="34"/>
      <c r="AA140" s="34"/>
      <c r="AB140" s="34"/>
      <c r="AC140" s="34"/>
      <c r="AD140" s="34"/>
      <c r="AE140" s="34"/>
      <c r="AF140" s="34"/>
    </row>
    <row r="141" spans="13:32" x14ac:dyDescent="0.25">
      <c r="Y141" s="34"/>
      <c r="Z141" s="34"/>
      <c r="AA141" s="34"/>
      <c r="AB141" s="34"/>
      <c r="AC141" s="34"/>
      <c r="AD141" s="34"/>
      <c r="AE141" s="34"/>
      <c r="AF141" s="34"/>
    </row>
    <row r="142" spans="13:32" x14ac:dyDescent="0.25">
      <c r="Y142" s="34"/>
      <c r="Z142" s="34"/>
      <c r="AA142" s="34"/>
      <c r="AB142" s="34"/>
      <c r="AC142" s="34"/>
      <c r="AD142" s="34"/>
      <c r="AE142" s="34"/>
      <c r="AF142" s="34"/>
    </row>
    <row r="143" spans="13:32" x14ac:dyDescent="0.25">
      <c r="Y143" s="34"/>
      <c r="Z143" s="34"/>
      <c r="AA143" s="34"/>
      <c r="AB143" s="34"/>
      <c r="AC143" s="34"/>
      <c r="AD143" s="34"/>
      <c r="AE143" s="34"/>
      <c r="AF143" s="34"/>
    </row>
    <row r="144" spans="13:32" x14ac:dyDescent="0.25">
      <c r="Y144" s="34"/>
      <c r="Z144" s="34"/>
      <c r="AA144" s="34"/>
      <c r="AB144" s="34"/>
      <c r="AC144" s="34"/>
      <c r="AD144" s="34"/>
      <c r="AE144" s="34"/>
      <c r="AF144" s="34"/>
    </row>
    <row r="145" spans="25:32" x14ac:dyDescent="0.25">
      <c r="Y145" s="34"/>
      <c r="Z145" s="34"/>
      <c r="AA145" s="34"/>
      <c r="AB145" s="34"/>
      <c r="AC145" s="34"/>
      <c r="AD145" s="34"/>
      <c r="AE145" s="34"/>
      <c r="AF145" s="34"/>
    </row>
    <row r="146" spans="25:32" x14ac:dyDescent="0.25">
      <c r="Y146" s="34"/>
      <c r="Z146" s="34"/>
      <c r="AA146" s="34"/>
      <c r="AB146" s="34"/>
      <c r="AC146" s="34"/>
      <c r="AD146" s="34"/>
      <c r="AE146" s="34"/>
      <c r="AF146" s="34"/>
    </row>
    <row r="147" spans="25:32" x14ac:dyDescent="0.25">
      <c r="Y147" s="34"/>
      <c r="Z147" s="34"/>
      <c r="AA147" s="34"/>
      <c r="AB147" s="34"/>
      <c r="AC147" s="34"/>
      <c r="AD147" s="34"/>
      <c r="AE147" s="34"/>
      <c r="AF147" s="34"/>
    </row>
    <row r="148" spans="25:32" x14ac:dyDescent="0.25">
      <c r="Y148" s="34"/>
      <c r="Z148" s="34"/>
      <c r="AA148" s="34"/>
      <c r="AB148" s="34"/>
      <c r="AC148" s="34"/>
      <c r="AD148" s="34"/>
      <c r="AE148" s="34"/>
      <c r="AF148" s="34"/>
    </row>
    <row r="149" spans="25:32" x14ac:dyDescent="0.25">
      <c r="Y149" s="34"/>
      <c r="Z149" s="34"/>
      <c r="AA149" s="34"/>
      <c r="AB149" s="34"/>
      <c r="AC149" s="34"/>
      <c r="AD149" s="34"/>
      <c r="AE149" s="34"/>
      <c r="AF149" s="34"/>
    </row>
    <row r="150" spans="25:32" x14ac:dyDescent="0.25">
      <c r="Y150" s="34"/>
      <c r="Z150" s="34"/>
      <c r="AA150" s="34"/>
      <c r="AB150" s="34"/>
      <c r="AC150" s="34"/>
      <c r="AD150" s="34"/>
      <c r="AE150" s="34"/>
      <c r="AF150" s="34"/>
    </row>
    <row r="151" spans="25:32" x14ac:dyDescent="0.25">
      <c r="Y151" s="34"/>
      <c r="Z151" s="34"/>
      <c r="AA151" s="34"/>
      <c r="AB151" s="34"/>
      <c r="AC151" s="34"/>
      <c r="AD151" s="34"/>
      <c r="AE151" s="34"/>
      <c r="AF151" s="34"/>
    </row>
    <row r="152" spans="25:32" x14ac:dyDescent="0.25">
      <c r="Y152" s="34"/>
      <c r="Z152" s="34"/>
      <c r="AA152" s="34"/>
      <c r="AB152" s="34"/>
      <c r="AC152" s="34"/>
      <c r="AD152" s="34"/>
      <c r="AE152" s="34"/>
      <c r="AF152" s="34"/>
    </row>
    <row r="153" spans="25:32" x14ac:dyDescent="0.25">
      <c r="Y153" s="34"/>
      <c r="Z153" s="34"/>
      <c r="AA153" s="34"/>
      <c r="AB153" s="34"/>
      <c r="AC153" s="34"/>
      <c r="AD153" s="34"/>
      <c r="AE153" s="34"/>
      <c r="AF153" s="34"/>
    </row>
    <row r="154" spans="25:32" x14ac:dyDescent="0.25">
      <c r="Y154" s="34"/>
      <c r="Z154" s="34"/>
      <c r="AA154" s="34"/>
      <c r="AB154" s="34"/>
      <c r="AC154" s="34"/>
      <c r="AD154" s="34"/>
      <c r="AE154" s="34"/>
      <c r="AF154" s="34"/>
    </row>
    <row r="155" spans="25:32" x14ac:dyDescent="0.25">
      <c r="Y155" s="34"/>
      <c r="Z155" s="34"/>
      <c r="AA155" s="34"/>
      <c r="AB155" s="34"/>
      <c r="AC155" s="34"/>
      <c r="AD155" s="34"/>
      <c r="AE155" s="34"/>
      <c r="AF155" s="34"/>
    </row>
    <row r="156" spans="25:32" x14ac:dyDescent="0.25">
      <c r="Y156" s="34"/>
      <c r="Z156" s="34"/>
      <c r="AA156" s="34"/>
      <c r="AB156" s="34"/>
      <c r="AC156" s="34"/>
      <c r="AD156" s="34"/>
      <c r="AE156" s="34"/>
      <c r="AF156" s="34"/>
    </row>
    <row r="157" spans="25:32" x14ac:dyDescent="0.25">
      <c r="Y157" s="34"/>
      <c r="Z157" s="34"/>
      <c r="AA157" s="34"/>
      <c r="AB157" s="34"/>
      <c r="AC157" s="34"/>
      <c r="AD157" s="34"/>
      <c r="AE157" s="34"/>
      <c r="AF157" s="34"/>
    </row>
    <row r="158" spans="25:32" x14ac:dyDescent="0.25">
      <c r="Y158" s="34"/>
      <c r="Z158" s="34"/>
      <c r="AA158" s="34"/>
      <c r="AB158" s="34"/>
      <c r="AC158" s="34"/>
      <c r="AD158" s="34"/>
      <c r="AE158" s="34"/>
      <c r="AF158" s="34"/>
    </row>
    <row r="159" spans="25:32" x14ac:dyDescent="0.25">
      <c r="Y159" s="34"/>
      <c r="Z159" s="34"/>
      <c r="AA159" s="34"/>
      <c r="AB159" s="34"/>
      <c r="AC159" s="34"/>
      <c r="AD159" s="34"/>
      <c r="AE159" s="34"/>
      <c r="AF159" s="34"/>
    </row>
    <row r="160" spans="25:32" x14ac:dyDescent="0.25">
      <c r="Y160" s="34"/>
      <c r="Z160" s="34"/>
      <c r="AA160" s="34"/>
      <c r="AB160" s="34"/>
      <c r="AC160" s="34"/>
      <c r="AD160" s="34"/>
      <c r="AE160" s="34"/>
      <c r="AF160" s="34"/>
    </row>
    <row r="161" spans="1:32" x14ac:dyDescent="0.25">
      <c r="Y161" s="34"/>
      <c r="Z161" s="34"/>
      <c r="AA161" s="34"/>
      <c r="AB161" s="34"/>
      <c r="AC161" s="34"/>
      <c r="AD161" s="34"/>
      <c r="AE161" s="34"/>
      <c r="AF161" s="34"/>
    </row>
    <row r="162" spans="1:32" x14ac:dyDescent="0.25">
      <c r="Y162" s="34"/>
      <c r="Z162" s="34"/>
      <c r="AA162" s="34"/>
      <c r="AB162" s="34"/>
      <c r="AC162" s="34"/>
      <c r="AD162" s="34"/>
      <c r="AE162" s="34"/>
      <c r="AF162" s="34"/>
    </row>
    <row r="163" spans="1:32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Y163" s="34"/>
      <c r="Z163" s="34"/>
      <c r="AA163" s="34"/>
      <c r="AB163" s="34"/>
      <c r="AC163" s="34"/>
      <c r="AD163" s="34"/>
      <c r="AE163" s="34"/>
      <c r="AF163" s="34"/>
    </row>
    <row r="164" spans="1:32" x14ac:dyDescent="0.25">
      <c r="A164" s="4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Y164" s="34"/>
      <c r="Z164" s="34"/>
      <c r="AA164" s="34"/>
      <c r="AB164" s="34"/>
      <c r="AC164" s="34"/>
      <c r="AD164" s="34"/>
      <c r="AE164" s="34"/>
      <c r="AF164" s="34"/>
    </row>
    <row r="165" spans="1:32" x14ac:dyDescent="0.25">
      <c r="A165" s="34"/>
      <c r="B165" s="34"/>
      <c r="C165" s="67"/>
      <c r="D165" s="67"/>
      <c r="E165" s="67"/>
      <c r="F165" s="67"/>
      <c r="G165" s="67"/>
      <c r="H165" s="34"/>
      <c r="I165" s="34"/>
      <c r="J165" s="34"/>
      <c r="K165" s="34"/>
      <c r="L165" s="34"/>
      <c r="Y165" s="34"/>
      <c r="Z165" s="34"/>
      <c r="AA165" s="34"/>
      <c r="AB165" s="34"/>
      <c r="AC165" s="34"/>
      <c r="AD165" s="34"/>
      <c r="AE165" s="34"/>
      <c r="AF165" s="34"/>
    </row>
    <row r="166" spans="1:32" x14ac:dyDescent="0.25">
      <c r="A166" s="34"/>
      <c r="B166" s="34"/>
      <c r="C166" s="68"/>
      <c r="D166" s="69"/>
      <c r="E166" s="69"/>
      <c r="F166" s="69"/>
      <c r="G166" s="68"/>
      <c r="H166" s="34"/>
      <c r="I166" s="34"/>
      <c r="J166" s="34"/>
      <c r="K166" s="34"/>
      <c r="L166" s="34"/>
      <c r="Y166" s="34"/>
      <c r="Z166" s="34"/>
      <c r="AA166" s="34"/>
      <c r="AB166" s="34"/>
      <c r="AC166" s="34"/>
      <c r="AD166" s="34"/>
      <c r="AE166" s="34"/>
      <c r="AF166" s="34"/>
    </row>
    <row r="167" spans="1:32" x14ac:dyDescent="0.25">
      <c r="A167" s="34"/>
      <c r="B167" s="34"/>
      <c r="C167" s="68"/>
      <c r="D167" s="68"/>
      <c r="E167" s="68"/>
      <c r="F167" s="68"/>
      <c r="G167" s="68"/>
      <c r="H167" s="34"/>
      <c r="I167" s="34"/>
      <c r="J167" s="34"/>
      <c r="K167" s="34"/>
      <c r="L167" s="34"/>
      <c r="Y167" s="34"/>
      <c r="Z167" s="34"/>
      <c r="AA167" s="34"/>
      <c r="AB167" s="34"/>
      <c r="AC167" s="34"/>
      <c r="AD167" s="34"/>
      <c r="AE167" s="34"/>
      <c r="AF167" s="34"/>
    </row>
    <row r="168" spans="1:32" x14ac:dyDescent="0.25">
      <c r="A168" s="34"/>
      <c r="B168" s="70"/>
      <c r="C168" s="70"/>
      <c r="D168" s="70"/>
      <c r="E168" s="70"/>
      <c r="F168" s="68"/>
      <c r="G168" s="68"/>
      <c r="H168" s="64"/>
      <c r="I168" s="34"/>
      <c r="J168" s="34"/>
      <c r="K168" s="34"/>
      <c r="L168" s="34"/>
      <c r="Y168" s="34"/>
      <c r="Z168" s="34"/>
      <c r="AA168" s="34"/>
      <c r="AB168" s="34"/>
      <c r="AC168" s="34"/>
      <c r="AD168" s="34"/>
      <c r="AE168" s="34"/>
      <c r="AF168" s="34"/>
    </row>
    <row r="169" spans="1:32" x14ac:dyDescent="0.25">
      <c r="A169" s="34"/>
      <c r="B169" s="70"/>
      <c r="C169" s="71"/>
      <c r="D169" s="71"/>
      <c r="E169" s="71"/>
      <c r="F169" s="68"/>
      <c r="G169" s="72"/>
      <c r="H169" s="64"/>
      <c r="I169" s="34"/>
      <c r="J169" s="34"/>
      <c r="K169" s="34"/>
      <c r="L169" s="34"/>
      <c r="Y169" s="34"/>
      <c r="Z169" s="34"/>
      <c r="AA169" s="34"/>
      <c r="AB169" s="34"/>
      <c r="AC169" s="34"/>
      <c r="AD169" s="34"/>
      <c r="AE169" s="34"/>
      <c r="AF169" s="34"/>
    </row>
    <row r="170" spans="1:32" x14ac:dyDescent="0.25">
      <c r="A170" s="34"/>
      <c r="B170" s="70"/>
      <c r="C170" s="71"/>
      <c r="D170" s="71"/>
      <c r="E170" s="71"/>
      <c r="F170" s="73"/>
      <c r="G170" s="72"/>
      <c r="H170" s="64"/>
      <c r="I170" s="34"/>
      <c r="J170" s="34"/>
      <c r="K170" s="34"/>
      <c r="L170" s="34"/>
      <c r="Y170" s="34"/>
      <c r="Z170" s="34"/>
      <c r="AA170" s="34"/>
      <c r="AB170" s="34"/>
      <c r="AC170" s="34"/>
      <c r="AD170" s="34"/>
      <c r="AE170" s="34"/>
      <c r="AF170" s="34"/>
    </row>
    <row r="171" spans="1:32" x14ac:dyDescent="0.25">
      <c r="A171" s="74"/>
      <c r="B171" s="34"/>
      <c r="C171" s="73"/>
      <c r="D171" s="73"/>
      <c r="E171" s="73"/>
      <c r="F171" s="73"/>
      <c r="G171" s="64"/>
      <c r="H171" s="64"/>
      <c r="I171" s="34"/>
      <c r="J171" s="34"/>
      <c r="K171" s="34"/>
      <c r="L171" s="34"/>
      <c r="Y171" s="34"/>
      <c r="Z171" s="34"/>
      <c r="AA171" s="34"/>
      <c r="AB171" s="34"/>
      <c r="AC171" s="34"/>
      <c r="AD171" s="34"/>
      <c r="AE171" s="34"/>
      <c r="AF171" s="34"/>
    </row>
    <row r="172" spans="1:32" x14ac:dyDescent="0.25">
      <c r="A172" s="75"/>
      <c r="B172" s="73"/>
      <c r="C172" s="73"/>
      <c r="D172" s="76"/>
      <c r="E172" s="73"/>
      <c r="F172" s="73"/>
      <c r="G172" s="64"/>
      <c r="H172" s="64"/>
      <c r="I172" s="34"/>
      <c r="J172" s="34"/>
      <c r="K172" s="34"/>
      <c r="L172" s="34"/>
      <c r="Y172" s="34"/>
      <c r="Z172" s="34"/>
      <c r="AA172" s="34"/>
      <c r="AB172" s="34"/>
      <c r="AC172" s="34"/>
      <c r="AD172" s="34"/>
      <c r="AE172" s="34"/>
      <c r="AF172" s="34"/>
    </row>
    <row r="173" spans="1:32" x14ac:dyDescent="0.25">
      <c r="A173" s="34"/>
      <c r="B173" s="73"/>
      <c r="C173" s="73"/>
      <c r="D173" s="73"/>
      <c r="E173" s="73"/>
      <c r="F173" s="73"/>
      <c r="G173" s="64"/>
      <c r="H173" s="64"/>
      <c r="I173" s="34"/>
      <c r="J173" s="34"/>
      <c r="K173" s="34"/>
      <c r="L173" s="34"/>
      <c r="Y173" s="34"/>
      <c r="Z173" s="34"/>
      <c r="AA173" s="34"/>
      <c r="AB173" s="34"/>
      <c r="AC173" s="34"/>
      <c r="AD173" s="34"/>
      <c r="AE173" s="34"/>
      <c r="AF173" s="34"/>
    </row>
    <row r="174" spans="1:32" x14ac:dyDescent="0.25">
      <c r="A174" s="55"/>
      <c r="B174" s="77"/>
      <c r="C174" s="77"/>
      <c r="D174" s="73"/>
      <c r="E174" s="73"/>
      <c r="F174" s="73"/>
      <c r="G174" s="64"/>
      <c r="H174" s="64"/>
      <c r="I174" s="34"/>
      <c r="J174" s="34"/>
      <c r="K174" s="34"/>
      <c r="L174" s="34"/>
      <c r="Y174" s="34"/>
      <c r="Z174" s="34"/>
      <c r="AA174" s="34"/>
      <c r="AB174" s="34"/>
      <c r="AC174" s="34"/>
      <c r="AD174" s="34"/>
      <c r="AE174" s="34"/>
      <c r="AF174" s="34"/>
    </row>
    <row r="175" spans="1:32" x14ac:dyDescent="0.25">
      <c r="A175" s="55"/>
      <c r="B175" s="77"/>
      <c r="C175" s="77"/>
      <c r="D175" s="73"/>
      <c r="E175" s="78"/>
      <c r="F175" s="78"/>
      <c r="G175" s="64"/>
      <c r="H175" s="64"/>
      <c r="I175" s="34"/>
      <c r="J175" s="34"/>
      <c r="K175" s="34"/>
      <c r="L175" s="34"/>
      <c r="Y175" s="34"/>
      <c r="Z175" s="34"/>
      <c r="AA175" s="34"/>
      <c r="AB175" s="34"/>
      <c r="AC175" s="34"/>
      <c r="AD175" s="34"/>
      <c r="AE175" s="34"/>
      <c r="AF175" s="34"/>
    </row>
    <row r="176" spans="1:32" x14ac:dyDescent="0.25">
      <c r="A176" s="55"/>
      <c r="B176" s="77"/>
      <c r="C176" s="77"/>
      <c r="D176" s="73"/>
      <c r="E176" s="79"/>
      <c r="F176" s="79"/>
      <c r="G176" s="64"/>
      <c r="H176" s="64"/>
      <c r="I176" s="34"/>
      <c r="J176" s="34"/>
      <c r="K176" s="34"/>
      <c r="L176" s="34"/>
      <c r="Y176" s="34"/>
      <c r="Z176" s="34"/>
      <c r="AA176" s="34"/>
      <c r="AB176" s="34"/>
      <c r="AC176" s="34"/>
      <c r="AD176" s="34"/>
      <c r="AE176" s="34"/>
      <c r="AF176" s="34"/>
    </row>
    <row r="177" spans="1:32" x14ac:dyDescent="0.25">
      <c r="A177" s="55"/>
      <c r="B177" s="77"/>
      <c r="C177" s="77"/>
      <c r="D177" s="73"/>
      <c r="E177" s="73"/>
      <c r="F177" s="73"/>
      <c r="G177" s="64"/>
      <c r="H177" s="64"/>
      <c r="I177" s="34"/>
      <c r="J177" s="34"/>
      <c r="K177" s="34"/>
      <c r="L177" s="34"/>
      <c r="Y177" s="34"/>
      <c r="Z177" s="34"/>
      <c r="AA177" s="34"/>
      <c r="AB177" s="34"/>
      <c r="AC177" s="34"/>
      <c r="AD177" s="34"/>
      <c r="AE177" s="34"/>
      <c r="AF177" s="34"/>
    </row>
    <row r="178" spans="1:32" x14ac:dyDescent="0.25">
      <c r="A178" s="55"/>
      <c r="B178" s="77"/>
      <c r="C178" s="77"/>
      <c r="D178" s="73"/>
      <c r="E178" s="73"/>
      <c r="F178" s="73"/>
      <c r="G178" s="64"/>
      <c r="H178" s="64"/>
      <c r="I178" s="34"/>
      <c r="J178" s="34"/>
      <c r="K178" s="34"/>
      <c r="L178" s="34"/>
      <c r="Y178" s="34"/>
      <c r="Z178" s="34"/>
      <c r="AA178" s="34"/>
      <c r="AB178" s="34"/>
      <c r="AC178" s="34"/>
      <c r="AD178" s="34"/>
      <c r="AE178" s="34"/>
      <c r="AF178" s="34"/>
    </row>
    <row r="179" spans="1:32" x14ac:dyDescent="0.25">
      <c r="A179" s="55"/>
      <c r="B179" s="77"/>
      <c r="C179" s="77"/>
      <c r="D179" s="73"/>
      <c r="E179" s="73"/>
      <c r="F179" s="75"/>
      <c r="G179" s="64"/>
      <c r="H179" s="64"/>
      <c r="I179" s="34"/>
      <c r="J179" s="34"/>
      <c r="K179" s="34"/>
      <c r="L179" s="34"/>
      <c r="Y179" s="34"/>
      <c r="Z179" s="34"/>
      <c r="AA179" s="34"/>
      <c r="AB179" s="34"/>
      <c r="AC179" s="34"/>
      <c r="AD179" s="34"/>
      <c r="AE179" s="34"/>
      <c r="AF179" s="34"/>
    </row>
    <row r="180" spans="1:32" x14ac:dyDescent="0.25">
      <c r="A180" s="55"/>
      <c r="B180" s="77"/>
      <c r="C180" s="77"/>
      <c r="D180" s="73"/>
      <c r="E180" s="73"/>
      <c r="F180" s="73"/>
      <c r="G180" s="64"/>
      <c r="H180" s="64"/>
      <c r="I180" s="34"/>
      <c r="J180" s="34"/>
      <c r="K180" s="34"/>
      <c r="L180" s="34"/>
      <c r="Y180" s="34"/>
      <c r="Z180" s="34"/>
      <c r="AA180" s="34"/>
      <c r="AB180" s="34"/>
      <c r="AC180" s="34"/>
      <c r="AD180" s="34"/>
      <c r="AE180" s="34"/>
      <c r="AF180" s="34"/>
    </row>
    <row r="181" spans="1:32" x14ac:dyDescent="0.25">
      <c r="A181" s="55"/>
      <c r="B181" s="77"/>
      <c r="C181" s="77"/>
      <c r="D181" s="73"/>
      <c r="E181" s="73"/>
      <c r="F181" s="73"/>
      <c r="G181" s="64"/>
      <c r="H181" s="80"/>
      <c r="I181" s="34"/>
      <c r="J181" s="34"/>
      <c r="K181" s="34"/>
      <c r="L181" s="34"/>
      <c r="Y181" s="34"/>
      <c r="Z181" s="34"/>
      <c r="AA181" s="34"/>
      <c r="AB181" s="34"/>
      <c r="AC181" s="34"/>
      <c r="AD181" s="34"/>
      <c r="AE181" s="34"/>
      <c r="AF181" s="34"/>
    </row>
    <row r="182" spans="1:32" x14ac:dyDescent="0.25">
      <c r="A182" s="55"/>
      <c r="B182" s="77"/>
      <c r="C182" s="77"/>
      <c r="D182" s="73"/>
      <c r="E182" s="73"/>
      <c r="F182" s="73"/>
      <c r="G182" s="64"/>
      <c r="H182" s="64"/>
      <c r="I182" s="34"/>
      <c r="J182" s="34"/>
      <c r="K182" s="34"/>
      <c r="L182" s="34"/>
      <c r="Y182" s="34"/>
      <c r="Z182" s="34"/>
      <c r="AA182" s="34"/>
      <c r="AB182" s="34"/>
      <c r="AC182" s="34"/>
      <c r="AD182" s="34"/>
      <c r="AE182" s="34"/>
      <c r="AF182" s="34"/>
    </row>
    <row r="183" spans="1:32" x14ac:dyDescent="0.25">
      <c r="A183" s="55"/>
      <c r="B183" s="77"/>
      <c r="C183" s="77"/>
      <c r="D183" s="73"/>
      <c r="E183" s="56"/>
      <c r="F183" s="56"/>
      <c r="G183" s="56"/>
      <c r="H183" s="34"/>
      <c r="I183" s="34"/>
      <c r="J183" s="34"/>
      <c r="K183" s="34"/>
      <c r="L183" s="34"/>
      <c r="Y183" s="34"/>
      <c r="Z183" s="34"/>
      <c r="AA183" s="34"/>
      <c r="AB183" s="34"/>
      <c r="AC183" s="34"/>
      <c r="AD183" s="34"/>
      <c r="AE183" s="34"/>
      <c r="AF183" s="34"/>
    </row>
    <row r="184" spans="1:32" x14ac:dyDescent="0.25">
      <c r="A184" s="55"/>
      <c r="B184" s="77"/>
      <c r="C184" s="77"/>
      <c r="D184" s="73"/>
      <c r="E184" s="56"/>
      <c r="F184" s="56"/>
      <c r="G184" s="56"/>
      <c r="H184" s="34"/>
      <c r="I184" s="34"/>
      <c r="J184" s="34"/>
      <c r="K184" s="34"/>
      <c r="L184" s="34"/>
      <c r="Y184" s="34"/>
      <c r="Z184" s="34"/>
      <c r="AA184" s="34"/>
      <c r="AB184" s="34"/>
      <c r="AC184" s="34"/>
      <c r="AD184" s="34"/>
      <c r="AE184" s="34"/>
      <c r="AF184" s="34"/>
    </row>
    <row r="185" spans="1:32" x14ac:dyDescent="0.25">
      <c r="A185" s="55"/>
      <c r="B185" s="77"/>
      <c r="C185" s="77"/>
      <c r="D185" s="73"/>
      <c r="E185" s="34"/>
      <c r="F185" s="34"/>
      <c r="G185" s="34"/>
      <c r="H185" s="34"/>
      <c r="I185" s="34"/>
      <c r="J185" s="34"/>
      <c r="K185" s="34"/>
      <c r="L185" s="34"/>
      <c r="Y185" s="34"/>
      <c r="Z185" s="34"/>
      <c r="AA185" s="34"/>
      <c r="AB185" s="34"/>
      <c r="AC185" s="34"/>
      <c r="AD185" s="34"/>
      <c r="AE185" s="34"/>
      <c r="AF185" s="34"/>
    </row>
    <row r="186" spans="1:32" x14ac:dyDescent="0.25">
      <c r="A186" s="55"/>
      <c r="B186" s="77"/>
      <c r="C186" s="77"/>
      <c r="D186" s="73"/>
      <c r="E186" s="34"/>
      <c r="F186" s="34"/>
      <c r="G186" s="34"/>
      <c r="H186" s="34"/>
      <c r="I186" s="34"/>
      <c r="J186" s="34"/>
      <c r="K186" s="34"/>
      <c r="L186" s="34"/>
      <c r="Y186" s="34"/>
      <c r="Z186" s="34"/>
      <c r="AA186" s="34"/>
      <c r="AB186" s="34"/>
      <c r="AC186" s="34"/>
      <c r="AD186" s="34"/>
      <c r="AE186" s="34"/>
      <c r="AF186" s="34"/>
    </row>
    <row r="187" spans="1:32" x14ac:dyDescent="0.25">
      <c r="A187" s="55"/>
      <c r="B187" s="77"/>
      <c r="C187" s="77"/>
      <c r="D187" s="73"/>
      <c r="E187" s="34"/>
      <c r="F187" s="34"/>
      <c r="G187" s="34"/>
      <c r="H187" s="34"/>
      <c r="I187" s="34"/>
      <c r="J187" s="34"/>
      <c r="K187" s="34"/>
      <c r="L187" s="34"/>
      <c r="Y187" s="34"/>
      <c r="Z187" s="34"/>
      <c r="AA187" s="34"/>
      <c r="AB187" s="34"/>
      <c r="AC187" s="34"/>
      <c r="AD187" s="34"/>
      <c r="AE187" s="34"/>
      <c r="AF187" s="34"/>
    </row>
    <row r="188" spans="1:32" x14ac:dyDescent="0.25">
      <c r="A188" s="55"/>
      <c r="B188" s="77"/>
      <c r="C188" s="77"/>
      <c r="D188" s="73"/>
      <c r="E188" s="34"/>
      <c r="F188" s="34"/>
      <c r="G188" s="34"/>
      <c r="H188" s="34"/>
      <c r="I188" s="34"/>
      <c r="J188" s="34"/>
      <c r="K188" s="34"/>
      <c r="L188" s="34"/>
      <c r="Y188" s="34"/>
      <c r="Z188" s="34"/>
      <c r="AA188" s="34"/>
      <c r="AB188" s="34"/>
      <c r="AC188" s="34"/>
      <c r="AD188" s="34"/>
      <c r="AE188" s="34"/>
      <c r="AF188" s="34"/>
    </row>
    <row r="189" spans="1:32" x14ac:dyDescent="0.25">
      <c r="A189" s="55"/>
      <c r="B189" s="77"/>
      <c r="C189" s="77"/>
      <c r="D189" s="73"/>
      <c r="E189" s="34"/>
      <c r="F189" s="34"/>
      <c r="G189" s="34"/>
      <c r="H189" s="34"/>
      <c r="I189" s="34"/>
      <c r="J189" s="34"/>
      <c r="K189" s="34"/>
      <c r="L189" s="34"/>
      <c r="Y189" s="34"/>
      <c r="Z189" s="34"/>
      <c r="AA189" s="34"/>
      <c r="AB189" s="34"/>
      <c r="AC189" s="34"/>
      <c r="AD189" s="34"/>
      <c r="AE189" s="34"/>
      <c r="AF189" s="34"/>
    </row>
    <row r="190" spans="1:32" x14ac:dyDescent="0.25">
      <c r="A190" s="55"/>
      <c r="B190" s="77"/>
      <c r="C190" s="77"/>
      <c r="D190" s="73"/>
      <c r="E190" s="34"/>
      <c r="F190" s="34"/>
      <c r="G190" s="34"/>
      <c r="H190" s="34"/>
      <c r="I190" s="34"/>
      <c r="J190" s="34"/>
      <c r="K190" s="34"/>
      <c r="L190" s="34"/>
      <c r="Y190" s="34"/>
      <c r="Z190" s="34"/>
      <c r="AA190" s="34"/>
      <c r="AB190" s="34"/>
      <c r="AC190" s="34"/>
      <c r="AD190" s="34"/>
      <c r="AE190" s="34"/>
      <c r="AF190" s="34"/>
    </row>
    <row r="191" spans="1:32" x14ac:dyDescent="0.25">
      <c r="A191" s="55"/>
      <c r="B191" s="77"/>
      <c r="C191" s="77"/>
      <c r="D191" s="73"/>
      <c r="E191" s="34"/>
      <c r="F191" s="34"/>
      <c r="G191" s="34"/>
      <c r="H191" s="34"/>
      <c r="I191" s="34"/>
      <c r="J191" s="34"/>
      <c r="K191" s="34"/>
      <c r="L191" s="34"/>
      <c r="Y191" s="34"/>
      <c r="Z191" s="34"/>
      <c r="AA191" s="34"/>
      <c r="AB191" s="34"/>
      <c r="AC191" s="34"/>
      <c r="AD191" s="34"/>
      <c r="AE191" s="34"/>
      <c r="AF191" s="34"/>
    </row>
    <row r="192" spans="1:32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Y192" s="34"/>
      <c r="Z192" s="34"/>
      <c r="AA192" s="34"/>
      <c r="AB192" s="34"/>
      <c r="AC192" s="34"/>
      <c r="AD192" s="34"/>
      <c r="AE192" s="34"/>
      <c r="AF192" s="34"/>
    </row>
    <row r="193" spans="1:32" x14ac:dyDescent="0.25">
      <c r="A193" s="34"/>
      <c r="B193" s="34"/>
      <c r="C193" s="75"/>
      <c r="D193" s="75"/>
      <c r="E193" s="75"/>
      <c r="F193" s="62"/>
      <c r="G193" s="34"/>
      <c r="H193" s="34"/>
      <c r="I193" s="34"/>
      <c r="J193" s="34"/>
      <c r="K193" s="34"/>
      <c r="L193" s="34"/>
      <c r="Y193" s="34"/>
      <c r="Z193" s="34"/>
      <c r="AA193" s="34"/>
      <c r="AB193" s="34"/>
      <c r="AC193" s="34"/>
      <c r="AD193" s="34"/>
      <c r="AE193" s="34"/>
      <c r="AF193" s="34"/>
    </row>
    <row r="194" spans="1:32" x14ac:dyDescent="0.25">
      <c r="A194" s="34"/>
      <c r="B194" s="34"/>
      <c r="C194" s="73"/>
      <c r="D194" s="73"/>
      <c r="E194" s="73"/>
      <c r="F194" s="75"/>
      <c r="G194" s="34"/>
      <c r="H194" s="34"/>
      <c r="I194" s="34"/>
      <c r="J194" s="34"/>
      <c r="K194" s="34"/>
      <c r="L194" s="34"/>
      <c r="Y194" s="34"/>
      <c r="Z194" s="34"/>
      <c r="AA194" s="34"/>
      <c r="AB194" s="34"/>
      <c r="AC194" s="34"/>
      <c r="AD194" s="34"/>
      <c r="AE194" s="34"/>
      <c r="AF194" s="34"/>
    </row>
    <row r="195" spans="1:32" x14ac:dyDescent="0.25">
      <c r="A195" s="34"/>
      <c r="B195" s="34"/>
      <c r="C195" s="73"/>
      <c r="D195" s="73"/>
      <c r="E195" s="73"/>
      <c r="F195" s="75"/>
      <c r="G195" s="34"/>
      <c r="H195" s="34"/>
      <c r="I195" s="34"/>
      <c r="J195" s="34"/>
      <c r="K195" s="34"/>
      <c r="L195" s="34"/>
      <c r="Y195" s="34"/>
      <c r="Z195" s="34"/>
      <c r="AA195" s="34"/>
      <c r="AB195" s="34"/>
      <c r="AC195" s="34"/>
      <c r="AD195" s="34"/>
      <c r="AE195" s="34"/>
      <c r="AF195" s="34"/>
    </row>
    <row r="196" spans="1:32" x14ac:dyDescent="0.25">
      <c r="A196" s="34"/>
      <c r="B196" s="34"/>
      <c r="C196" s="62"/>
      <c r="D196" s="62"/>
      <c r="E196" s="62"/>
      <c r="F196" s="62"/>
      <c r="G196" s="34"/>
      <c r="H196" s="34"/>
      <c r="I196" s="34"/>
      <c r="J196" s="34"/>
      <c r="K196" s="34"/>
      <c r="L196" s="34"/>
      <c r="Y196" s="34"/>
      <c r="Z196" s="34"/>
      <c r="AA196" s="34"/>
      <c r="AB196" s="34"/>
      <c r="AC196" s="34"/>
      <c r="AD196" s="34"/>
      <c r="AE196" s="34"/>
      <c r="AF196" s="34"/>
    </row>
    <row r="197" spans="1:32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Y197" s="34"/>
      <c r="Z197" s="34"/>
      <c r="AA197" s="34"/>
      <c r="AB197" s="34"/>
      <c r="AC197" s="34"/>
      <c r="AD197" s="34"/>
      <c r="AE197" s="34"/>
      <c r="AF197" s="34"/>
    </row>
    <row r="198" spans="1:32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Y198" s="34"/>
      <c r="Z198" s="34"/>
      <c r="AA198" s="34"/>
      <c r="AB198" s="34"/>
      <c r="AC198" s="34"/>
      <c r="AD198" s="34"/>
      <c r="AE198" s="34"/>
      <c r="AF198" s="34"/>
    </row>
    <row r="199" spans="1:32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Y199" s="34"/>
      <c r="Z199" s="34"/>
      <c r="AA199" s="34"/>
      <c r="AB199" s="34"/>
      <c r="AC199" s="34"/>
      <c r="AD199" s="34"/>
      <c r="AE199" s="34"/>
      <c r="AF199" s="34"/>
    </row>
    <row r="200" spans="1:32" x14ac:dyDescent="0.25">
      <c r="A200" s="44"/>
      <c r="B200" s="34"/>
      <c r="C200" s="34"/>
      <c r="D200" s="34"/>
      <c r="E200" s="34"/>
      <c r="F200" s="34"/>
      <c r="G200" s="81"/>
      <c r="H200" s="64"/>
      <c r="I200" s="34"/>
      <c r="J200" s="34"/>
      <c r="K200" s="34"/>
      <c r="L200" s="34"/>
      <c r="Y200" s="34"/>
      <c r="Z200" s="34"/>
      <c r="AA200" s="34"/>
      <c r="AB200" s="34"/>
      <c r="AC200" s="34"/>
      <c r="AD200" s="34"/>
      <c r="AE200" s="34"/>
      <c r="AF200" s="34"/>
    </row>
    <row r="201" spans="1:32" x14ac:dyDescent="0.25">
      <c r="A201" s="34"/>
      <c r="B201" s="65"/>
      <c r="C201" s="65"/>
      <c r="D201" s="65"/>
      <c r="E201" s="65"/>
      <c r="F201" s="65"/>
      <c r="G201" s="81"/>
      <c r="H201" s="64"/>
      <c r="I201" s="34"/>
      <c r="J201" s="34"/>
      <c r="K201" s="34"/>
      <c r="L201" s="34"/>
      <c r="Y201" s="34"/>
      <c r="Z201" s="34"/>
      <c r="AA201" s="34"/>
      <c r="AB201" s="34"/>
      <c r="AC201" s="34"/>
      <c r="AD201" s="34"/>
      <c r="AE201" s="34"/>
      <c r="AF201" s="34"/>
    </row>
    <row r="202" spans="1:32" x14ac:dyDescent="0.25">
      <c r="A202" s="34"/>
      <c r="B202" s="65"/>
      <c r="C202" s="77"/>
      <c r="D202" s="77"/>
      <c r="E202" s="77"/>
      <c r="F202" s="65"/>
      <c r="G202" s="81"/>
      <c r="H202" s="64"/>
      <c r="I202" s="34"/>
      <c r="J202" s="34"/>
      <c r="K202" s="34"/>
      <c r="L202" s="34"/>
      <c r="Y202" s="34"/>
      <c r="Z202" s="34"/>
      <c r="AA202" s="34"/>
      <c r="AB202" s="34"/>
      <c r="AC202" s="34"/>
      <c r="AD202" s="34"/>
      <c r="AE202" s="34"/>
      <c r="AF202" s="34"/>
    </row>
    <row r="203" spans="1:32" x14ac:dyDescent="0.25">
      <c r="A203" s="34"/>
      <c r="B203" s="65"/>
      <c r="C203" s="65"/>
      <c r="D203" s="65"/>
      <c r="E203" s="65"/>
      <c r="F203" s="65"/>
      <c r="G203" s="81"/>
      <c r="H203" s="64"/>
      <c r="I203" s="34"/>
      <c r="J203" s="34"/>
      <c r="K203" s="34"/>
      <c r="L203" s="34"/>
      <c r="Y203" s="34"/>
      <c r="Z203" s="34"/>
      <c r="AA203" s="34"/>
      <c r="AB203" s="34"/>
      <c r="AC203" s="34"/>
      <c r="AD203" s="34"/>
      <c r="AE203" s="34"/>
      <c r="AF203" s="34"/>
    </row>
    <row r="204" spans="1:32" x14ac:dyDescent="0.25">
      <c r="A204" s="34"/>
      <c r="B204" s="65"/>
      <c r="C204" s="65"/>
      <c r="D204" s="65"/>
      <c r="E204" s="65"/>
      <c r="F204" s="65"/>
      <c r="G204" s="81"/>
      <c r="H204" s="64"/>
      <c r="I204" s="34"/>
      <c r="J204" s="34"/>
      <c r="K204" s="34"/>
      <c r="L204" s="34"/>
      <c r="Y204" s="34"/>
      <c r="Z204" s="34"/>
      <c r="AA204" s="34"/>
      <c r="AB204" s="34"/>
      <c r="AC204" s="34"/>
      <c r="AD204" s="34"/>
      <c r="AE204" s="34"/>
      <c r="AF204" s="34"/>
    </row>
    <row r="205" spans="1:32" x14ac:dyDescent="0.25">
      <c r="A205" s="34"/>
      <c r="B205" s="65"/>
      <c r="C205" s="65"/>
      <c r="D205" s="65"/>
      <c r="E205" s="65"/>
      <c r="F205" s="65"/>
      <c r="G205" s="81"/>
      <c r="H205" s="64"/>
      <c r="I205" s="34"/>
      <c r="J205" s="34"/>
      <c r="K205" s="34"/>
      <c r="L205" s="34"/>
      <c r="Y205" s="34"/>
      <c r="Z205" s="34"/>
      <c r="AA205" s="34"/>
      <c r="AB205" s="34"/>
      <c r="AC205" s="34"/>
      <c r="AD205" s="34"/>
      <c r="AE205" s="34"/>
      <c r="AF205" s="34"/>
    </row>
    <row r="206" spans="1:32" x14ac:dyDescent="0.25">
      <c r="A206" s="34"/>
      <c r="B206" s="65"/>
      <c r="C206" s="65"/>
      <c r="D206" s="65"/>
      <c r="E206" s="65"/>
      <c r="F206" s="65"/>
      <c r="G206" s="81"/>
      <c r="H206" s="64"/>
      <c r="I206" s="34"/>
      <c r="J206" s="34"/>
      <c r="K206" s="34"/>
      <c r="L206" s="34"/>
      <c r="Y206" s="34"/>
      <c r="Z206" s="34"/>
      <c r="AA206" s="34"/>
      <c r="AB206" s="34"/>
      <c r="AC206" s="34"/>
      <c r="AD206" s="34"/>
      <c r="AE206" s="34"/>
      <c r="AF206" s="34"/>
    </row>
    <row r="207" spans="1:32" x14ac:dyDescent="0.25">
      <c r="A207" s="34"/>
      <c r="B207" s="65"/>
      <c r="C207" s="65"/>
      <c r="D207" s="65"/>
      <c r="E207" s="65"/>
      <c r="F207" s="65"/>
      <c r="G207" s="81"/>
      <c r="H207" s="64"/>
      <c r="I207" s="34"/>
      <c r="J207" s="34"/>
      <c r="K207" s="34"/>
      <c r="L207" s="34"/>
      <c r="Y207" s="34"/>
      <c r="Z207" s="34"/>
      <c r="AA207" s="34"/>
      <c r="AB207" s="34"/>
      <c r="AC207" s="34"/>
      <c r="AD207" s="34"/>
      <c r="AE207" s="34"/>
      <c r="AF207" s="34"/>
    </row>
    <row r="208" spans="1:32" x14ac:dyDescent="0.25">
      <c r="A208" s="34"/>
      <c r="B208" s="65"/>
      <c r="C208" s="65"/>
      <c r="D208" s="82"/>
      <c r="E208" s="65"/>
      <c r="F208" s="65"/>
      <c r="G208" s="81"/>
      <c r="H208" s="64"/>
      <c r="I208" s="34"/>
      <c r="J208" s="34"/>
      <c r="K208" s="34"/>
      <c r="L208" s="34"/>
      <c r="Y208" s="34"/>
      <c r="Z208" s="34"/>
      <c r="AA208" s="34"/>
      <c r="AB208" s="34"/>
      <c r="AC208" s="34"/>
      <c r="AD208" s="34"/>
      <c r="AE208" s="34"/>
      <c r="AF208" s="34"/>
    </row>
    <row r="209" spans="1:32" x14ac:dyDescent="0.25">
      <c r="A209" s="34"/>
      <c r="B209" s="34"/>
      <c r="C209" s="34"/>
      <c r="D209" s="82"/>
      <c r="E209" s="34"/>
      <c r="F209" s="34"/>
      <c r="G209" s="81"/>
      <c r="H209" s="64"/>
      <c r="I209" s="34"/>
      <c r="J209" s="34"/>
      <c r="K209" s="34"/>
      <c r="L209" s="34"/>
      <c r="Y209" s="34"/>
      <c r="Z209" s="34"/>
      <c r="AA209" s="34"/>
      <c r="AB209" s="34"/>
      <c r="AC209" s="34"/>
      <c r="AD209" s="34"/>
      <c r="AE209" s="34"/>
      <c r="AF209" s="34"/>
    </row>
    <row r="210" spans="1:32" x14ac:dyDescent="0.25">
      <c r="A210" s="34"/>
      <c r="B210" s="34"/>
      <c r="C210" s="34"/>
      <c r="D210" s="34"/>
      <c r="E210" s="34"/>
      <c r="F210" s="34"/>
      <c r="G210" s="81"/>
      <c r="H210" s="64"/>
      <c r="I210" s="81"/>
      <c r="J210" s="34"/>
      <c r="K210" s="34"/>
      <c r="L210" s="34"/>
      <c r="Y210" s="34"/>
      <c r="Z210" s="34"/>
      <c r="AA210" s="34"/>
      <c r="AB210" s="34"/>
      <c r="AC210" s="34"/>
      <c r="AD210" s="34"/>
      <c r="AE210" s="34"/>
      <c r="AF210" s="34"/>
    </row>
    <row r="211" spans="1:32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Y211" s="34"/>
      <c r="Z211" s="34"/>
      <c r="AA211" s="34"/>
      <c r="AB211" s="34"/>
      <c r="AC211" s="34"/>
      <c r="AD211" s="34"/>
      <c r="AE211" s="34"/>
      <c r="AF211" s="34"/>
    </row>
    <row r="212" spans="1:32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Y212" s="34"/>
      <c r="Z212" s="34"/>
      <c r="AA212" s="34"/>
      <c r="AB212" s="34"/>
      <c r="AC212" s="34"/>
      <c r="AD212" s="34"/>
      <c r="AE212" s="34"/>
      <c r="AF212" s="34"/>
    </row>
    <row r="213" spans="1:32" x14ac:dyDescent="0.25">
      <c r="A213" s="4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Y213" s="34"/>
      <c r="Z213" s="34"/>
      <c r="AA213" s="34"/>
      <c r="AB213" s="34"/>
      <c r="AC213" s="34"/>
      <c r="AD213" s="34"/>
      <c r="AE213" s="34"/>
      <c r="AF213" s="34"/>
    </row>
    <row r="214" spans="1:32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Y214" s="34"/>
      <c r="Z214" s="34"/>
      <c r="AA214" s="34"/>
      <c r="AB214" s="34"/>
      <c r="AC214" s="34"/>
      <c r="AD214" s="34"/>
      <c r="AE214" s="34"/>
      <c r="AF214" s="34"/>
    </row>
    <row r="215" spans="1:32" x14ac:dyDescent="0.25">
      <c r="A215" s="44"/>
      <c r="B215" s="64"/>
      <c r="C215" s="64"/>
      <c r="D215" s="64"/>
      <c r="E215" s="64"/>
      <c r="F215" s="64"/>
      <c r="G215" s="64"/>
      <c r="H215" s="64"/>
      <c r="I215" s="81"/>
      <c r="J215" s="64"/>
      <c r="K215" s="64"/>
      <c r="L215" s="64"/>
      <c r="Y215" s="34"/>
      <c r="Z215" s="34"/>
      <c r="AA215" s="34"/>
      <c r="AB215" s="34"/>
      <c r="AC215" s="34"/>
      <c r="AD215" s="34"/>
      <c r="AE215" s="34"/>
      <c r="AF215" s="34"/>
    </row>
    <row r="216" spans="1:32" x14ac:dyDescent="0.25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Y216" s="34"/>
      <c r="Z216" s="34"/>
      <c r="AA216" s="34"/>
      <c r="AB216" s="34"/>
      <c r="AC216" s="34"/>
      <c r="AD216" s="34"/>
      <c r="AE216" s="34"/>
      <c r="AF216" s="34"/>
    </row>
    <row r="217" spans="1:32" x14ac:dyDescent="0.25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Y217" s="34"/>
      <c r="Z217" s="34"/>
      <c r="AA217" s="34"/>
      <c r="AB217" s="34"/>
      <c r="AC217" s="34"/>
      <c r="AD217" s="34"/>
      <c r="AE217" s="34"/>
      <c r="AF217" s="34"/>
    </row>
    <row r="218" spans="1:32" x14ac:dyDescent="0.25">
      <c r="A218" s="4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Y218" s="34"/>
      <c r="Z218" s="34"/>
      <c r="AA218" s="34"/>
      <c r="AB218" s="34"/>
      <c r="AC218" s="34"/>
      <c r="AD218" s="34"/>
      <c r="AE218" s="34"/>
      <c r="AF218" s="34"/>
    </row>
    <row r="219" spans="1:32" x14ac:dyDescent="0.25">
      <c r="A219" s="34"/>
      <c r="B219" s="34"/>
      <c r="C219" s="73"/>
      <c r="D219" s="73"/>
      <c r="E219" s="73"/>
      <c r="F219" s="73"/>
      <c r="G219" s="73"/>
      <c r="H219" s="73"/>
      <c r="I219" s="73"/>
      <c r="J219" s="73"/>
      <c r="K219" s="34"/>
      <c r="L219" s="34"/>
      <c r="Y219" s="34"/>
      <c r="Z219" s="34"/>
      <c r="AA219" s="34"/>
      <c r="AB219" s="34"/>
      <c r="AC219" s="34"/>
      <c r="AD219" s="34"/>
      <c r="AE219" s="34"/>
      <c r="AF219" s="34"/>
    </row>
    <row r="220" spans="1:32" x14ac:dyDescent="0.25">
      <c r="A220" s="34"/>
      <c r="B220" s="62"/>
      <c r="C220" s="62"/>
      <c r="D220" s="62"/>
      <c r="E220" s="62"/>
      <c r="F220" s="62"/>
      <c r="G220" s="62"/>
      <c r="H220" s="62"/>
      <c r="I220" s="34"/>
      <c r="J220" s="34"/>
      <c r="K220" s="64"/>
      <c r="L220" s="34"/>
      <c r="Y220" s="34"/>
      <c r="Z220" s="34"/>
      <c r="AA220" s="34"/>
      <c r="AB220" s="34"/>
      <c r="AC220" s="34"/>
      <c r="AD220" s="34"/>
      <c r="AE220" s="34"/>
      <c r="AF220" s="34"/>
    </row>
    <row r="221" spans="1:32" x14ac:dyDescent="0.25">
      <c r="A221" s="34"/>
      <c r="B221" s="77"/>
      <c r="C221" s="77"/>
      <c r="D221" s="77"/>
      <c r="E221" s="77"/>
      <c r="F221" s="77"/>
      <c r="G221" s="77"/>
      <c r="H221" s="77"/>
      <c r="I221" s="64"/>
      <c r="J221" s="64"/>
      <c r="K221" s="64"/>
      <c r="L221" s="34"/>
      <c r="Y221" s="34"/>
      <c r="Z221" s="34"/>
      <c r="AA221" s="34"/>
      <c r="AB221" s="34"/>
      <c r="AC221" s="34"/>
      <c r="AD221" s="34"/>
      <c r="AE221" s="34"/>
      <c r="AF221" s="34"/>
    </row>
    <row r="222" spans="1:32" x14ac:dyDescent="0.25">
      <c r="A222" s="34"/>
      <c r="B222" s="77"/>
      <c r="C222" s="77"/>
      <c r="D222" s="77"/>
      <c r="E222" s="77"/>
      <c r="F222" s="77"/>
      <c r="G222" s="77"/>
      <c r="H222" s="77"/>
      <c r="I222" s="34"/>
      <c r="J222" s="34"/>
      <c r="K222" s="34"/>
      <c r="L222" s="34"/>
      <c r="Y222" s="34"/>
      <c r="Z222" s="34"/>
      <c r="AA222" s="34"/>
      <c r="AB222" s="34"/>
      <c r="AC222" s="34"/>
      <c r="AD222" s="34"/>
      <c r="AE222" s="34"/>
      <c r="AF222" s="34"/>
    </row>
    <row r="223" spans="1:32" x14ac:dyDescent="0.25">
      <c r="A223" s="34"/>
      <c r="B223" s="83"/>
      <c r="C223" s="65"/>
      <c r="D223" s="65"/>
      <c r="E223" s="65"/>
      <c r="F223" s="65"/>
      <c r="G223" s="65"/>
      <c r="H223" s="65"/>
      <c r="I223" s="34"/>
      <c r="J223" s="34"/>
      <c r="K223" s="34"/>
      <c r="L223" s="34"/>
      <c r="Y223" s="34"/>
      <c r="Z223" s="34"/>
      <c r="AA223" s="34"/>
      <c r="AB223" s="34"/>
      <c r="AC223" s="34"/>
      <c r="AD223" s="34"/>
      <c r="AE223" s="34"/>
      <c r="AF223" s="34"/>
    </row>
    <row r="224" spans="1:32" x14ac:dyDescent="0.25">
      <c r="A224" s="34"/>
      <c r="B224" s="77"/>
      <c r="C224" s="65"/>
      <c r="D224" s="65"/>
      <c r="E224" s="65"/>
      <c r="F224" s="65"/>
      <c r="G224" s="65"/>
      <c r="H224" s="65"/>
      <c r="I224" s="34"/>
      <c r="J224" s="34"/>
      <c r="K224" s="34"/>
      <c r="L224" s="34"/>
      <c r="Y224" s="34"/>
      <c r="Z224" s="34"/>
      <c r="AA224" s="34"/>
      <c r="AB224" s="34"/>
      <c r="AC224" s="34"/>
      <c r="AD224" s="34"/>
      <c r="AE224" s="34"/>
      <c r="AF224" s="34"/>
    </row>
    <row r="225" spans="1:32" x14ac:dyDescent="0.25">
      <c r="A225" s="34"/>
      <c r="B225" s="77"/>
      <c r="C225" s="65"/>
      <c r="D225" s="65"/>
      <c r="E225" s="65"/>
      <c r="F225" s="65"/>
      <c r="G225" s="65"/>
      <c r="H225" s="65"/>
      <c r="I225" s="34"/>
      <c r="J225" s="34"/>
      <c r="K225" s="34"/>
      <c r="L225" s="34"/>
      <c r="Y225" s="34"/>
      <c r="Z225" s="34"/>
      <c r="AA225" s="34"/>
      <c r="AB225" s="34"/>
      <c r="AC225" s="34"/>
      <c r="AD225" s="34"/>
      <c r="AE225" s="34"/>
      <c r="AF225" s="34"/>
    </row>
    <row r="226" spans="1:32" x14ac:dyDescent="0.25">
      <c r="A226" s="34"/>
      <c r="B226" s="77"/>
      <c r="C226" s="65"/>
      <c r="D226" s="65"/>
      <c r="E226" s="65"/>
      <c r="F226" s="65"/>
      <c r="G226" s="65"/>
      <c r="H226" s="65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</row>
    <row r="227" spans="1:32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</row>
    <row r="228" spans="1:32" x14ac:dyDescent="0.25">
      <c r="A228" s="34"/>
      <c r="B228" s="62"/>
      <c r="C228" s="62"/>
      <c r="D228" s="62"/>
      <c r="E228" s="62"/>
      <c r="F228" s="62"/>
      <c r="G228" s="62"/>
      <c r="H228" s="62"/>
      <c r="I228" s="62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</row>
    <row r="229" spans="1:32" x14ac:dyDescent="0.25">
      <c r="A229" s="34"/>
      <c r="B229" s="77"/>
      <c r="C229" s="77"/>
      <c r="D229" s="77"/>
      <c r="E229" s="77"/>
      <c r="F229" s="77"/>
      <c r="G229" s="77"/>
      <c r="H229" s="77"/>
      <c r="I229" s="77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</row>
    <row r="230" spans="1:32" x14ac:dyDescent="0.25">
      <c r="A230" s="34"/>
      <c r="B230" s="65"/>
      <c r="C230" s="65"/>
      <c r="D230" s="65"/>
      <c r="E230" s="65"/>
      <c r="F230" s="65"/>
      <c r="G230" s="65"/>
      <c r="H230" s="77"/>
      <c r="I230" s="65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</row>
    <row r="231" spans="1:32" x14ac:dyDescent="0.25">
      <c r="A231" s="34"/>
      <c r="B231" s="77"/>
      <c r="C231" s="77"/>
      <c r="D231" s="77"/>
      <c r="E231" s="77"/>
      <c r="F231" s="77"/>
      <c r="G231" s="77"/>
      <c r="H231" s="77"/>
      <c r="I231" s="77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</row>
    <row r="232" spans="1:32" x14ac:dyDescent="0.25">
      <c r="A232" s="34"/>
      <c r="B232" s="65"/>
      <c r="C232" s="65"/>
      <c r="D232" s="65"/>
      <c r="E232" s="65"/>
      <c r="F232" s="65"/>
      <c r="G232" s="65"/>
      <c r="H232" s="77"/>
      <c r="I232" s="65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</row>
    <row r="233" spans="1:32" x14ac:dyDescent="0.25">
      <c r="A233" s="34"/>
      <c r="B233" s="65"/>
      <c r="C233" s="83"/>
      <c r="D233" s="83"/>
      <c r="E233" s="83"/>
      <c r="F233" s="83"/>
      <c r="G233" s="83"/>
      <c r="H233" s="83"/>
      <c r="I233" s="83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</row>
    <row r="234" spans="1:32" x14ac:dyDescent="0.25">
      <c r="A234" s="34"/>
      <c r="B234" s="65"/>
      <c r="C234" s="65"/>
      <c r="D234" s="65"/>
      <c r="E234" s="65"/>
      <c r="F234" s="65"/>
      <c r="G234" s="65"/>
      <c r="H234" s="77"/>
      <c r="I234" s="65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</row>
    <row r="235" spans="1:32" x14ac:dyDescent="0.25">
      <c r="A235" s="34"/>
      <c r="B235" s="84"/>
      <c r="C235" s="65"/>
      <c r="D235" s="65"/>
      <c r="E235" s="65"/>
      <c r="F235" s="65"/>
      <c r="G235" s="65"/>
      <c r="H235" s="77"/>
      <c r="I235" s="65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</row>
    <row r="236" spans="1:32" x14ac:dyDescent="0.25">
      <c r="A236" s="34"/>
      <c r="B236" s="65"/>
      <c r="C236" s="65"/>
      <c r="D236" s="65"/>
      <c r="E236" s="65"/>
      <c r="F236" s="65"/>
      <c r="G236" s="65"/>
      <c r="H236" s="65"/>
      <c r="I236" s="65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</row>
    <row r="237" spans="1:32" x14ac:dyDescent="0.25">
      <c r="A237" s="34"/>
      <c r="B237" s="34"/>
      <c r="C237" s="64"/>
      <c r="D237" s="64"/>
      <c r="E237" s="64"/>
      <c r="F237" s="64"/>
      <c r="G237" s="64"/>
      <c r="H237" s="6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</row>
    <row r="238" spans="1:32" x14ac:dyDescent="0.25">
      <c r="A238" s="85"/>
      <c r="B238" s="34"/>
      <c r="C238" s="64"/>
      <c r="D238" s="64"/>
      <c r="E238" s="64"/>
      <c r="F238" s="64"/>
      <c r="G238" s="64"/>
      <c r="H238" s="6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</row>
    <row r="239" spans="1:32" x14ac:dyDescent="0.25">
      <c r="A239" s="34"/>
      <c r="B239" s="62"/>
      <c r="C239" s="62"/>
      <c r="D239" s="62"/>
      <c r="E239" s="62"/>
      <c r="F239" s="62"/>
      <c r="G239" s="34"/>
      <c r="H239" s="6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</row>
    <row r="240" spans="1:32" x14ac:dyDescent="0.25">
      <c r="A240" s="34"/>
      <c r="B240" s="62"/>
      <c r="C240" s="86"/>
      <c r="D240" s="86"/>
      <c r="E240" s="83"/>
      <c r="F240" s="87"/>
      <c r="G240" s="77"/>
      <c r="H240" s="6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</row>
    <row r="241" spans="1:32" x14ac:dyDescent="0.25">
      <c r="A241" s="34"/>
      <c r="B241" s="62"/>
      <c r="C241" s="86"/>
      <c r="D241" s="86"/>
      <c r="E241" s="83"/>
      <c r="F241" s="87"/>
      <c r="G241" s="77"/>
      <c r="H241" s="6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</row>
    <row r="242" spans="1:32" x14ac:dyDescent="0.25">
      <c r="A242" s="34"/>
      <c r="B242" s="62"/>
      <c r="C242" s="86"/>
      <c r="D242" s="86"/>
      <c r="E242" s="83"/>
      <c r="F242" s="87"/>
      <c r="G242" s="77"/>
      <c r="H242" s="6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</row>
    <row r="243" spans="1:32" x14ac:dyDescent="0.25">
      <c r="A243" s="34"/>
      <c r="B243" s="62"/>
      <c r="C243" s="86"/>
      <c r="D243" s="86"/>
      <c r="E243" s="83"/>
      <c r="F243" s="87"/>
      <c r="G243" s="77"/>
      <c r="H243" s="6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</row>
    <row r="244" spans="1:32" x14ac:dyDescent="0.25">
      <c r="A244" s="34"/>
      <c r="B244" s="62"/>
      <c r="C244" s="86"/>
      <c r="D244" s="86"/>
      <c r="E244" s="83"/>
      <c r="F244" s="87"/>
      <c r="G244" s="77"/>
      <c r="H244" s="6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</row>
    <row r="245" spans="1:32" x14ac:dyDescent="0.25">
      <c r="A245" s="34"/>
      <c r="B245" s="62"/>
      <c r="C245" s="86"/>
      <c r="D245" s="86"/>
      <c r="E245" s="83"/>
      <c r="F245" s="87"/>
      <c r="G245" s="77"/>
      <c r="H245" s="6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</row>
    <row r="246" spans="1:32" x14ac:dyDescent="0.25">
      <c r="A246" s="34"/>
      <c r="B246" s="62"/>
      <c r="C246" s="86"/>
      <c r="D246" s="86"/>
      <c r="E246" s="83"/>
      <c r="F246" s="87"/>
      <c r="G246" s="77"/>
      <c r="H246" s="6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</row>
    <row r="247" spans="1:32" x14ac:dyDescent="0.25">
      <c r="A247" s="34"/>
      <c r="B247" s="62"/>
      <c r="C247" s="77"/>
      <c r="D247" s="77"/>
      <c r="E247" s="77"/>
      <c r="F247" s="65"/>
      <c r="G247" s="34"/>
      <c r="H247" s="6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</row>
    <row r="248" spans="1:32" x14ac:dyDescent="0.25">
      <c r="A248" s="34"/>
      <c r="B248" s="88"/>
      <c r="C248" s="77"/>
      <c r="D248" s="77"/>
      <c r="E248" s="77"/>
      <c r="F248" s="65"/>
      <c r="G248" s="34"/>
      <c r="H248" s="6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</row>
    <row r="249" spans="1:32" x14ac:dyDescent="0.25">
      <c r="A249" s="34"/>
      <c r="B249" s="88"/>
      <c r="C249" s="77"/>
      <c r="D249" s="77"/>
      <c r="E249" s="77"/>
      <c r="F249" s="65"/>
      <c r="G249" s="34"/>
      <c r="H249" s="6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</row>
    <row r="250" spans="1:32" x14ac:dyDescent="0.25">
      <c r="A250" s="62"/>
      <c r="B250" s="62"/>
      <c r="C250" s="62"/>
      <c r="D250" s="62"/>
      <c r="E250" s="34"/>
      <c r="F250" s="34"/>
      <c r="G250" s="64"/>
      <c r="H250" s="6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</row>
    <row r="251" spans="1:32" x14ac:dyDescent="0.25">
      <c r="A251" s="34"/>
      <c r="B251" s="34"/>
      <c r="C251" s="64"/>
      <c r="D251" s="64"/>
      <c r="E251" s="64"/>
      <c r="F251" s="64"/>
      <c r="G251" s="64"/>
      <c r="H251" s="6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</row>
    <row r="252" spans="1:32" x14ac:dyDescent="0.25">
      <c r="A252" s="85"/>
      <c r="B252" s="34"/>
      <c r="C252" s="64"/>
      <c r="D252" s="64"/>
      <c r="E252" s="64"/>
      <c r="F252" s="64"/>
      <c r="G252" s="64"/>
      <c r="H252" s="6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</row>
    <row r="253" spans="1:32" x14ac:dyDescent="0.25">
      <c r="A253" s="62"/>
      <c r="B253" s="89"/>
      <c r="C253" s="62"/>
      <c r="D253" s="62"/>
      <c r="E253" s="62"/>
      <c r="F253" s="62"/>
      <c r="G253" s="62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</row>
    <row r="254" spans="1:32" x14ac:dyDescent="0.25">
      <c r="A254" s="62"/>
      <c r="B254" s="62"/>
      <c r="C254" s="62"/>
      <c r="D254" s="62"/>
      <c r="E254" s="62"/>
      <c r="F254" s="62"/>
      <c r="G254" s="90"/>
      <c r="H254" s="62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</row>
    <row r="255" spans="1:32" x14ac:dyDescent="0.25">
      <c r="A255" s="62"/>
      <c r="B255" s="91"/>
      <c r="C255" s="73"/>
      <c r="D255" s="73"/>
      <c r="E255" s="73"/>
      <c r="F255" s="92"/>
      <c r="G255" s="87"/>
      <c r="H255" s="73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</row>
    <row r="256" spans="1:32" x14ac:dyDescent="0.25">
      <c r="A256" s="62"/>
      <c r="B256" s="91"/>
      <c r="C256" s="73"/>
      <c r="D256" s="73"/>
      <c r="E256" s="73"/>
      <c r="F256" s="92"/>
      <c r="G256" s="87"/>
      <c r="H256" s="73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</row>
    <row r="257" spans="1:32" x14ac:dyDescent="0.25">
      <c r="A257" s="62"/>
      <c r="B257" s="91"/>
      <c r="C257" s="73"/>
      <c r="D257" s="73"/>
      <c r="E257" s="73"/>
      <c r="F257" s="92"/>
      <c r="G257" s="87"/>
      <c r="H257" s="73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</row>
    <row r="258" spans="1:32" x14ac:dyDescent="0.25">
      <c r="A258" s="62"/>
      <c r="B258" s="91"/>
      <c r="C258" s="73"/>
      <c r="D258" s="73"/>
      <c r="E258" s="73"/>
      <c r="F258" s="92"/>
      <c r="G258" s="87"/>
      <c r="H258" s="73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</row>
    <row r="259" spans="1:32" x14ac:dyDescent="0.25">
      <c r="A259" s="62"/>
      <c r="B259" s="91"/>
      <c r="C259" s="73"/>
      <c r="D259" s="73"/>
      <c r="E259" s="73"/>
      <c r="F259" s="92"/>
      <c r="G259" s="87"/>
      <c r="H259" s="73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</row>
    <row r="260" spans="1:32" x14ac:dyDescent="0.25">
      <c r="A260" s="62"/>
      <c r="B260" s="91"/>
      <c r="C260" s="73"/>
      <c r="D260" s="73"/>
      <c r="E260" s="73"/>
      <c r="F260" s="92"/>
      <c r="G260" s="87"/>
      <c r="H260" s="73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</row>
    <row r="261" spans="1:32" x14ac:dyDescent="0.25">
      <c r="A261" s="62"/>
      <c r="B261" s="91"/>
      <c r="C261" s="73"/>
      <c r="D261" s="73"/>
      <c r="E261" s="73"/>
      <c r="F261" s="92"/>
      <c r="G261" s="87"/>
      <c r="H261" s="73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</row>
    <row r="262" spans="1:32" x14ac:dyDescent="0.25">
      <c r="A262" s="62"/>
      <c r="B262" s="73"/>
      <c r="C262" s="73"/>
      <c r="D262" s="73"/>
      <c r="E262" s="73"/>
      <c r="F262" s="73"/>
      <c r="G262" s="73"/>
      <c r="H262" s="87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</row>
    <row r="263" spans="1:32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</row>
    <row r="264" spans="1:32" x14ac:dyDescent="0.25">
      <c r="A264" s="34"/>
      <c r="B264" s="34"/>
      <c r="C264" s="93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</row>
    <row r="265" spans="1:32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</row>
    <row r="266" spans="1:32" x14ac:dyDescent="0.25">
      <c r="A266" s="44"/>
      <c r="B266" s="34"/>
      <c r="C266" s="62"/>
      <c r="D266" s="62"/>
      <c r="E266" s="62"/>
      <c r="F266" s="62"/>
      <c r="G266" s="62"/>
      <c r="H266" s="62"/>
      <c r="I266" s="62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</row>
    <row r="267" spans="1:32" x14ac:dyDescent="0.25">
      <c r="A267" s="34"/>
      <c r="B267" s="34"/>
      <c r="C267" s="94"/>
      <c r="D267" s="94"/>
      <c r="E267" s="94"/>
      <c r="F267" s="94"/>
      <c r="G267" s="94"/>
      <c r="H267" s="94"/>
      <c r="I267" s="65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</row>
    <row r="268" spans="1:32" x14ac:dyDescent="0.25">
      <c r="A268" s="34"/>
      <c r="B268" s="95"/>
      <c r="C268" s="94"/>
      <c r="D268" s="96"/>
      <c r="E268" s="94"/>
      <c r="F268" s="97"/>
      <c r="G268" s="94"/>
      <c r="H268" s="94"/>
      <c r="I268" s="65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</row>
    <row r="269" spans="1:32" x14ac:dyDescent="0.25">
      <c r="A269" s="34"/>
      <c r="B269" s="95"/>
      <c r="C269" s="94"/>
      <c r="D269" s="94"/>
      <c r="E269" s="94"/>
      <c r="F269" s="94"/>
      <c r="G269" s="94"/>
      <c r="H269" s="94"/>
      <c r="I269" s="65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</row>
    <row r="270" spans="1:32" x14ac:dyDescent="0.25">
      <c r="A270" s="34"/>
      <c r="B270" s="95"/>
      <c r="C270" s="94"/>
      <c r="D270" s="94"/>
      <c r="E270" s="94"/>
      <c r="F270" s="94"/>
      <c r="G270" s="94"/>
      <c r="H270" s="94"/>
      <c r="I270" s="65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</row>
    <row r="271" spans="1:32" x14ac:dyDescent="0.25">
      <c r="A271" s="34"/>
      <c r="B271" s="34"/>
      <c r="C271" s="64"/>
      <c r="D271" s="96"/>
      <c r="E271" s="64"/>
      <c r="F271" s="97"/>
      <c r="G271" s="64"/>
      <c r="H271" s="64"/>
      <c r="I271" s="65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</row>
    <row r="272" spans="1:32" x14ac:dyDescent="0.25">
      <c r="A272" s="34"/>
      <c r="B272" s="34"/>
      <c r="C272" s="64"/>
      <c r="D272" s="64"/>
      <c r="E272" s="64"/>
      <c r="F272" s="64"/>
      <c r="G272" s="64"/>
      <c r="H272" s="64"/>
      <c r="I272" s="65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</row>
    <row r="273" spans="1:32" x14ac:dyDescent="0.25">
      <c r="A273" s="44"/>
      <c r="B273" s="34"/>
      <c r="C273" s="64"/>
      <c r="D273" s="64"/>
      <c r="E273" s="64"/>
      <c r="F273" s="64"/>
      <c r="G273" s="64"/>
      <c r="H273" s="64"/>
      <c r="I273" s="65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</row>
    <row r="274" spans="1:32" x14ac:dyDescent="0.25">
      <c r="A274" s="34"/>
      <c r="B274" s="34"/>
      <c r="C274" s="64"/>
      <c r="D274" s="64"/>
      <c r="E274" s="64"/>
      <c r="F274" s="64"/>
      <c r="G274" s="64"/>
      <c r="H274" s="64"/>
      <c r="I274" s="65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</row>
    <row r="275" spans="1:32" x14ac:dyDescent="0.25">
      <c r="A275" s="34"/>
      <c r="B275" s="34"/>
      <c r="C275" s="64"/>
      <c r="D275" s="64"/>
      <c r="E275" s="64"/>
      <c r="F275" s="64"/>
      <c r="G275" s="64"/>
      <c r="H275" s="64"/>
      <c r="I275" s="65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</row>
    <row r="276" spans="1:32" x14ac:dyDescent="0.25">
      <c r="A276" s="44"/>
      <c r="B276" s="62"/>
      <c r="C276" s="73"/>
      <c r="D276" s="73"/>
      <c r="E276" s="73"/>
      <c r="F276" s="73"/>
      <c r="G276" s="73"/>
      <c r="H276" s="64"/>
      <c r="I276" s="65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</row>
    <row r="277" spans="1:32" x14ac:dyDescent="0.25">
      <c r="A277" s="34"/>
      <c r="B277" s="62"/>
      <c r="C277" s="73"/>
      <c r="D277" s="73"/>
      <c r="E277" s="73"/>
      <c r="F277" s="73"/>
      <c r="G277" s="73"/>
      <c r="H277" s="64"/>
      <c r="I277" s="65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</row>
    <row r="278" spans="1:32" x14ac:dyDescent="0.25">
      <c r="A278" s="34"/>
      <c r="B278" s="73"/>
      <c r="C278" s="73"/>
      <c r="D278" s="73"/>
      <c r="E278" s="73"/>
      <c r="F278" s="73"/>
      <c r="G278" s="73"/>
      <c r="H278" s="64"/>
      <c r="I278" s="65"/>
      <c r="J278" s="34"/>
      <c r="K278" s="34"/>
      <c r="L278" s="34"/>
      <c r="M278" s="6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</row>
    <row r="279" spans="1:32" x14ac:dyDescent="0.25">
      <c r="A279" s="98"/>
      <c r="B279" s="73"/>
      <c r="C279" s="73"/>
      <c r="D279" s="73"/>
      <c r="E279" s="73"/>
      <c r="F279" s="73"/>
      <c r="G279" s="73"/>
      <c r="H279" s="64"/>
      <c r="I279" s="65"/>
      <c r="J279" s="34"/>
      <c r="K279" s="34"/>
      <c r="L279" s="34"/>
      <c r="M279" s="6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</row>
    <row r="280" spans="1:32" x14ac:dyDescent="0.25">
      <c r="A280" s="34"/>
      <c r="B280" s="64"/>
      <c r="C280" s="73"/>
      <c r="D280" s="73"/>
      <c r="E280" s="73"/>
      <c r="F280" s="73"/>
      <c r="G280" s="73"/>
      <c r="H280" s="64"/>
      <c r="I280" s="65"/>
      <c r="J280" s="34"/>
      <c r="K280" s="34"/>
      <c r="L280" s="34"/>
      <c r="M280" s="6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</row>
    <row r="281" spans="1:32" x14ac:dyDescent="0.25">
      <c r="A281" s="98"/>
      <c r="B281" s="64"/>
      <c r="C281" s="73"/>
      <c r="D281" s="73"/>
      <c r="E281" s="73"/>
      <c r="F281" s="73"/>
      <c r="G281" s="73"/>
      <c r="H281" s="64"/>
      <c r="I281" s="65"/>
      <c r="J281" s="34"/>
      <c r="K281" s="34"/>
      <c r="L281" s="34"/>
      <c r="M281" s="6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</row>
    <row r="282" spans="1:32" x14ac:dyDescent="0.25">
      <c r="A282" s="34"/>
      <c r="B282" s="73"/>
      <c r="C282" s="73"/>
      <c r="D282" s="73"/>
      <c r="E282" s="73"/>
      <c r="F282" s="73"/>
      <c r="G282" s="73"/>
      <c r="H282" s="64"/>
      <c r="I282" s="65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</row>
    <row r="283" spans="1:32" x14ac:dyDescent="0.25">
      <c r="A283" s="99"/>
      <c r="B283" s="64"/>
      <c r="C283" s="64"/>
      <c r="D283" s="64"/>
      <c r="E283" s="64"/>
      <c r="F283" s="64"/>
      <c r="G283" s="64"/>
      <c r="H283" s="64"/>
      <c r="I283" s="65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</row>
    <row r="284" spans="1:32" x14ac:dyDescent="0.25">
      <c r="A284" s="34"/>
      <c r="B284" s="100"/>
      <c r="C284" s="97"/>
      <c r="D284" s="64"/>
      <c r="E284" s="64"/>
      <c r="F284" s="64"/>
      <c r="G284" s="64"/>
      <c r="H284" s="64"/>
      <c r="I284" s="65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</row>
    <row r="285" spans="1:32" x14ac:dyDescent="0.25">
      <c r="A285" s="98"/>
      <c r="B285" s="64"/>
      <c r="C285" s="64"/>
      <c r="D285" s="64"/>
      <c r="E285" s="64"/>
      <c r="F285" s="64"/>
      <c r="G285" s="64"/>
      <c r="H285" s="64"/>
      <c r="I285" s="65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</row>
    <row r="286" spans="1:32" x14ac:dyDescent="0.25">
      <c r="A286" s="34"/>
      <c r="B286" s="64"/>
      <c r="C286" s="64"/>
      <c r="D286" s="64"/>
      <c r="E286" s="64"/>
      <c r="F286" s="64"/>
      <c r="G286" s="64"/>
      <c r="H286" s="64"/>
      <c r="I286" s="65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</row>
    <row r="287" spans="1:32" x14ac:dyDescent="0.25">
      <c r="B287" s="52"/>
      <c r="C287" s="52"/>
      <c r="D287" s="52"/>
      <c r="E287" s="52"/>
      <c r="F287" s="52"/>
      <c r="G287" s="52"/>
      <c r="H287" s="52"/>
      <c r="I287" s="66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</row>
    <row r="288" spans="1:32" x14ac:dyDescent="0.25">
      <c r="A288" s="32"/>
      <c r="B288" s="52"/>
      <c r="C288" s="52"/>
      <c r="D288" s="52"/>
      <c r="E288" s="52"/>
      <c r="F288" s="52"/>
      <c r="G288" s="52"/>
      <c r="H288" s="52"/>
      <c r="I288" s="66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</row>
    <row r="289" spans="1:32" x14ac:dyDescent="0.25">
      <c r="A289" s="32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</row>
    <row r="290" spans="1:32" x14ac:dyDescent="0.25">
      <c r="E290" s="101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</row>
    <row r="291" spans="1:32" x14ac:dyDescent="0.25">
      <c r="E291" s="101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</row>
    <row r="292" spans="1:32" x14ac:dyDescent="0.25"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</row>
    <row r="293" spans="1:32" x14ac:dyDescent="0.25">
      <c r="E293" s="101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</row>
    <row r="294" spans="1:32" x14ac:dyDescent="0.25"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</row>
    <row r="295" spans="1:32" x14ac:dyDescent="0.25">
      <c r="B295" s="102"/>
      <c r="C295" s="102"/>
      <c r="D295" s="102"/>
      <c r="E295" s="102"/>
      <c r="F295" s="102"/>
      <c r="G295" s="102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</row>
    <row r="296" spans="1:32" x14ac:dyDescent="0.25">
      <c r="B296" s="66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</row>
    <row r="297" spans="1:32" x14ac:dyDescent="0.25">
      <c r="B297" s="66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</row>
    <row r="298" spans="1:32" x14ac:dyDescent="0.25">
      <c r="B298" s="103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</row>
    <row r="299" spans="1:32" x14ac:dyDescent="0.25">
      <c r="C299" s="104"/>
      <c r="D299" s="104"/>
      <c r="E299" s="104"/>
      <c r="F299" s="104"/>
      <c r="G299" s="66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</row>
    <row r="300" spans="1:32" x14ac:dyDescent="0.25">
      <c r="C300" s="104"/>
      <c r="D300" s="104"/>
      <c r="E300" s="104"/>
      <c r="F300" s="104"/>
      <c r="G300" s="66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</row>
    <row r="301" spans="1:32" x14ac:dyDescent="0.25">
      <c r="A301" s="32"/>
      <c r="B301" s="32"/>
      <c r="C301" s="105"/>
      <c r="D301" s="105"/>
      <c r="E301" s="105"/>
      <c r="F301" s="105"/>
      <c r="G301" s="66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</row>
    <row r="302" spans="1:32" x14ac:dyDescent="0.25">
      <c r="A302" s="32"/>
      <c r="B302" s="32"/>
      <c r="C302" s="105"/>
      <c r="D302" s="105"/>
      <c r="E302" s="105"/>
      <c r="F302" s="105"/>
      <c r="G302" s="66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</row>
    <row r="303" spans="1:32" x14ac:dyDescent="0.25">
      <c r="A303" s="32"/>
      <c r="B303" s="32"/>
      <c r="C303" s="105"/>
      <c r="D303" s="105"/>
      <c r="E303" s="105"/>
      <c r="F303" s="105"/>
      <c r="G303" s="66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</row>
    <row r="304" spans="1:32" x14ac:dyDescent="0.25">
      <c r="C304" s="104"/>
      <c r="D304" s="104"/>
      <c r="E304" s="104"/>
      <c r="F304" s="104"/>
      <c r="G304" s="66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</row>
    <row r="305" spans="1:32" x14ac:dyDescent="0.25">
      <c r="C305" s="104"/>
      <c r="D305" s="104"/>
      <c r="E305" s="104"/>
      <c r="F305" s="104"/>
      <c r="G305" s="10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</row>
    <row r="306" spans="1:32" x14ac:dyDescent="0.25">
      <c r="C306" s="104"/>
      <c r="D306" s="104"/>
      <c r="E306" s="104"/>
      <c r="F306" s="104"/>
      <c r="G306" s="104"/>
      <c r="H306" s="10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</row>
    <row r="307" spans="1:32" x14ac:dyDescent="0.25">
      <c r="C307" s="104"/>
      <c r="D307" s="104"/>
      <c r="E307" s="104"/>
      <c r="F307" s="104"/>
      <c r="G307" s="66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</row>
    <row r="308" spans="1:32" x14ac:dyDescent="0.25">
      <c r="A308" s="32"/>
      <c r="B308" s="32"/>
      <c r="C308" s="105"/>
      <c r="D308" s="105"/>
      <c r="E308" s="105"/>
      <c r="F308" s="105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</row>
    <row r="309" spans="1:32" x14ac:dyDescent="0.25">
      <c r="A309" s="32"/>
      <c r="B309" s="103"/>
      <c r="C309" s="105"/>
      <c r="D309" s="105"/>
      <c r="E309" s="105"/>
      <c r="F309" s="105"/>
      <c r="G309" s="66"/>
      <c r="H309" s="39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</row>
    <row r="310" spans="1:32" x14ac:dyDescent="0.25"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</row>
    <row r="311" spans="1:32" x14ac:dyDescent="0.25">
      <c r="A311" s="66"/>
      <c r="H311" s="101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</row>
    <row r="312" spans="1:32" x14ac:dyDescent="0.25">
      <c r="A312" s="39"/>
      <c r="B312" s="10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</row>
    <row r="313" spans="1:32" x14ac:dyDescent="0.25">
      <c r="A313" s="39"/>
      <c r="B313" s="10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</row>
    <row r="314" spans="1:32" x14ac:dyDescent="0.25">
      <c r="A314" s="39"/>
      <c r="B314" s="10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</row>
    <row r="315" spans="1:32" x14ac:dyDescent="0.25">
      <c r="A315" s="39"/>
      <c r="B315" s="10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</row>
    <row r="316" spans="1:32" x14ac:dyDescent="0.25">
      <c r="A316" s="39"/>
      <c r="B316" s="104"/>
      <c r="C316" s="10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</row>
    <row r="317" spans="1:32" x14ac:dyDescent="0.25">
      <c r="A317" s="106"/>
      <c r="B317" s="104"/>
      <c r="C317" s="10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</row>
    <row r="318" spans="1:32" x14ac:dyDescent="0.25">
      <c r="A318" s="39"/>
      <c r="B318" s="104"/>
      <c r="C318" s="10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</row>
    <row r="319" spans="1:32" x14ac:dyDescent="0.25">
      <c r="B319" s="39"/>
      <c r="C319" s="10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</row>
    <row r="320" spans="1:32" x14ac:dyDescent="0.25">
      <c r="B320" s="39"/>
      <c r="C320" s="10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</row>
    <row r="321" spans="1:32" x14ac:dyDescent="0.25">
      <c r="B321" s="39"/>
      <c r="C321" s="10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</row>
    <row r="322" spans="1:32" x14ac:dyDescent="0.25">
      <c r="B322" s="39"/>
      <c r="C322" s="10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</row>
    <row r="323" spans="1:32" x14ac:dyDescent="0.25">
      <c r="B323" s="39"/>
      <c r="C323" s="10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</row>
    <row r="324" spans="1:32" x14ac:dyDescent="0.25">
      <c r="A324" s="107"/>
      <c r="B324" s="39"/>
      <c r="C324" s="104"/>
      <c r="D324" s="39"/>
      <c r="E324" s="66"/>
      <c r="F324" s="66"/>
      <c r="G324" s="66"/>
      <c r="H324" s="66"/>
      <c r="I324" s="66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</row>
    <row r="325" spans="1:32" x14ac:dyDescent="0.25">
      <c r="B325" s="108"/>
      <c r="C325" s="104"/>
      <c r="D325" s="39"/>
      <c r="E325" s="66"/>
      <c r="F325" s="66"/>
      <c r="G325" s="66"/>
      <c r="H325" s="66"/>
      <c r="I325" s="66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</row>
    <row r="326" spans="1:32" x14ac:dyDescent="0.25">
      <c r="B326" s="39"/>
      <c r="C326" s="104"/>
      <c r="D326" s="39"/>
      <c r="E326" s="66"/>
      <c r="F326" s="66"/>
      <c r="G326" s="66"/>
      <c r="H326" s="66"/>
      <c r="I326" s="66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</row>
    <row r="327" spans="1:32" x14ac:dyDescent="0.25">
      <c r="B327" s="39"/>
      <c r="C327" s="10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</row>
    <row r="328" spans="1:32" x14ac:dyDescent="0.25">
      <c r="D328" s="109"/>
      <c r="E328" s="39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</row>
    <row r="329" spans="1:32" x14ac:dyDescent="0.25"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</row>
    <row r="330" spans="1:32" x14ac:dyDescent="0.25"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</row>
    <row r="331" spans="1:32" x14ac:dyDescent="0.25">
      <c r="A331" s="109"/>
      <c r="B331" s="106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</row>
    <row r="332" spans="1:32" x14ac:dyDescent="0.25"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</row>
    <row r="333" spans="1:32" x14ac:dyDescent="0.25"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</row>
    <row r="334" spans="1:32" x14ac:dyDescent="0.25">
      <c r="A334" s="34"/>
      <c r="B334" s="64"/>
      <c r="C334" s="64"/>
      <c r="D334" s="64"/>
      <c r="E334" s="64"/>
      <c r="F334" s="64"/>
      <c r="G334" s="64"/>
      <c r="H334" s="64"/>
      <c r="I334" s="65"/>
      <c r="J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</row>
    <row r="335" spans="1:32" x14ac:dyDescent="0.25">
      <c r="A335" s="44"/>
      <c r="B335" s="34"/>
      <c r="C335" s="34"/>
      <c r="D335" s="34"/>
      <c r="E335" s="34"/>
      <c r="F335" s="34"/>
      <c r="G335" s="34"/>
      <c r="H335" s="34"/>
      <c r="I335" s="34"/>
      <c r="J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</row>
    <row r="336" spans="1:32" x14ac:dyDescent="0.25">
      <c r="A336" s="34"/>
      <c r="B336" s="34"/>
      <c r="C336" s="34"/>
      <c r="D336" s="110"/>
      <c r="E336" s="44"/>
      <c r="F336" s="44"/>
      <c r="G336" s="34"/>
      <c r="H336" s="34"/>
      <c r="I336" s="34"/>
      <c r="J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</row>
    <row r="337" spans="1:32" x14ac:dyDescent="0.25">
      <c r="A337" s="44"/>
      <c r="B337" s="34"/>
      <c r="C337" s="34"/>
      <c r="D337" s="34"/>
      <c r="E337" s="34"/>
      <c r="F337" s="34"/>
      <c r="G337" s="34"/>
      <c r="H337" s="34"/>
      <c r="I337" s="34"/>
      <c r="J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</row>
    <row r="338" spans="1:32" x14ac:dyDescent="0.25">
      <c r="A338" s="34"/>
      <c r="B338" s="62"/>
      <c r="C338" s="62"/>
      <c r="D338" s="62"/>
      <c r="E338" s="62"/>
      <c r="F338" s="62"/>
      <c r="G338" s="62"/>
      <c r="H338" s="62"/>
      <c r="I338" s="34"/>
      <c r="J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</row>
    <row r="339" spans="1:32" x14ac:dyDescent="0.25">
      <c r="A339" s="34"/>
      <c r="B339" s="111"/>
      <c r="C339" s="111"/>
      <c r="D339" s="111"/>
      <c r="E339" s="111"/>
      <c r="F339" s="111"/>
      <c r="G339" s="111"/>
      <c r="H339" s="111"/>
      <c r="I339" s="34"/>
      <c r="J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</row>
    <row r="340" spans="1:32" x14ac:dyDescent="0.25">
      <c r="A340" s="34"/>
      <c r="B340" s="111"/>
      <c r="C340" s="111"/>
      <c r="D340" s="111"/>
      <c r="E340" s="111"/>
      <c r="F340" s="111"/>
      <c r="G340" s="111"/>
      <c r="H340" s="111"/>
      <c r="I340" s="34"/>
      <c r="J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</row>
    <row r="341" spans="1:32" x14ac:dyDescent="0.25">
      <c r="A341" s="34"/>
      <c r="B341" s="111"/>
      <c r="C341" s="111"/>
      <c r="D341" s="111"/>
      <c r="E341" s="111"/>
      <c r="F341" s="111"/>
      <c r="G341" s="111"/>
      <c r="H341" s="111"/>
      <c r="I341" s="34"/>
      <c r="J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</row>
    <row r="342" spans="1:32" x14ac:dyDescent="0.25">
      <c r="A342" s="34"/>
      <c r="B342" s="111"/>
      <c r="C342" s="111"/>
      <c r="D342" s="111"/>
      <c r="E342" s="111"/>
      <c r="F342" s="111"/>
      <c r="G342" s="111"/>
      <c r="H342" s="111"/>
      <c r="I342" s="34"/>
      <c r="J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</row>
    <row r="343" spans="1:32" x14ac:dyDescent="0.25">
      <c r="A343" s="34"/>
      <c r="B343" s="64"/>
      <c r="C343" s="112"/>
      <c r="D343" s="112"/>
      <c r="E343" s="113"/>
      <c r="F343" s="113"/>
      <c r="G343" s="113"/>
      <c r="H343" s="113"/>
      <c r="I343" s="58"/>
      <c r="J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</row>
    <row r="344" spans="1:32" x14ac:dyDescent="0.25">
      <c r="A344" s="34"/>
      <c r="B344" s="64"/>
      <c r="C344" s="64"/>
      <c r="D344" s="64"/>
      <c r="E344" s="64"/>
      <c r="F344" s="64"/>
      <c r="G344" s="64"/>
      <c r="H344" s="64"/>
      <c r="I344" s="64"/>
      <c r="J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</row>
    <row r="345" spans="1:32" x14ac:dyDescent="0.25">
      <c r="A345" s="34"/>
      <c r="B345" s="64"/>
      <c r="C345" s="64"/>
      <c r="D345" s="64"/>
      <c r="E345" s="64"/>
      <c r="F345" s="64"/>
      <c r="G345" s="64"/>
      <c r="H345" s="64"/>
      <c r="I345" s="34"/>
      <c r="J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</row>
    <row r="346" spans="1:32" x14ac:dyDescent="0.25">
      <c r="A346" s="34"/>
      <c r="B346" s="64"/>
      <c r="C346" s="111"/>
      <c r="D346" s="111"/>
      <c r="E346" s="111"/>
      <c r="F346" s="111"/>
      <c r="G346" s="111"/>
      <c r="H346" s="111"/>
      <c r="I346" s="34"/>
      <c r="J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</row>
    <row r="347" spans="1:32" x14ac:dyDescent="0.25">
      <c r="A347" s="34"/>
      <c r="B347" s="34"/>
      <c r="C347" s="34"/>
      <c r="D347" s="34"/>
      <c r="E347" s="34"/>
      <c r="F347" s="34"/>
      <c r="G347" s="34"/>
      <c r="H347" s="111"/>
      <c r="I347" s="34"/>
      <c r="J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</row>
    <row r="348" spans="1:32" x14ac:dyDescent="0.25">
      <c r="A348" s="34"/>
      <c r="B348" s="64"/>
      <c r="C348" s="111"/>
      <c r="D348" s="111"/>
      <c r="E348" s="111"/>
      <c r="F348" s="111"/>
      <c r="G348" s="111"/>
      <c r="H348" s="111"/>
      <c r="I348" s="34"/>
      <c r="J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</row>
    <row r="349" spans="1:32" x14ac:dyDescent="0.25">
      <c r="A349" s="34"/>
      <c r="B349" s="111"/>
      <c r="C349" s="111"/>
      <c r="D349" s="111"/>
      <c r="E349" s="111"/>
      <c r="F349" s="111"/>
      <c r="G349" s="111"/>
      <c r="H349" s="111"/>
      <c r="I349" s="34"/>
      <c r="J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</row>
    <row r="350" spans="1:32" x14ac:dyDescent="0.25">
      <c r="A350" s="34"/>
      <c r="B350" s="64"/>
      <c r="C350" s="64"/>
      <c r="D350" s="64"/>
      <c r="E350" s="64"/>
      <c r="F350" s="64"/>
      <c r="G350" s="64"/>
      <c r="H350" s="64"/>
      <c r="I350" s="34"/>
      <c r="J350" s="34"/>
    </row>
    <row r="351" spans="1:32" x14ac:dyDescent="0.25">
      <c r="A351" s="34"/>
      <c r="B351" s="64"/>
      <c r="C351" s="64"/>
      <c r="D351" s="64"/>
      <c r="E351" s="64"/>
      <c r="F351" s="64"/>
      <c r="G351" s="64"/>
      <c r="H351" s="64"/>
      <c r="I351" s="34"/>
      <c r="J351" s="34"/>
    </row>
    <row r="352" spans="1:32" x14ac:dyDescent="0.25">
      <c r="A352" s="34"/>
      <c r="B352" s="111"/>
      <c r="C352" s="64"/>
      <c r="D352" s="64"/>
      <c r="E352" s="64"/>
      <c r="F352" s="64"/>
      <c r="G352" s="64"/>
      <c r="H352" s="64"/>
      <c r="I352" s="34"/>
      <c r="J352" s="34"/>
    </row>
    <row r="353" spans="1:10" x14ac:dyDescent="0.25">
      <c r="A353" s="34"/>
      <c r="B353" s="64"/>
      <c r="C353" s="64"/>
      <c r="D353" s="64"/>
      <c r="E353" s="64"/>
      <c r="F353" s="64"/>
      <c r="G353" s="64"/>
      <c r="H353" s="64"/>
      <c r="I353" s="34"/>
      <c r="J353" s="34"/>
    </row>
    <row r="354" spans="1:10" x14ac:dyDescent="0.25">
      <c r="A354" s="34"/>
      <c r="B354" s="55"/>
      <c r="C354" s="34"/>
      <c r="D354" s="34"/>
      <c r="E354" s="34"/>
      <c r="F354" s="34"/>
      <c r="G354" s="34"/>
      <c r="H354" s="34"/>
      <c r="I354" s="34"/>
      <c r="J354" s="34"/>
    </row>
    <row r="355" spans="1:10" x14ac:dyDescent="0.25">
      <c r="A355" s="34"/>
      <c r="B355" s="34"/>
      <c r="C355" s="34"/>
      <c r="D355" s="34"/>
      <c r="E355" s="34"/>
      <c r="F355" s="34"/>
      <c r="G355" s="34"/>
      <c r="H355" s="34"/>
      <c r="I355" s="34"/>
      <c r="J355" s="34"/>
    </row>
    <row r="356" spans="1:10" x14ac:dyDescent="0.25">
      <c r="A356" s="34"/>
      <c r="B356" s="34"/>
      <c r="C356" s="34"/>
      <c r="D356" s="34"/>
      <c r="E356" s="34"/>
      <c r="F356" s="34"/>
      <c r="G356" s="34"/>
      <c r="H356" s="34"/>
      <c r="I356" s="34"/>
      <c r="J356" s="34"/>
    </row>
    <row r="357" spans="1:10" x14ac:dyDescent="0.25">
      <c r="A357" s="34"/>
      <c r="B357" s="34"/>
      <c r="C357" s="34"/>
      <c r="D357" s="110"/>
      <c r="E357" s="44"/>
      <c r="F357" s="44"/>
      <c r="G357" s="34"/>
      <c r="H357" s="34"/>
      <c r="I357" s="34"/>
      <c r="J357" s="34"/>
    </row>
    <row r="358" spans="1:10" x14ac:dyDescent="0.25">
      <c r="A358" s="44"/>
      <c r="B358" s="34"/>
      <c r="C358" s="34"/>
      <c r="D358" s="34"/>
      <c r="E358" s="34"/>
      <c r="F358" s="34"/>
      <c r="G358" s="34"/>
      <c r="H358" s="34"/>
      <c r="I358" s="34"/>
      <c r="J358" s="34"/>
    </row>
    <row r="359" spans="1:10" x14ac:dyDescent="0.25">
      <c r="A359" s="34"/>
      <c r="B359" s="62"/>
      <c r="C359" s="62"/>
      <c r="D359" s="62"/>
      <c r="E359" s="62"/>
      <c r="F359" s="62"/>
      <c r="G359" s="62"/>
      <c r="H359" s="62"/>
      <c r="I359" s="34"/>
      <c r="J359" s="34"/>
    </row>
    <row r="360" spans="1:10" x14ac:dyDescent="0.25">
      <c r="A360" s="34"/>
      <c r="B360" s="111"/>
      <c r="C360" s="111"/>
      <c r="D360" s="111"/>
      <c r="E360" s="111"/>
      <c r="F360" s="111"/>
      <c r="G360" s="111"/>
      <c r="H360" s="111"/>
      <c r="I360" s="34"/>
      <c r="J360" s="34"/>
    </row>
    <row r="361" spans="1:10" x14ac:dyDescent="0.25">
      <c r="A361" s="34"/>
      <c r="B361" s="111"/>
      <c r="C361" s="111"/>
      <c r="D361" s="111"/>
      <c r="E361" s="111"/>
      <c r="F361" s="111"/>
      <c r="G361" s="111"/>
      <c r="H361" s="111"/>
      <c r="I361" s="34"/>
      <c r="J361" s="34"/>
    </row>
    <row r="362" spans="1:10" x14ac:dyDescent="0.25">
      <c r="A362" s="34"/>
      <c r="B362" s="111"/>
      <c r="C362" s="111"/>
      <c r="D362" s="111"/>
      <c r="E362" s="111"/>
      <c r="F362" s="111"/>
      <c r="G362" s="111"/>
      <c r="H362" s="111"/>
      <c r="I362" s="34"/>
      <c r="J362" s="34"/>
    </row>
    <row r="363" spans="1:10" x14ac:dyDescent="0.25">
      <c r="A363" s="34"/>
      <c r="B363" s="111"/>
      <c r="C363" s="111"/>
      <c r="D363" s="111"/>
      <c r="E363" s="111"/>
      <c r="F363" s="111"/>
      <c r="G363" s="111"/>
      <c r="H363" s="111"/>
      <c r="I363" s="34"/>
      <c r="J363" s="34"/>
    </row>
    <row r="364" spans="1:10" x14ac:dyDescent="0.25">
      <c r="A364" s="34"/>
      <c r="B364" s="64"/>
      <c r="C364" s="114"/>
      <c r="D364" s="114"/>
      <c r="E364" s="114"/>
      <c r="F364" s="114"/>
      <c r="G364" s="114"/>
      <c r="H364" s="114"/>
      <c r="I364" s="115"/>
      <c r="J364" s="34"/>
    </row>
    <row r="365" spans="1:10" x14ac:dyDescent="0.25">
      <c r="A365" s="34"/>
      <c r="B365" s="64"/>
      <c r="C365" s="64"/>
      <c r="D365" s="64"/>
      <c r="E365" s="64"/>
      <c r="F365" s="64"/>
      <c r="G365" s="64"/>
      <c r="H365" s="64"/>
      <c r="I365" s="64"/>
      <c r="J365" s="34"/>
    </row>
    <row r="366" spans="1:10" x14ac:dyDescent="0.25">
      <c r="A366" s="34"/>
      <c r="B366" s="64"/>
      <c r="C366" s="64"/>
      <c r="D366" s="64"/>
      <c r="E366" s="64"/>
      <c r="F366" s="64"/>
      <c r="G366" s="64"/>
      <c r="H366" s="64"/>
      <c r="I366" s="34"/>
      <c r="J366" s="34"/>
    </row>
    <row r="367" spans="1:10" x14ac:dyDescent="0.25">
      <c r="A367" s="116"/>
      <c r="B367" s="64"/>
      <c r="C367" s="111"/>
      <c r="D367" s="111"/>
      <c r="E367" s="111"/>
      <c r="F367" s="111"/>
      <c r="G367" s="111"/>
      <c r="H367" s="111"/>
      <c r="I367" s="34"/>
      <c r="J367" s="34"/>
    </row>
    <row r="368" spans="1:10" x14ac:dyDescent="0.25">
      <c r="A368" s="34"/>
      <c r="B368" s="34"/>
      <c r="C368" s="34"/>
      <c r="D368" s="34"/>
      <c r="E368" s="34"/>
      <c r="F368" s="34"/>
      <c r="G368" s="34"/>
      <c r="H368" s="117"/>
      <c r="I368" s="34"/>
      <c r="J368" s="34"/>
    </row>
    <row r="369" spans="1:10" x14ac:dyDescent="0.25">
      <c r="A369" s="34"/>
      <c r="B369" s="64"/>
      <c r="C369" s="111"/>
      <c r="D369" s="111"/>
      <c r="E369" s="111"/>
      <c r="F369" s="111"/>
      <c r="G369" s="111"/>
      <c r="H369" s="111"/>
      <c r="I369" s="34"/>
      <c r="J369" s="34"/>
    </row>
    <row r="370" spans="1:10" x14ac:dyDescent="0.25">
      <c r="A370" s="34"/>
      <c r="B370" s="111"/>
      <c r="C370" s="111"/>
      <c r="D370" s="111"/>
      <c r="E370" s="111"/>
      <c r="F370" s="111"/>
      <c r="G370" s="111"/>
      <c r="H370" s="111"/>
      <c r="I370" s="34"/>
      <c r="J370" s="34"/>
    </row>
    <row r="371" spans="1:10" x14ac:dyDescent="0.25">
      <c r="A371" s="34"/>
      <c r="B371" s="64"/>
      <c r="C371" s="64"/>
      <c r="D371" s="64"/>
      <c r="E371" s="64"/>
      <c r="F371" s="64"/>
      <c r="G371" s="64"/>
      <c r="H371" s="64"/>
      <c r="I371" s="34"/>
      <c r="J371" s="34"/>
    </row>
    <row r="372" spans="1:10" x14ac:dyDescent="0.25">
      <c r="A372" s="34"/>
      <c r="B372" s="64"/>
      <c r="C372" s="64"/>
      <c r="D372" s="64"/>
      <c r="E372" s="64"/>
      <c r="F372" s="64"/>
      <c r="G372" s="64"/>
      <c r="H372" s="52"/>
    </row>
    <row r="373" spans="1:10" x14ac:dyDescent="0.25">
      <c r="A373" s="34"/>
      <c r="B373" s="111"/>
      <c r="C373" s="64"/>
      <c r="D373" s="64"/>
      <c r="E373" s="64"/>
      <c r="F373" s="64"/>
      <c r="G373" s="64"/>
      <c r="H373" s="52"/>
    </row>
    <row r="374" spans="1:10" x14ac:dyDescent="0.25">
      <c r="A374" s="34"/>
      <c r="B374" s="64"/>
      <c r="C374" s="64"/>
      <c r="D374" s="116"/>
      <c r="E374" s="64"/>
      <c r="F374" s="64"/>
      <c r="G374" s="64"/>
      <c r="H374" s="52"/>
    </row>
    <row r="375" spans="1:10" x14ac:dyDescent="0.25">
      <c r="A375" s="34"/>
      <c r="B375" s="55"/>
      <c r="C375" s="34"/>
      <c r="D375" s="116"/>
      <c r="E375" s="34"/>
      <c r="F375" s="34"/>
      <c r="G375" s="34"/>
    </row>
    <row r="376" spans="1:10" x14ac:dyDescent="0.25">
      <c r="A376" s="34"/>
      <c r="B376" s="34"/>
      <c r="C376" s="34"/>
      <c r="D376" s="116"/>
      <c r="E376" s="34"/>
      <c r="F376" s="34"/>
      <c r="G376" s="34"/>
    </row>
    <row r="377" spans="1:10" x14ac:dyDescent="0.25">
      <c r="A377" s="34"/>
      <c r="B377" s="65"/>
      <c r="C377" s="65"/>
      <c r="D377" s="65"/>
      <c r="E377" s="65"/>
      <c r="F377" s="65"/>
      <c r="G377" s="65"/>
      <c r="H377" s="66"/>
      <c r="I377" s="66"/>
    </row>
    <row r="378" spans="1:10" x14ac:dyDescent="0.25">
      <c r="A378" s="34"/>
      <c r="B378" s="34"/>
      <c r="C378" s="34"/>
      <c r="D378" s="34"/>
      <c r="E378" s="34"/>
      <c r="F378" s="34"/>
      <c r="G378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38.140625" bestFit="1" customWidth="1"/>
    <col min="2" max="2" width="13.7109375" bestFit="1" customWidth="1"/>
    <col min="3" max="6" width="10.85546875" bestFit="1" customWidth="1"/>
    <col min="7" max="7" width="12.28515625" bestFit="1" customWidth="1"/>
  </cols>
  <sheetData>
    <row r="1" spans="1:22" x14ac:dyDescent="0.25">
      <c r="A1" s="4" t="s">
        <v>4</v>
      </c>
    </row>
    <row r="3" spans="1:22" x14ac:dyDescent="0.25">
      <c r="A3" s="4" t="s">
        <v>6</v>
      </c>
    </row>
    <row r="4" spans="1:22" x14ac:dyDescent="0.25">
      <c r="A4" t="s">
        <v>3</v>
      </c>
      <c r="B4" s="2">
        <v>500000</v>
      </c>
    </row>
    <row r="5" spans="1:22" x14ac:dyDescent="0.25">
      <c r="A5" t="s">
        <v>7</v>
      </c>
      <c r="B5" s="1">
        <v>0.03</v>
      </c>
    </row>
    <row r="6" spans="1:22" x14ac:dyDescent="0.25">
      <c r="A6" t="s">
        <v>14</v>
      </c>
      <c r="B6" s="1">
        <v>0.08</v>
      </c>
    </row>
    <row r="7" spans="1:22" x14ac:dyDescent="0.25">
      <c r="A7" t="s">
        <v>8</v>
      </c>
      <c r="B7">
        <v>5</v>
      </c>
    </row>
    <row r="8" spans="1:22" x14ac:dyDescent="0.25">
      <c r="A8" t="s">
        <v>9</v>
      </c>
      <c r="B8" s="1">
        <v>0.12</v>
      </c>
    </row>
    <row r="10" spans="1:22" s="6" customFormat="1" x14ac:dyDescent="0.25">
      <c r="B10" s="6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>
        <v>16</v>
      </c>
      <c r="S10" s="6">
        <v>17</v>
      </c>
      <c r="T10" s="6">
        <v>18</v>
      </c>
      <c r="U10" s="6">
        <v>19</v>
      </c>
      <c r="V10" s="6">
        <v>20</v>
      </c>
    </row>
    <row r="11" spans="1:22" s="4" customFormat="1" x14ac:dyDescent="0.25">
      <c r="A11" s="4" t="s">
        <v>5</v>
      </c>
      <c r="B11" s="4">
        <f t="shared" ref="B11:F11" si="0">IF(B10&lt;=$B$7,B10,"")</f>
        <v>0</v>
      </c>
      <c r="C11" s="4">
        <f t="shared" si="0"/>
        <v>1</v>
      </c>
      <c r="D11" s="4">
        <f t="shared" si="0"/>
        <v>2</v>
      </c>
      <c r="E11" s="4">
        <f t="shared" si="0"/>
        <v>3</v>
      </c>
      <c r="F11" s="4">
        <f t="shared" si="0"/>
        <v>4</v>
      </c>
      <c r="G11" s="4">
        <f>IF(G10&lt;=$B$7,G10,"")</f>
        <v>5</v>
      </c>
      <c r="H11" s="4" t="str">
        <f t="shared" ref="H11:V11" si="1">IF(H10&lt;=$B$7,H10,"")</f>
        <v/>
      </c>
      <c r="I11" s="4" t="str">
        <f t="shared" si="1"/>
        <v/>
      </c>
      <c r="J11" s="4" t="str">
        <f t="shared" si="1"/>
        <v/>
      </c>
      <c r="K11" s="4" t="str">
        <f t="shared" si="1"/>
        <v/>
      </c>
      <c r="L11" s="4" t="str">
        <f t="shared" si="1"/>
        <v/>
      </c>
      <c r="M11" s="4" t="str">
        <f t="shared" si="1"/>
        <v/>
      </c>
      <c r="N11" s="4" t="str">
        <f t="shared" ref="N11" si="2">IF(N10&lt;=$B$7,N10,"")</f>
        <v/>
      </c>
      <c r="O11" s="4" t="str">
        <f t="shared" si="1"/>
        <v/>
      </c>
      <c r="P11" s="4" t="str">
        <f t="shared" si="1"/>
        <v/>
      </c>
      <c r="Q11" s="4" t="str">
        <f t="shared" si="1"/>
        <v/>
      </c>
      <c r="R11" s="4" t="str">
        <f t="shared" si="1"/>
        <v/>
      </c>
      <c r="S11" s="4" t="str">
        <f t="shared" si="1"/>
        <v/>
      </c>
      <c r="T11" s="4" t="str">
        <f t="shared" si="1"/>
        <v/>
      </c>
      <c r="U11" s="4" t="str">
        <f t="shared" si="1"/>
        <v/>
      </c>
      <c r="V11" s="4" t="str">
        <f t="shared" si="1"/>
        <v/>
      </c>
    </row>
    <row r="12" spans="1:22" x14ac:dyDescent="0.25">
      <c r="A12" t="s">
        <v>3</v>
      </c>
      <c r="B12" s="2">
        <f>B4</f>
        <v>500000</v>
      </c>
      <c r="C12" s="2">
        <f>IF(C10&lt;=$B$7,B12*(1+$B$5),"")</f>
        <v>515000</v>
      </c>
      <c r="D12" s="2">
        <f t="shared" ref="D12:H12" si="3">IF(D10&lt;=$B$7,C12*(1+$B$5),"")</f>
        <v>530450</v>
      </c>
      <c r="E12" s="2">
        <f t="shared" si="3"/>
        <v>546363.5</v>
      </c>
      <c r="F12" s="2">
        <f t="shared" si="3"/>
        <v>562754.40500000003</v>
      </c>
      <c r="G12" s="2">
        <f t="shared" si="3"/>
        <v>579637.03714999999</v>
      </c>
      <c r="H12" s="2" t="str">
        <f t="shared" si="3"/>
        <v/>
      </c>
      <c r="I12" s="2" t="str">
        <f t="shared" ref="I12" si="4">IF(I10&lt;=$B$7,H12*(1+$B$5),"")</f>
        <v/>
      </c>
      <c r="J12" s="2" t="str">
        <f t="shared" ref="J12" si="5">IF(J10&lt;=$B$7,I12*(1+$B$5),"")</f>
        <v/>
      </c>
      <c r="K12" s="2" t="str">
        <f t="shared" ref="K12" si="6">IF(K10&lt;=$B$7,J12*(1+$B$5),"")</f>
        <v/>
      </c>
      <c r="L12" s="2" t="str">
        <f t="shared" ref="L12" si="7">IF(L10&lt;=$B$7,K12*(1+$B$5),"")</f>
        <v/>
      </c>
      <c r="M12" s="2" t="str">
        <f t="shared" ref="M12:N12" si="8">IF(M10&lt;=$B$7,L12*(1+$B$5),"")</f>
        <v/>
      </c>
      <c r="N12" s="2" t="str">
        <f t="shared" si="8"/>
        <v/>
      </c>
      <c r="O12" s="2" t="str">
        <f t="shared" ref="O12" si="9">IF(O10&lt;=$B$7,N12*(1+$B$5),"")</f>
        <v/>
      </c>
      <c r="P12" s="2" t="str">
        <f t="shared" ref="P12" si="10">IF(P10&lt;=$B$7,O12*(1+$B$5),"")</f>
        <v/>
      </c>
      <c r="Q12" s="2" t="str">
        <f t="shared" ref="Q12" si="11">IF(Q10&lt;=$B$7,P12*(1+$B$5),"")</f>
        <v/>
      </c>
      <c r="R12" s="2" t="str">
        <f t="shared" ref="R12" si="12">IF(R10&lt;=$B$7,Q12*(1+$B$5),"")</f>
        <v/>
      </c>
      <c r="S12" s="2" t="str">
        <f t="shared" ref="S12" si="13">IF(S10&lt;=$B$7,R12*(1+$B$5),"")</f>
        <v/>
      </c>
      <c r="T12" s="2" t="str">
        <f t="shared" ref="T12" si="14">IF(T10&lt;=$B$7,S12*(1+$B$5),"")</f>
        <v/>
      </c>
      <c r="U12" s="2" t="str">
        <f t="shared" ref="U12" si="15">IF(U10&lt;=$B$7,T12*(1+$B$5),"")</f>
        <v/>
      </c>
      <c r="V12" s="2" t="str">
        <f t="shared" ref="V12" si="16">IF(V10&lt;=$B$7,U12*(1+$B$5),"")</f>
        <v/>
      </c>
    </row>
    <row r="13" spans="1:22" x14ac:dyDescent="0.25">
      <c r="A13" t="s">
        <v>10</v>
      </c>
      <c r="C13" t="str">
        <f>IF(C11=$B$7,C12/$B$6,"")</f>
        <v/>
      </c>
      <c r="D13" t="str">
        <f t="shared" ref="D13:L13" si="17">IF(D11=$B$7,D12/$B$6,"")</f>
        <v/>
      </c>
      <c r="E13" t="str">
        <f t="shared" si="17"/>
        <v/>
      </c>
      <c r="F13" t="str">
        <f t="shared" si="17"/>
        <v/>
      </c>
      <c r="G13" s="2">
        <f t="shared" si="17"/>
        <v>7245462.9643749995</v>
      </c>
      <c r="H13" t="str">
        <f t="shared" si="17"/>
        <v/>
      </c>
      <c r="I13" t="str">
        <f t="shared" si="17"/>
        <v/>
      </c>
      <c r="J13" t="str">
        <f t="shared" si="17"/>
        <v/>
      </c>
      <c r="K13" t="str">
        <f t="shared" si="17"/>
        <v/>
      </c>
      <c r="L13" t="str">
        <f t="shared" si="17"/>
        <v/>
      </c>
    </row>
    <row r="15" spans="1:22" x14ac:dyDescent="0.25">
      <c r="A15" t="s">
        <v>11</v>
      </c>
      <c r="B15" s="2">
        <f>NPV(B8,C12:M12)</f>
        <v>1958125.8878720931</v>
      </c>
    </row>
    <row r="16" spans="1:22" x14ac:dyDescent="0.25">
      <c r="A16" t="s">
        <v>12</v>
      </c>
      <c r="B16" s="2">
        <f>G13/(1+B8)^B7</f>
        <v>4111270.268100867</v>
      </c>
    </row>
    <row r="17" spans="1:2" s="4" customFormat="1" x14ac:dyDescent="0.25">
      <c r="A17" s="4" t="s">
        <v>13</v>
      </c>
      <c r="B17" s="5">
        <f>SUM(B15:B16)</f>
        <v>6069396.1559729604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zoomScale="80" zoomScaleNormal="80" workbookViewId="0">
      <selection activeCell="A2" sqref="A2"/>
    </sheetView>
  </sheetViews>
  <sheetFormatPr baseColWidth="10" defaultColWidth="9.140625" defaultRowHeight="15" x14ac:dyDescent="0.25"/>
  <cols>
    <col min="1" max="1" width="28.42578125" style="129" customWidth="1"/>
    <col min="2" max="6" width="12.28515625" style="129" customWidth="1"/>
    <col min="7" max="7" width="12" style="129" customWidth="1"/>
    <col min="8" max="8" width="9.140625" style="129"/>
    <col min="9" max="9" width="31.7109375" style="129" customWidth="1"/>
    <col min="10" max="10" width="11.140625" style="129" customWidth="1"/>
    <col min="11" max="11" width="13.85546875" style="129" customWidth="1"/>
    <col min="12" max="256" width="9.140625" style="129"/>
    <col min="257" max="257" width="28.42578125" style="129" customWidth="1"/>
    <col min="258" max="258" width="12.85546875" style="129" customWidth="1"/>
    <col min="259" max="259" width="11.140625" style="129" customWidth="1"/>
    <col min="260" max="260" width="23.42578125" style="129" customWidth="1"/>
    <col min="261" max="261" width="9.85546875" style="129" bestFit="1" customWidth="1"/>
    <col min="262" max="262" width="10.7109375" style="129" bestFit="1" customWidth="1"/>
    <col min="263" max="263" width="12" style="129" customWidth="1"/>
    <col min="264" max="512" width="9.140625" style="129"/>
    <col min="513" max="513" width="28.42578125" style="129" customWidth="1"/>
    <col min="514" max="514" width="12.85546875" style="129" customWidth="1"/>
    <col min="515" max="515" width="11.140625" style="129" customWidth="1"/>
    <col min="516" max="516" width="23.42578125" style="129" customWidth="1"/>
    <col min="517" max="517" width="9.85546875" style="129" bestFit="1" customWidth="1"/>
    <col min="518" max="518" width="10.7109375" style="129" bestFit="1" customWidth="1"/>
    <col min="519" max="519" width="12" style="129" customWidth="1"/>
    <col min="520" max="768" width="9.140625" style="129"/>
    <col min="769" max="769" width="28.42578125" style="129" customWidth="1"/>
    <col min="770" max="770" width="12.85546875" style="129" customWidth="1"/>
    <col min="771" max="771" width="11.140625" style="129" customWidth="1"/>
    <col min="772" max="772" width="23.42578125" style="129" customWidth="1"/>
    <col min="773" max="773" width="9.85546875" style="129" bestFit="1" customWidth="1"/>
    <col min="774" max="774" width="10.7109375" style="129" bestFit="1" customWidth="1"/>
    <col min="775" max="775" width="12" style="129" customWidth="1"/>
    <col min="776" max="1024" width="9.140625" style="129"/>
    <col min="1025" max="1025" width="28.42578125" style="129" customWidth="1"/>
    <col min="1026" max="1026" width="12.85546875" style="129" customWidth="1"/>
    <col min="1027" max="1027" width="11.140625" style="129" customWidth="1"/>
    <col min="1028" max="1028" width="23.42578125" style="129" customWidth="1"/>
    <col min="1029" max="1029" width="9.85546875" style="129" bestFit="1" customWidth="1"/>
    <col min="1030" max="1030" width="10.7109375" style="129" bestFit="1" customWidth="1"/>
    <col min="1031" max="1031" width="12" style="129" customWidth="1"/>
    <col min="1032" max="1280" width="9.140625" style="129"/>
    <col min="1281" max="1281" width="28.42578125" style="129" customWidth="1"/>
    <col min="1282" max="1282" width="12.85546875" style="129" customWidth="1"/>
    <col min="1283" max="1283" width="11.140625" style="129" customWidth="1"/>
    <col min="1284" max="1284" width="23.42578125" style="129" customWidth="1"/>
    <col min="1285" max="1285" width="9.85546875" style="129" bestFit="1" customWidth="1"/>
    <col min="1286" max="1286" width="10.7109375" style="129" bestFit="1" customWidth="1"/>
    <col min="1287" max="1287" width="12" style="129" customWidth="1"/>
    <col min="1288" max="1536" width="9.140625" style="129"/>
    <col min="1537" max="1537" width="28.42578125" style="129" customWidth="1"/>
    <col min="1538" max="1538" width="12.85546875" style="129" customWidth="1"/>
    <col min="1539" max="1539" width="11.140625" style="129" customWidth="1"/>
    <col min="1540" max="1540" width="23.42578125" style="129" customWidth="1"/>
    <col min="1541" max="1541" width="9.85546875" style="129" bestFit="1" customWidth="1"/>
    <col min="1542" max="1542" width="10.7109375" style="129" bestFit="1" customWidth="1"/>
    <col min="1543" max="1543" width="12" style="129" customWidth="1"/>
    <col min="1544" max="1792" width="9.140625" style="129"/>
    <col min="1793" max="1793" width="28.42578125" style="129" customWidth="1"/>
    <col min="1794" max="1794" width="12.85546875" style="129" customWidth="1"/>
    <col min="1795" max="1795" width="11.140625" style="129" customWidth="1"/>
    <col min="1796" max="1796" width="23.42578125" style="129" customWidth="1"/>
    <col min="1797" max="1797" width="9.85546875" style="129" bestFit="1" customWidth="1"/>
    <col min="1798" max="1798" width="10.7109375" style="129" bestFit="1" customWidth="1"/>
    <col min="1799" max="1799" width="12" style="129" customWidth="1"/>
    <col min="1800" max="2048" width="9.140625" style="129"/>
    <col min="2049" max="2049" width="28.42578125" style="129" customWidth="1"/>
    <col min="2050" max="2050" width="12.85546875" style="129" customWidth="1"/>
    <col min="2051" max="2051" width="11.140625" style="129" customWidth="1"/>
    <col min="2052" max="2052" width="23.42578125" style="129" customWidth="1"/>
    <col min="2053" max="2053" width="9.85546875" style="129" bestFit="1" customWidth="1"/>
    <col min="2054" max="2054" width="10.7109375" style="129" bestFit="1" customWidth="1"/>
    <col min="2055" max="2055" width="12" style="129" customWidth="1"/>
    <col min="2056" max="2304" width="9.140625" style="129"/>
    <col min="2305" max="2305" width="28.42578125" style="129" customWidth="1"/>
    <col min="2306" max="2306" width="12.85546875" style="129" customWidth="1"/>
    <col min="2307" max="2307" width="11.140625" style="129" customWidth="1"/>
    <col min="2308" max="2308" width="23.42578125" style="129" customWidth="1"/>
    <col min="2309" max="2309" width="9.85546875" style="129" bestFit="1" customWidth="1"/>
    <col min="2310" max="2310" width="10.7109375" style="129" bestFit="1" customWidth="1"/>
    <col min="2311" max="2311" width="12" style="129" customWidth="1"/>
    <col min="2312" max="2560" width="9.140625" style="129"/>
    <col min="2561" max="2561" width="28.42578125" style="129" customWidth="1"/>
    <col min="2562" max="2562" width="12.85546875" style="129" customWidth="1"/>
    <col min="2563" max="2563" width="11.140625" style="129" customWidth="1"/>
    <col min="2564" max="2564" width="23.42578125" style="129" customWidth="1"/>
    <col min="2565" max="2565" width="9.85546875" style="129" bestFit="1" customWidth="1"/>
    <col min="2566" max="2566" width="10.7109375" style="129" bestFit="1" customWidth="1"/>
    <col min="2567" max="2567" width="12" style="129" customWidth="1"/>
    <col min="2568" max="2816" width="9.140625" style="129"/>
    <col min="2817" max="2817" width="28.42578125" style="129" customWidth="1"/>
    <col min="2818" max="2818" width="12.85546875" style="129" customWidth="1"/>
    <col min="2819" max="2819" width="11.140625" style="129" customWidth="1"/>
    <col min="2820" max="2820" width="23.42578125" style="129" customWidth="1"/>
    <col min="2821" max="2821" width="9.85546875" style="129" bestFit="1" customWidth="1"/>
    <col min="2822" max="2822" width="10.7109375" style="129" bestFit="1" customWidth="1"/>
    <col min="2823" max="2823" width="12" style="129" customWidth="1"/>
    <col min="2824" max="3072" width="9.140625" style="129"/>
    <col min="3073" max="3073" width="28.42578125" style="129" customWidth="1"/>
    <col min="3074" max="3074" width="12.85546875" style="129" customWidth="1"/>
    <col min="3075" max="3075" width="11.140625" style="129" customWidth="1"/>
    <col min="3076" max="3076" width="23.42578125" style="129" customWidth="1"/>
    <col min="3077" max="3077" width="9.85546875" style="129" bestFit="1" customWidth="1"/>
    <col min="3078" max="3078" width="10.7109375" style="129" bestFit="1" customWidth="1"/>
    <col min="3079" max="3079" width="12" style="129" customWidth="1"/>
    <col min="3080" max="3328" width="9.140625" style="129"/>
    <col min="3329" max="3329" width="28.42578125" style="129" customWidth="1"/>
    <col min="3330" max="3330" width="12.85546875" style="129" customWidth="1"/>
    <col min="3331" max="3331" width="11.140625" style="129" customWidth="1"/>
    <col min="3332" max="3332" width="23.42578125" style="129" customWidth="1"/>
    <col min="3333" max="3333" width="9.85546875" style="129" bestFit="1" customWidth="1"/>
    <col min="3334" max="3334" width="10.7109375" style="129" bestFit="1" customWidth="1"/>
    <col min="3335" max="3335" width="12" style="129" customWidth="1"/>
    <col min="3336" max="3584" width="9.140625" style="129"/>
    <col min="3585" max="3585" width="28.42578125" style="129" customWidth="1"/>
    <col min="3586" max="3586" width="12.85546875" style="129" customWidth="1"/>
    <col min="3587" max="3587" width="11.140625" style="129" customWidth="1"/>
    <col min="3588" max="3588" width="23.42578125" style="129" customWidth="1"/>
    <col min="3589" max="3589" width="9.85546875" style="129" bestFit="1" customWidth="1"/>
    <col min="3590" max="3590" width="10.7109375" style="129" bestFit="1" customWidth="1"/>
    <col min="3591" max="3591" width="12" style="129" customWidth="1"/>
    <col min="3592" max="3840" width="9.140625" style="129"/>
    <col min="3841" max="3841" width="28.42578125" style="129" customWidth="1"/>
    <col min="3842" max="3842" width="12.85546875" style="129" customWidth="1"/>
    <col min="3843" max="3843" width="11.140625" style="129" customWidth="1"/>
    <col min="3844" max="3844" width="23.42578125" style="129" customWidth="1"/>
    <col min="3845" max="3845" width="9.85546875" style="129" bestFit="1" customWidth="1"/>
    <col min="3846" max="3846" width="10.7109375" style="129" bestFit="1" customWidth="1"/>
    <col min="3847" max="3847" width="12" style="129" customWidth="1"/>
    <col min="3848" max="4096" width="9.140625" style="129"/>
    <col min="4097" max="4097" width="28.42578125" style="129" customWidth="1"/>
    <col min="4098" max="4098" width="12.85546875" style="129" customWidth="1"/>
    <col min="4099" max="4099" width="11.140625" style="129" customWidth="1"/>
    <col min="4100" max="4100" width="23.42578125" style="129" customWidth="1"/>
    <col min="4101" max="4101" width="9.85546875" style="129" bestFit="1" customWidth="1"/>
    <col min="4102" max="4102" width="10.7109375" style="129" bestFit="1" customWidth="1"/>
    <col min="4103" max="4103" width="12" style="129" customWidth="1"/>
    <col min="4104" max="4352" width="9.140625" style="129"/>
    <col min="4353" max="4353" width="28.42578125" style="129" customWidth="1"/>
    <col min="4354" max="4354" width="12.85546875" style="129" customWidth="1"/>
    <col min="4355" max="4355" width="11.140625" style="129" customWidth="1"/>
    <col min="4356" max="4356" width="23.42578125" style="129" customWidth="1"/>
    <col min="4357" max="4357" width="9.85546875" style="129" bestFit="1" customWidth="1"/>
    <col min="4358" max="4358" width="10.7109375" style="129" bestFit="1" customWidth="1"/>
    <col min="4359" max="4359" width="12" style="129" customWidth="1"/>
    <col min="4360" max="4608" width="9.140625" style="129"/>
    <col min="4609" max="4609" width="28.42578125" style="129" customWidth="1"/>
    <col min="4610" max="4610" width="12.85546875" style="129" customWidth="1"/>
    <col min="4611" max="4611" width="11.140625" style="129" customWidth="1"/>
    <col min="4612" max="4612" width="23.42578125" style="129" customWidth="1"/>
    <col min="4613" max="4613" width="9.85546875" style="129" bestFit="1" customWidth="1"/>
    <col min="4614" max="4614" width="10.7109375" style="129" bestFit="1" customWidth="1"/>
    <col min="4615" max="4615" width="12" style="129" customWidth="1"/>
    <col min="4616" max="4864" width="9.140625" style="129"/>
    <col min="4865" max="4865" width="28.42578125" style="129" customWidth="1"/>
    <col min="4866" max="4866" width="12.85546875" style="129" customWidth="1"/>
    <col min="4867" max="4867" width="11.140625" style="129" customWidth="1"/>
    <col min="4868" max="4868" width="23.42578125" style="129" customWidth="1"/>
    <col min="4869" max="4869" width="9.85546875" style="129" bestFit="1" customWidth="1"/>
    <col min="4870" max="4870" width="10.7109375" style="129" bestFit="1" customWidth="1"/>
    <col min="4871" max="4871" width="12" style="129" customWidth="1"/>
    <col min="4872" max="5120" width="9.140625" style="129"/>
    <col min="5121" max="5121" width="28.42578125" style="129" customWidth="1"/>
    <col min="5122" max="5122" width="12.85546875" style="129" customWidth="1"/>
    <col min="5123" max="5123" width="11.140625" style="129" customWidth="1"/>
    <col min="5124" max="5124" width="23.42578125" style="129" customWidth="1"/>
    <col min="5125" max="5125" width="9.85546875" style="129" bestFit="1" customWidth="1"/>
    <col min="5126" max="5126" width="10.7109375" style="129" bestFit="1" customWidth="1"/>
    <col min="5127" max="5127" width="12" style="129" customWidth="1"/>
    <col min="5128" max="5376" width="9.140625" style="129"/>
    <col min="5377" max="5377" width="28.42578125" style="129" customWidth="1"/>
    <col min="5378" max="5378" width="12.85546875" style="129" customWidth="1"/>
    <col min="5379" max="5379" width="11.140625" style="129" customWidth="1"/>
    <col min="5380" max="5380" width="23.42578125" style="129" customWidth="1"/>
    <col min="5381" max="5381" width="9.85546875" style="129" bestFit="1" customWidth="1"/>
    <col min="5382" max="5382" width="10.7109375" style="129" bestFit="1" customWidth="1"/>
    <col min="5383" max="5383" width="12" style="129" customWidth="1"/>
    <col min="5384" max="5632" width="9.140625" style="129"/>
    <col min="5633" max="5633" width="28.42578125" style="129" customWidth="1"/>
    <col min="5634" max="5634" width="12.85546875" style="129" customWidth="1"/>
    <col min="5635" max="5635" width="11.140625" style="129" customWidth="1"/>
    <col min="5636" max="5636" width="23.42578125" style="129" customWidth="1"/>
    <col min="5637" max="5637" width="9.85546875" style="129" bestFit="1" customWidth="1"/>
    <col min="5638" max="5638" width="10.7109375" style="129" bestFit="1" customWidth="1"/>
    <col min="5639" max="5639" width="12" style="129" customWidth="1"/>
    <col min="5640" max="5888" width="9.140625" style="129"/>
    <col min="5889" max="5889" width="28.42578125" style="129" customWidth="1"/>
    <col min="5890" max="5890" width="12.85546875" style="129" customWidth="1"/>
    <col min="5891" max="5891" width="11.140625" style="129" customWidth="1"/>
    <col min="5892" max="5892" width="23.42578125" style="129" customWidth="1"/>
    <col min="5893" max="5893" width="9.85546875" style="129" bestFit="1" customWidth="1"/>
    <col min="5894" max="5894" width="10.7109375" style="129" bestFit="1" customWidth="1"/>
    <col min="5895" max="5895" width="12" style="129" customWidth="1"/>
    <col min="5896" max="6144" width="9.140625" style="129"/>
    <col min="6145" max="6145" width="28.42578125" style="129" customWidth="1"/>
    <col min="6146" max="6146" width="12.85546875" style="129" customWidth="1"/>
    <col min="6147" max="6147" width="11.140625" style="129" customWidth="1"/>
    <col min="6148" max="6148" width="23.42578125" style="129" customWidth="1"/>
    <col min="6149" max="6149" width="9.85546875" style="129" bestFit="1" customWidth="1"/>
    <col min="6150" max="6150" width="10.7109375" style="129" bestFit="1" customWidth="1"/>
    <col min="6151" max="6151" width="12" style="129" customWidth="1"/>
    <col min="6152" max="6400" width="9.140625" style="129"/>
    <col min="6401" max="6401" width="28.42578125" style="129" customWidth="1"/>
    <col min="6402" max="6402" width="12.85546875" style="129" customWidth="1"/>
    <col min="6403" max="6403" width="11.140625" style="129" customWidth="1"/>
    <col min="6404" max="6404" width="23.42578125" style="129" customWidth="1"/>
    <col min="6405" max="6405" width="9.85546875" style="129" bestFit="1" customWidth="1"/>
    <col min="6406" max="6406" width="10.7109375" style="129" bestFit="1" customWidth="1"/>
    <col min="6407" max="6407" width="12" style="129" customWidth="1"/>
    <col min="6408" max="6656" width="9.140625" style="129"/>
    <col min="6657" max="6657" width="28.42578125" style="129" customWidth="1"/>
    <col min="6658" max="6658" width="12.85546875" style="129" customWidth="1"/>
    <col min="6659" max="6659" width="11.140625" style="129" customWidth="1"/>
    <col min="6660" max="6660" width="23.42578125" style="129" customWidth="1"/>
    <col min="6661" max="6661" width="9.85546875" style="129" bestFit="1" customWidth="1"/>
    <col min="6662" max="6662" width="10.7109375" style="129" bestFit="1" customWidth="1"/>
    <col min="6663" max="6663" width="12" style="129" customWidth="1"/>
    <col min="6664" max="6912" width="9.140625" style="129"/>
    <col min="6913" max="6913" width="28.42578125" style="129" customWidth="1"/>
    <col min="6914" max="6914" width="12.85546875" style="129" customWidth="1"/>
    <col min="6915" max="6915" width="11.140625" style="129" customWidth="1"/>
    <col min="6916" max="6916" width="23.42578125" style="129" customWidth="1"/>
    <col min="6917" max="6917" width="9.85546875" style="129" bestFit="1" customWidth="1"/>
    <col min="6918" max="6918" width="10.7109375" style="129" bestFit="1" customWidth="1"/>
    <col min="6919" max="6919" width="12" style="129" customWidth="1"/>
    <col min="6920" max="7168" width="9.140625" style="129"/>
    <col min="7169" max="7169" width="28.42578125" style="129" customWidth="1"/>
    <col min="7170" max="7170" width="12.85546875" style="129" customWidth="1"/>
    <col min="7171" max="7171" width="11.140625" style="129" customWidth="1"/>
    <col min="7172" max="7172" width="23.42578125" style="129" customWidth="1"/>
    <col min="7173" max="7173" width="9.85546875" style="129" bestFit="1" customWidth="1"/>
    <col min="7174" max="7174" width="10.7109375" style="129" bestFit="1" customWidth="1"/>
    <col min="7175" max="7175" width="12" style="129" customWidth="1"/>
    <col min="7176" max="7424" width="9.140625" style="129"/>
    <col min="7425" max="7425" width="28.42578125" style="129" customWidth="1"/>
    <col min="7426" max="7426" width="12.85546875" style="129" customWidth="1"/>
    <col min="7427" max="7427" width="11.140625" style="129" customWidth="1"/>
    <col min="7428" max="7428" width="23.42578125" style="129" customWidth="1"/>
    <col min="7429" max="7429" width="9.85546875" style="129" bestFit="1" customWidth="1"/>
    <col min="7430" max="7430" width="10.7109375" style="129" bestFit="1" customWidth="1"/>
    <col min="7431" max="7431" width="12" style="129" customWidth="1"/>
    <col min="7432" max="7680" width="9.140625" style="129"/>
    <col min="7681" max="7681" width="28.42578125" style="129" customWidth="1"/>
    <col min="7682" max="7682" width="12.85546875" style="129" customWidth="1"/>
    <col min="7683" max="7683" width="11.140625" style="129" customWidth="1"/>
    <col min="7684" max="7684" width="23.42578125" style="129" customWidth="1"/>
    <col min="7685" max="7685" width="9.85546875" style="129" bestFit="1" customWidth="1"/>
    <col min="7686" max="7686" width="10.7109375" style="129" bestFit="1" customWidth="1"/>
    <col min="7687" max="7687" width="12" style="129" customWidth="1"/>
    <col min="7688" max="7936" width="9.140625" style="129"/>
    <col min="7937" max="7937" width="28.42578125" style="129" customWidth="1"/>
    <col min="7938" max="7938" width="12.85546875" style="129" customWidth="1"/>
    <col min="7939" max="7939" width="11.140625" style="129" customWidth="1"/>
    <col min="7940" max="7940" width="23.42578125" style="129" customWidth="1"/>
    <col min="7941" max="7941" width="9.85546875" style="129" bestFit="1" customWidth="1"/>
    <col min="7942" max="7942" width="10.7109375" style="129" bestFit="1" customWidth="1"/>
    <col min="7943" max="7943" width="12" style="129" customWidth="1"/>
    <col min="7944" max="8192" width="9.140625" style="129"/>
    <col min="8193" max="8193" width="28.42578125" style="129" customWidth="1"/>
    <col min="8194" max="8194" width="12.85546875" style="129" customWidth="1"/>
    <col min="8195" max="8195" width="11.140625" style="129" customWidth="1"/>
    <col min="8196" max="8196" width="23.42578125" style="129" customWidth="1"/>
    <col min="8197" max="8197" width="9.85546875" style="129" bestFit="1" customWidth="1"/>
    <col min="8198" max="8198" width="10.7109375" style="129" bestFit="1" customWidth="1"/>
    <col min="8199" max="8199" width="12" style="129" customWidth="1"/>
    <col min="8200" max="8448" width="9.140625" style="129"/>
    <col min="8449" max="8449" width="28.42578125" style="129" customWidth="1"/>
    <col min="8450" max="8450" width="12.85546875" style="129" customWidth="1"/>
    <col min="8451" max="8451" width="11.140625" style="129" customWidth="1"/>
    <col min="8452" max="8452" width="23.42578125" style="129" customWidth="1"/>
    <col min="8453" max="8453" width="9.85546875" style="129" bestFit="1" customWidth="1"/>
    <col min="8454" max="8454" width="10.7109375" style="129" bestFit="1" customWidth="1"/>
    <col min="8455" max="8455" width="12" style="129" customWidth="1"/>
    <col min="8456" max="8704" width="9.140625" style="129"/>
    <col min="8705" max="8705" width="28.42578125" style="129" customWidth="1"/>
    <col min="8706" max="8706" width="12.85546875" style="129" customWidth="1"/>
    <col min="8707" max="8707" width="11.140625" style="129" customWidth="1"/>
    <col min="8708" max="8708" width="23.42578125" style="129" customWidth="1"/>
    <col min="8709" max="8709" width="9.85546875" style="129" bestFit="1" customWidth="1"/>
    <col min="8710" max="8710" width="10.7109375" style="129" bestFit="1" customWidth="1"/>
    <col min="8711" max="8711" width="12" style="129" customWidth="1"/>
    <col min="8712" max="8960" width="9.140625" style="129"/>
    <col min="8961" max="8961" width="28.42578125" style="129" customWidth="1"/>
    <col min="8962" max="8962" width="12.85546875" style="129" customWidth="1"/>
    <col min="8963" max="8963" width="11.140625" style="129" customWidth="1"/>
    <col min="8964" max="8964" width="23.42578125" style="129" customWidth="1"/>
    <col min="8965" max="8965" width="9.85546875" style="129" bestFit="1" customWidth="1"/>
    <col min="8966" max="8966" width="10.7109375" style="129" bestFit="1" customWidth="1"/>
    <col min="8967" max="8967" width="12" style="129" customWidth="1"/>
    <col min="8968" max="9216" width="9.140625" style="129"/>
    <col min="9217" max="9217" width="28.42578125" style="129" customWidth="1"/>
    <col min="9218" max="9218" width="12.85546875" style="129" customWidth="1"/>
    <col min="9219" max="9219" width="11.140625" style="129" customWidth="1"/>
    <col min="9220" max="9220" width="23.42578125" style="129" customWidth="1"/>
    <col min="9221" max="9221" width="9.85546875" style="129" bestFit="1" customWidth="1"/>
    <col min="9222" max="9222" width="10.7109375" style="129" bestFit="1" customWidth="1"/>
    <col min="9223" max="9223" width="12" style="129" customWidth="1"/>
    <col min="9224" max="9472" width="9.140625" style="129"/>
    <col min="9473" max="9473" width="28.42578125" style="129" customWidth="1"/>
    <col min="9474" max="9474" width="12.85546875" style="129" customWidth="1"/>
    <col min="9475" max="9475" width="11.140625" style="129" customWidth="1"/>
    <col min="9476" max="9476" width="23.42578125" style="129" customWidth="1"/>
    <col min="9477" max="9477" width="9.85546875" style="129" bestFit="1" customWidth="1"/>
    <col min="9478" max="9478" width="10.7109375" style="129" bestFit="1" customWidth="1"/>
    <col min="9479" max="9479" width="12" style="129" customWidth="1"/>
    <col min="9480" max="9728" width="9.140625" style="129"/>
    <col min="9729" max="9729" width="28.42578125" style="129" customWidth="1"/>
    <col min="9730" max="9730" width="12.85546875" style="129" customWidth="1"/>
    <col min="9731" max="9731" width="11.140625" style="129" customWidth="1"/>
    <col min="9732" max="9732" width="23.42578125" style="129" customWidth="1"/>
    <col min="9733" max="9733" width="9.85546875" style="129" bestFit="1" customWidth="1"/>
    <col min="9734" max="9734" width="10.7109375" style="129" bestFit="1" customWidth="1"/>
    <col min="9735" max="9735" width="12" style="129" customWidth="1"/>
    <col min="9736" max="9984" width="9.140625" style="129"/>
    <col min="9985" max="9985" width="28.42578125" style="129" customWidth="1"/>
    <col min="9986" max="9986" width="12.85546875" style="129" customWidth="1"/>
    <col min="9987" max="9987" width="11.140625" style="129" customWidth="1"/>
    <col min="9988" max="9988" width="23.42578125" style="129" customWidth="1"/>
    <col min="9989" max="9989" width="9.85546875" style="129" bestFit="1" customWidth="1"/>
    <col min="9990" max="9990" width="10.7109375" style="129" bestFit="1" customWidth="1"/>
    <col min="9991" max="9991" width="12" style="129" customWidth="1"/>
    <col min="9992" max="10240" width="9.140625" style="129"/>
    <col min="10241" max="10241" width="28.42578125" style="129" customWidth="1"/>
    <col min="10242" max="10242" width="12.85546875" style="129" customWidth="1"/>
    <col min="10243" max="10243" width="11.140625" style="129" customWidth="1"/>
    <col min="10244" max="10244" width="23.42578125" style="129" customWidth="1"/>
    <col min="10245" max="10245" width="9.85546875" style="129" bestFit="1" customWidth="1"/>
    <col min="10246" max="10246" width="10.7109375" style="129" bestFit="1" customWidth="1"/>
    <col min="10247" max="10247" width="12" style="129" customWidth="1"/>
    <col min="10248" max="10496" width="9.140625" style="129"/>
    <col min="10497" max="10497" width="28.42578125" style="129" customWidth="1"/>
    <col min="10498" max="10498" width="12.85546875" style="129" customWidth="1"/>
    <col min="10499" max="10499" width="11.140625" style="129" customWidth="1"/>
    <col min="10500" max="10500" width="23.42578125" style="129" customWidth="1"/>
    <col min="10501" max="10501" width="9.85546875" style="129" bestFit="1" customWidth="1"/>
    <col min="10502" max="10502" width="10.7109375" style="129" bestFit="1" customWidth="1"/>
    <col min="10503" max="10503" width="12" style="129" customWidth="1"/>
    <col min="10504" max="10752" width="9.140625" style="129"/>
    <col min="10753" max="10753" width="28.42578125" style="129" customWidth="1"/>
    <col min="10754" max="10754" width="12.85546875" style="129" customWidth="1"/>
    <col min="10755" max="10755" width="11.140625" style="129" customWidth="1"/>
    <col min="10756" max="10756" width="23.42578125" style="129" customWidth="1"/>
    <col min="10757" max="10757" width="9.85546875" style="129" bestFit="1" customWidth="1"/>
    <col min="10758" max="10758" width="10.7109375" style="129" bestFit="1" customWidth="1"/>
    <col min="10759" max="10759" width="12" style="129" customWidth="1"/>
    <col min="10760" max="11008" width="9.140625" style="129"/>
    <col min="11009" max="11009" width="28.42578125" style="129" customWidth="1"/>
    <col min="11010" max="11010" width="12.85546875" style="129" customWidth="1"/>
    <col min="11011" max="11011" width="11.140625" style="129" customWidth="1"/>
    <col min="11012" max="11012" width="23.42578125" style="129" customWidth="1"/>
    <col min="11013" max="11013" width="9.85546875" style="129" bestFit="1" customWidth="1"/>
    <col min="11014" max="11014" width="10.7109375" style="129" bestFit="1" customWidth="1"/>
    <col min="11015" max="11015" width="12" style="129" customWidth="1"/>
    <col min="11016" max="11264" width="9.140625" style="129"/>
    <col min="11265" max="11265" width="28.42578125" style="129" customWidth="1"/>
    <col min="11266" max="11266" width="12.85546875" style="129" customWidth="1"/>
    <col min="11267" max="11267" width="11.140625" style="129" customWidth="1"/>
    <col min="11268" max="11268" width="23.42578125" style="129" customWidth="1"/>
    <col min="11269" max="11269" width="9.85546875" style="129" bestFit="1" customWidth="1"/>
    <col min="11270" max="11270" width="10.7109375" style="129" bestFit="1" customWidth="1"/>
    <col min="11271" max="11271" width="12" style="129" customWidth="1"/>
    <col min="11272" max="11520" width="9.140625" style="129"/>
    <col min="11521" max="11521" width="28.42578125" style="129" customWidth="1"/>
    <col min="11522" max="11522" width="12.85546875" style="129" customWidth="1"/>
    <col min="11523" max="11523" width="11.140625" style="129" customWidth="1"/>
    <col min="11524" max="11524" width="23.42578125" style="129" customWidth="1"/>
    <col min="11525" max="11525" width="9.85546875" style="129" bestFit="1" customWidth="1"/>
    <col min="11526" max="11526" width="10.7109375" style="129" bestFit="1" customWidth="1"/>
    <col min="11527" max="11527" width="12" style="129" customWidth="1"/>
    <col min="11528" max="11776" width="9.140625" style="129"/>
    <col min="11777" max="11777" width="28.42578125" style="129" customWidth="1"/>
    <col min="11778" max="11778" width="12.85546875" style="129" customWidth="1"/>
    <col min="11779" max="11779" width="11.140625" style="129" customWidth="1"/>
    <col min="11780" max="11780" width="23.42578125" style="129" customWidth="1"/>
    <col min="11781" max="11781" width="9.85546875" style="129" bestFit="1" customWidth="1"/>
    <col min="11782" max="11782" width="10.7109375" style="129" bestFit="1" customWidth="1"/>
    <col min="11783" max="11783" width="12" style="129" customWidth="1"/>
    <col min="11784" max="12032" width="9.140625" style="129"/>
    <col min="12033" max="12033" width="28.42578125" style="129" customWidth="1"/>
    <col min="12034" max="12034" width="12.85546875" style="129" customWidth="1"/>
    <col min="12035" max="12035" width="11.140625" style="129" customWidth="1"/>
    <col min="12036" max="12036" width="23.42578125" style="129" customWidth="1"/>
    <col min="12037" max="12037" width="9.85546875" style="129" bestFit="1" customWidth="1"/>
    <col min="12038" max="12038" width="10.7109375" style="129" bestFit="1" customWidth="1"/>
    <col min="12039" max="12039" width="12" style="129" customWidth="1"/>
    <col min="12040" max="12288" width="9.140625" style="129"/>
    <col min="12289" max="12289" width="28.42578125" style="129" customWidth="1"/>
    <col min="12290" max="12290" width="12.85546875" style="129" customWidth="1"/>
    <col min="12291" max="12291" width="11.140625" style="129" customWidth="1"/>
    <col min="12292" max="12292" width="23.42578125" style="129" customWidth="1"/>
    <col min="12293" max="12293" width="9.85546875" style="129" bestFit="1" customWidth="1"/>
    <col min="12294" max="12294" width="10.7109375" style="129" bestFit="1" customWidth="1"/>
    <col min="12295" max="12295" width="12" style="129" customWidth="1"/>
    <col min="12296" max="12544" width="9.140625" style="129"/>
    <col min="12545" max="12545" width="28.42578125" style="129" customWidth="1"/>
    <col min="12546" max="12546" width="12.85546875" style="129" customWidth="1"/>
    <col min="12547" max="12547" width="11.140625" style="129" customWidth="1"/>
    <col min="12548" max="12548" width="23.42578125" style="129" customWidth="1"/>
    <col min="12549" max="12549" width="9.85546875" style="129" bestFit="1" customWidth="1"/>
    <col min="12550" max="12550" width="10.7109375" style="129" bestFit="1" customWidth="1"/>
    <col min="12551" max="12551" width="12" style="129" customWidth="1"/>
    <col min="12552" max="12800" width="9.140625" style="129"/>
    <col min="12801" max="12801" width="28.42578125" style="129" customWidth="1"/>
    <col min="12802" max="12802" width="12.85546875" style="129" customWidth="1"/>
    <col min="12803" max="12803" width="11.140625" style="129" customWidth="1"/>
    <col min="12804" max="12804" width="23.42578125" style="129" customWidth="1"/>
    <col min="12805" max="12805" width="9.85546875" style="129" bestFit="1" customWidth="1"/>
    <col min="12806" max="12806" width="10.7109375" style="129" bestFit="1" customWidth="1"/>
    <col min="12807" max="12807" width="12" style="129" customWidth="1"/>
    <col min="12808" max="13056" width="9.140625" style="129"/>
    <col min="13057" max="13057" width="28.42578125" style="129" customWidth="1"/>
    <col min="13058" max="13058" width="12.85546875" style="129" customWidth="1"/>
    <col min="13059" max="13059" width="11.140625" style="129" customWidth="1"/>
    <col min="13060" max="13060" width="23.42578125" style="129" customWidth="1"/>
    <col min="13061" max="13061" width="9.85546875" style="129" bestFit="1" customWidth="1"/>
    <col min="13062" max="13062" width="10.7109375" style="129" bestFit="1" customWidth="1"/>
    <col min="13063" max="13063" width="12" style="129" customWidth="1"/>
    <col min="13064" max="13312" width="9.140625" style="129"/>
    <col min="13313" max="13313" width="28.42578125" style="129" customWidth="1"/>
    <col min="13314" max="13314" width="12.85546875" style="129" customWidth="1"/>
    <col min="13315" max="13315" width="11.140625" style="129" customWidth="1"/>
    <col min="13316" max="13316" width="23.42578125" style="129" customWidth="1"/>
    <col min="13317" max="13317" width="9.85546875" style="129" bestFit="1" customWidth="1"/>
    <col min="13318" max="13318" width="10.7109375" style="129" bestFit="1" customWidth="1"/>
    <col min="13319" max="13319" width="12" style="129" customWidth="1"/>
    <col min="13320" max="13568" width="9.140625" style="129"/>
    <col min="13569" max="13569" width="28.42578125" style="129" customWidth="1"/>
    <col min="13570" max="13570" width="12.85546875" style="129" customWidth="1"/>
    <col min="13571" max="13571" width="11.140625" style="129" customWidth="1"/>
    <col min="13572" max="13572" width="23.42578125" style="129" customWidth="1"/>
    <col min="13573" max="13573" width="9.85546875" style="129" bestFit="1" customWidth="1"/>
    <col min="13574" max="13574" width="10.7109375" style="129" bestFit="1" customWidth="1"/>
    <col min="13575" max="13575" width="12" style="129" customWidth="1"/>
    <col min="13576" max="13824" width="9.140625" style="129"/>
    <col min="13825" max="13825" width="28.42578125" style="129" customWidth="1"/>
    <col min="13826" max="13826" width="12.85546875" style="129" customWidth="1"/>
    <col min="13827" max="13827" width="11.140625" style="129" customWidth="1"/>
    <col min="13828" max="13828" width="23.42578125" style="129" customWidth="1"/>
    <col min="13829" max="13829" width="9.85546875" style="129" bestFit="1" customWidth="1"/>
    <col min="13830" max="13830" width="10.7109375" style="129" bestFit="1" customWidth="1"/>
    <col min="13831" max="13831" width="12" style="129" customWidth="1"/>
    <col min="13832" max="14080" width="9.140625" style="129"/>
    <col min="14081" max="14081" width="28.42578125" style="129" customWidth="1"/>
    <col min="14082" max="14082" width="12.85546875" style="129" customWidth="1"/>
    <col min="14083" max="14083" width="11.140625" style="129" customWidth="1"/>
    <col min="14084" max="14084" width="23.42578125" style="129" customWidth="1"/>
    <col min="14085" max="14085" width="9.85546875" style="129" bestFit="1" customWidth="1"/>
    <col min="14086" max="14086" width="10.7109375" style="129" bestFit="1" customWidth="1"/>
    <col min="14087" max="14087" width="12" style="129" customWidth="1"/>
    <col min="14088" max="14336" width="9.140625" style="129"/>
    <col min="14337" max="14337" width="28.42578125" style="129" customWidth="1"/>
    <col min="14338" max="14338" width="12.85546875" style="129" customWidth="1"/>
    <col min="14339" max="14339" width="11.140625" style="129" customWidth="1"/>
    <col min="14340" max="14340" width="23.42578125" style="129" customWidth="1"/>
    <col min="14341" max="14341" width="9.85546875" style="129" bestFit="1" customWidth="1"/>
    <col min="14342" max="14342" width="10.7109375" style="129" bestFit="1" customWidth="1"/>
    <col min="14343" max="14343" width="12" style="129" customWidth="1"/>
    <col min="14344" max="14592" width="9.140625" style="129"/>
    <col min="14593" max="14593" width="28.42578125" style="129" customWidth="1"/>
    <col min="14594" max="14594" width="12.85546875" style="129" customWidth="1"/>
    <col min="14595" max="14595" width="11.140625" style="129" customWidth="1"/>
    <col min="14596" max="14596" width="23.42578125" style="129" customWidth="1"/>
    <col min="14597" max="14597" width="9.85546875" style="129" bestFit="1" customWidth="1"/>
    <col min="14598" max="14598" width="10.7109375" style="129" bestFit="1" customWidth="1"/>
    <col min="14599" max="14599" width="12" style="129" customWidth="1"/>
    <col min="14600" max="14848" width="9.140625" style="129"/>
    <col min="14849" max="14849" width="28.42578125" style="129" customWidth="1"/>
    <col min="14850" max="14850" width="12.85546875" style="129" customWidth="1"/>
    <col min="14851" max="14851" width="11.140625" style="129" customWidth="1"/>
    <col min="14852" max="14852" width="23.42578125" style="129" customWidth="1"/>
    <col min="14853" max="14853" width="9.85546875" style="129" bestFit="1" customWidth="1"/>
    <col min="14854" max="14854" width="10.7109375" style="129" bestFit="1" customWidth="1"/>
    <col min="14855" max="14855" width="12" style="129" customWidth="1"/>
    <col min="14856" max="15104" width="9.140625" style="129"/>
    <col min="15105" max="15105" width="28.42578125" style="129" customWidth="1"/>
    <col min="15106" max="15106" width="12.85546875" style="129" customWidth="1"/>
    <col min="15107" max="15107" width="11.140625" style="129" customWidth="1"/>
    <col min="15108" max="15108" width="23.42578125" style="129" customWidth="1"/>
    <col min="15109" max="15109" width="9.85546875" style="129" bestFit="1" customWidth="1"/>
    <col min="15110" max="15110" width="10.7109375" style="129" bestFit="1" customWidth="1"/>
    <col min="15111" max="15111" width="12" style="129" customWidth="1"/>
    <col min="15112" max="15360" width="9.140625" style="129"/>
    <col min="15361" max="15361" width="28.42578125" style="129" customWidth="1"/>
    <col min="15362" max="15362" width="12.85546875" style="129" customWidth="1"/>
    <col min="15363" max="15363" width="11.140625" style="129" customWidth="1"/>
    <col min="15364" max="15364" width="23.42578125" style="129" customWidth="1"/>
    <col min="15365" max="15365" width="9.85546875" style="129" bestFit="1" customWidth="1"/>
    <col min="15366" max="15366" width="10.7109375" style="129" bestFit="1" customWidth="1"/>
    <col min="15367" max="15367" width="12" style="129" customWidth="1"/>
    <col min="15368" max="15616" width="9.140625" style="129"/>
    <col min="15617" max="15617" width="28.42578125" style="129" customWidth="1"/>
    <col min="15618" max="15618" width="12.85546875" style="129" customWidth="1"/>
    <col min="15619" max="15619" width="11.140625" style="129" customWidth="1"/>
    <col min="15620" max="15620" width="23.42578125" style="129" customWidth="1"/>
    <col min="15621" max="15621" width="9.85546875" style="129" bestFit="1" customWidth="1"/>
    <col min="15622" max="15622" width="10.7109375" style="129" bestFit="1" customWidth="1"/>
    <col min="15623" max="15623" width="12" style="129" customWidth="1"/>
    <col min="15624" max="15872" width="9.140625" style="129"/>
    <col min="15873" max="15873" width="28.42578125" style="129" customWidth="1"/>
    <col min="15874" max="15874" width="12.85546875" style="129" customWidth="1"/>
    <col min="15875" max="15875" width="11.140625" style="129" customWidth="1"/>
    <col min="15876" max="15876" width="23.42578125" style="129" customWidth="1"/>
    <col min="15877" max="15877" width="9.85546875" style="129" bestFit="1" customWidth="1"/>
    <col min="15878" max="15878" width="10.7109375" style="129" bestFit="1" customWidth="1"/>
    <col min="15879" max="15879" width="12" style="129" customWidth="1"/>
    <col min="15880" max="16128" width="9.140625" style="129"/>
    <col min="16129" max="16129" width="28.42578125" style="129" customWidth="1"/>
    <col min="16130" max="16130" width="12.85546875" style="129" customWidth="1"/>
    <col min="16131" max="16131" width="11.140625" style="129" customWidth="1"/>
    <col min="16132" max="16132" width="23.42578125" style="129" customWidth="1"/>
    <col min="16133" max="16133" width="9.85546875" style="129" bestFit="1" customWidth="1"/>
    <col min="16134" max="16134" width="10.7109375" style="129" bestFit="1" customWidth="1"/>
    <col min="16135" max="16135" width="12" style="129" customWidth="1"/>
    <col min="16136" max="16384" width="9.140625" style="129"/>
  </cols>
  <sheetData>
    <row r="1" spans="1:12" x14ac:dyDescent="0.25">
      <c r="A1" s="32" t="s">
        <v>172</v>
      </c>
    </row>
    <row r="2" spans="1:12" x14ac:dyDescent="0.25">
      <c r="A2" s="132"/>
      <c r="B2" s="132"/>
      <c r="C2" s="132"/>
      <c r="D2" s="132"/>
      <c r="E2" s="132"/>
      <c r="F2" s="132"/>
      <c r="G2" s="132"/>
      <c r="H2" s="132"/>
      <c r="I2" s="118"/>
      <c r="J2" s="118"/>
    </row>
    <row r="3" spans="1:12" x14ac:dyDescent="0.25">
      <c r="A3" s="4" t="s">
        <v>6</v>
      </c>
      <c r="B3" s="133"/>
      <c r="C3" s="133"/>
      <c r="D3" s="133"/>
      <c r="E3" s="133"/>
      <c r="F3" s="133"/>
      <c r="G3" s="118"/>
      <c r="H3" s="118"/>
      <c r="I3" s="118"/>
      <c r="J3" s="118"/>
    </row>
    <row r="4" spans="1:12" x14ac:dyDescent="0.25">
      <c r="A4" s="118" t="s">
        <v>117</v>
      </c>
      <c r="B4" s="134">
        <v>8500000</v>
      </c>
      <c r="C4" s="118"/>
      <c r="D4" s="135"/>
      <c r="E4" s="118"/>
      <c r="F4" s="118"/>
      <c r="G4" s="118"/>
      <c r="H4" s="118"/>
      <c r="I4" s="118"/>
      <c r="J4" s="118"/>
    </row>
    <row r="5" spans="1:12" x14ac:dyDescent="0.25">
      <c r="A5" s="118" t="s">
        <v>118</v>
      </c>
      <c r="B5" s="134">
        <f>B4*C5</f>
        <v>6800000</v>
      </c>
      <c r="C5" s="136">
        <v>0.8</v>
      </c>
      <c r="D5" s="118" t="s">
        <v>119</v>
      </c>
      <c r="E5" s="118"/>
      <c r="F5" s="118">
        <v>50</v>
      </c>
      <c r="G5" s="118"/>
      <c r="H5" s="118"/>
      <c r="I5" s="118" t="s">
        <v>143</v>
      </c>
      <c r="J5" s="137">
        <f>B11</f>
        <v>8500000</v>
      </c>
      <c r="L5" s="118"/>
    </row>
    <row r="6" spans="1:12" x14ac:dyDescent="0.25">
      <c r="A6" s="118" t="s">
        <v>120</v>
      </c>
      <c r="B6" s="138">
        <v>0.28000000000000003</v>
      </c>
      <c r="C6" s="139"/>
      <c r="D6" s="118" t="s">
        <v>121</v>
      </c>
      <c r="E6" s="118"/>
      <c r="F6" s="138">
        <v>0.28000000000000003</v>
      </c>
      <c r="G6" s="118"/>
      <c r="H6" s="118"/>
      <c r="I6" s="118" t="s">
        <v>144</v>
      </c>
      <c r="J6" s="137">
        <f>B13*J5</f>
        <v>170000</v>
      </c>
      <c r="L6" s="118"/>
    </row>
    <row r="7" spans="1:12" x14ac:dyDescent="0.25">
      <c r="A7" s="118" t="s">
        <v>122</v>
      </c>
      <c r="B7" s="140">
        <v>0.65</v>
      </c>
      <c r="C7" s="139"/>
      <c r="D7" s="118" t="s">
        <v>123</v>
      </c>
      <c r="E7" s="118"/>
      <c r="F7" s="118">
        <v>0</v>
      </c>
      <c r="G7" s="118"/>
      <c r="H7" s="118"/>
      <c r="I7" s="118" t="s">
        <v>135</v>
      </c>
      <c r="J7" s="137">
        <f>B21</f>
        <v>4968747.7965695588</v>
      </c>
      <c r="L7" s="118"/>
    </row>
    <row r="8" spans="1:12" x14ac:dyDescent="0.25">
      <c r="A8" s="118" t="s">
        <v>76</v>
      </c>
      <c r="B8" s="140">
        <v>0.06</v>
      </c>
      <c r="C8" s="139"/>
      <c r="D8" s="118"/>
      <c r="E8" s="118"/>
      <c r="F8" s="118"/>
      <c r="G8" s="141"/>
      <c r="H8" s="118"/>
      <c r="I8" s="131" t="s">
        <v>165</v>
      </c>
      <c r="J8" s="137"/>
      <c r="K8" s="142">
        <f>J5-J6-J7</f>
        <v>3361252.2034304412</v>
      </c>
      <c r="L8" s="118"/>
    </row>
    <row r="9" spans="1:12" x14ac:dyDescent="0.25">
      <c r="A9" s="118" t="s">
        <v>124</v>
      </c>
      <c r="B9" s="118">
        <v>25</v>
      </c>
      <c r="C9" s="139" t="s">
        <v>125</v>
      </c>
      <c r="D9" s="135"/>
      <c r="E9" s="118"/>
      <c r="F9" s="118"/>
      <c r="G9" s="141"/>
      <c r="H9" s="118"/>
      <c r="I9" s="118"/>
      <c r="J9" s="137"/>
      <c r="K9" s="137"/>
      <c r="L9" s="118"/>
    </row>
    <row r="10" spans="1:12" x14ac:dyDescent="0.25">
      <c r="A10" s="118" t="s">
        <v>126</v>
      </c>
      <c r="B10" s="118">
        <v>12</v>
      </c>
      <c r="C10" s="139"/>
      <c r="D10" s="118"/>
      <c r="E10" s="118"/>
      <c r="F10" s="134"/>
      <c r="G10" s="141"/>
      <c r="H10" s="118"/>
      <c r="I10" s="118" t="s">
        <v>168</v>
      </c>
      <c r="J10" s="137"/>
      <c r="K10" s="137"/>
      <c r="L10" s="118"/>
    </row>
    <row r="11" spans="1:12" x14ac:dyDescent="0.25">
      <c r="A11" s="118" t="s">
        <v>159</v>
      </c>
      <c r="B11" s="143">
        <f>B4</f>
        <v>8500000</v>
      </c>
      <c r="C11" s="136"/>
      <c r="D11" s="118"/>
      <c r="E11" s="118"/>
      <c r="F11" s="134"/>
      <c r="G11" s="118"/>
      <c r="H11" s="118"/>
      <c r="I11" s="118" t="str">
        <f>A4</f>
        <v>Purchase price</v>
      </c>
      <c r="J11" s="137">
        <f>B4</f>
        <v>8500000</v>
      </c>
      <c r="K11" s="137"/>
      <c r="L11" s="118"/>
    </row>
    <row r="12" spans="1:12" x14ac:dyDescent="0.25">
      <c r="A12" s="118" t="s">
        <v>127</v>
      </c>
      <c r="B12" s="118">
        <v>5</v>
      </c>
      <c r="C12" s="144" t="s">
        <v>125</v>
      </c>
      <c r="D12" s="118"/>
      <c r="E12" s="118"/>
      <c r="F12" s="118"/>
      <c r="G12" s="118"/>
      <c r="H12" s="118"/>
      <c r="I12" s="118" t="s">
        <v>145</v>
      </c>
      <c r="J12" s="137">
        <f>SUM(B41:F41)</f>
        <v>680000</v>
      </c>
      <c r="K12" s="137"/>
      <c r="L12" s="145"/>
    </row>
    <row r="13" spans="1:12" x14ac:dyDescent="0.25">
      <c r="A13" s="118" t="s">
        <v>128</v>
      </c>
      <c r="B13" s="138">
        <v>0.02</v>
      </c>
      <c r="C13" s="139" t="s">
        <v>129</v>
      </c>
      <c r="D13" s="118"/>
      <c r="E13" s="118"/>
      <c r="F13" s="118"/>
      <c r="G13" s="118"/>
      <c r="H13" s="118"/>
      <c r="I13" s="118" t="s">
        <v>163</v>
      </c>
      <c r="J13" s="137">
        <f>J11-J12</f>
        <v>7820000</v>
      </c>
      <c r="K13" s="137"/>
      <c r="L13" s="137"/>
    </row>
    <row r="14" spans="1:12" x14ac:dyDescent="0.25">
      <c r="A14" s="118" t="s">
        <v>175</v>
      </c>
      <c r="B14" s="146">
        <v>0.12</v>
      </c>
      <c r="C14" s="139"/>
      <c r="D14" s="118"/>
      <c r="E14" s="118"/>
      <c r="F14" s="118"/>
      <c r="G14" s="118"/>
      <c r="H14" s="118"/>
      <c r="I14" s="118"/>
      <c r="J14" s="137"/>
      <c r="K14" s="137"/>
      <c r="L14" s="137"/>
    </row>
    <row r="15" spans="1:12" x14ac:dyDescent="0.25">
      <c r="A15" s="118" t="s">
        <v>130</v>
      </c>
      <c r="B15" s="146">
        <v>0.05</v>
      </c>
      <c r="C15" s="139"/>
      <c r="D15" s="118"/>
      <c r="E15" s="118"/>
      <c r="F15" s="118"/>
      <c r="G15" s="118"/>
      <c r="H15" s="118"/>
      <c r="I15" s="118" t="s">
        <v>146</v>
      </c>
      <c r="J15" s="137">
        <f>J5-J6-J13</f>
        <v>510000</v>
      </c>
      <c r="K15" s="137"/>
      <c r="L15" s="137"/>
    </row>
    <row r="16" spans="1:12" x14ac:dyDescent="0.25">
      <c r="A16" s="118" t="s">
        <v>131</v>
      </c>
      <c r="B16" s="146">
        <v>0.03</v>
      </c>
      <c r="C16" s="139"/>
      <c r="D16" s="118"/>
      <c r="E16" s="118"/>
      <c r="F16" s="118"/>
      <c r="G16" s="118"/>
      <c r="H16" s="118"/>
      <c r="I16" s="118" t="s">
        <v>123</v>
      </c>
      <c r="J16" s="137">
        <f>J12</f>
        <v>680000</v>
      </c>
      <c r="K16" s="137"/>
      <c r="L16" s="137"/>
    </row>
    <row r="17" spans="1:12" x14ac:dyDescent="0.25">
      <c r="A17" s="118" t="s">
        <v>132</v>
      </c>
      <c r="B17" s="143">
        <v>700000</v>
      </c>
      <c r="C17" s="139"/>
      <c r="D17" s="118"/>
      <c r="E17" s="118"/>
      <c r="F17" s="118"/>
      <c r="G17" s="118"/>
      <c r="H17" s="118"/>
      <c r="I17" s="118" t="s">
        <v>147</v>
      </c>
      <c r="J17" s="137">
        <f>J15-J16</f>
        <v>-170000</v>
      </c>
      <c r="K17" s="137"/>
      <c r="L17" s="137"/>
    </row>
    <row r="18" spans="1:12" x14ac:dyDescent="0.25">
      <c r="A18" s="118" t="s">
        <v>75</v>
      </c>
      <c r="B18" s="137">
        <f>(1-B7)*B4</f>
        <v>2975000</v>
      </c>
      <c r="C18" s="147"/>
      <c r="D18" s="137"/>
      <c r="E18" s="118"/>
      <c r="F18" s="118"/>
      <c r="G18" s="118"/>
      <c r="H18" s="118"/>
      <c r="I18" s="118"/>
      <c r="J18" s="137"/>
      <c r="K18" s="137"/>
      <c r="L18" s="118"/>
    </row>
    <row r="19" spans="1:12" x14ac:dyDescent="0.25">
      <c r="A19" s="118" t="s">
        <v>133</v>
      </c>
      <c r="B19" s="137">
        <f>B7*B4</f>
        <v>5525000</v>
      </c>
      <c r="C19" s="147"/>
      <c r="D19" s="137"/>
      <c r="E19" s="118"/>
      <c r="F19" s="118"/>
      <c r="G19" s="118"/>
      <c r="H19" s="118"/>
      <c r="I19" s="118" t="s">
        <v>166</v>
      </c>
      <c r="J19" s="137">
        <f>F6*J17</f>
        <v>-47600.000000000007</v>
      </c>
      <c r="K19" s="118"/>
      <c r="L19" s="118"/>
    </row>
    <row r="20" spans="1:12" x14ac:dyDescent="0.25">
      <c r="A20" s="118" t="s">
        <v>134</v>
      </c>
      <c r="B20" s="137">
        <f>PMT(B8/B10,B9*B10,-B19)*B10</f>
        <v>427171.82918489218</v>
      </c>
      <c r="C20" s="147"/>
      <c r="D20" s="137"/>
      <c r="E20" s="118"/>
      <c r="F20" s="118"/>
      <c r="G20" s="118"/>
      <c r="H20" s="118"/>
      <c r="I20" s="118" t="s">
        <v>148</v>
      </c>
      <c r="J20" s="137">
        <f>F7*J16</f>
        <v>0</v>
      </c>
      <c r="K20" s="118"/>
      <c r="L20" s="118"/>
    </row>
    <row r="21" spans="1:12" x14ac:dyDescent="0.25">
      <c r="A21" s="118" t="s">
        <v>169</v>
      </c>
      <c r="B21" s="137">
        <f>PV(B8/B10,(B9-B12)*B10,-(B20/B10))</f>
        <v>4968747.7965695588</v>
      </c>
      <c r="C21" s="139"/>
      <c r="D21" s="118"/>
      <c r="E21" s="118"/>
      <c r="F21" s="118"/>
      <c r="G21" s="118"/>
      <c r="H21" s="118"/>
      <c r="I21" s="148" t="s">
        <v>149</v>
      </c>
      <c r="J21" s="130"/>
      <c r="K21" s="149">
        <f>J19+J20</f>
        <v>-47600.000000000007</v>
      </c>
      <c r="L21" s="118"/>
    </row>
    <row r="22" spans="1:12" x14ac:dyDescent="0.25">
      <c r="A22" s="118" t="s">
        <v>136</v>
      </c>
      <c r="B22" s="134">
        <f>F26/0.06</f>
        <v>13524864.200166667</v>
      </c>
      <c r="C22" s="139"/>
      <c r="D22" s="118"/>
      <c r="E22" s="118"/>
      <c r="F22" s="118"/>
      <c r="G22" s="118"/>
      <c r="H22" s="118"/>
    </row>
    <row r="23" spans="1:12" ht="15.75" thickBot="1" x14ac:dyDescent="0.3">
      <c r="A23" s="118"/>
      <c r="B23" s="118"/>
      <c r="C23" s="118"/>
      <c r="D23" s="118"/>
      <c r="E23" s="118"/>
      <c r="F23" s="118"/>
      <c r="G23" s="118"/>
      <c r="H23" s="118"/>
      <c r="I23" s="150" t="s">
        <v>167</v>
      </c>
      <c r="J23" s="151"/>
      <c r="K23" s="151">
        <f>K8-K21</f>
        <v>3408852.2034304412</v>
      </c>
    </row>
    <row r="24" spans="1:12" ht="15.75" thickTop="1" x14ac:dyDescent="0.25">
      <c r="A24" s="152" t="s">
        <v>137</v>
      </c>
      <c r="B24" s="152"/>
      <c r="C24" s="152"/>
      <c r="D24" s="152"/>
      <c r="E24" s="152"/>
      <c r="F24" s="152"/>
      <c r="G24" s="118"/>
      <c r="H24" s="118"/>
      <c r="I24" s="118"/>
      <c r="J24" s="118"/>
    </row>
    <row r="25" spans="1:12" x14ac:dyDescent="0.25">
      <c r="A25" s="152"/>
      <c r="B25" s="153"/>
      <c r="C25" s="153"/>
      <c r="D25" s="153"/>
      <c r="E25" s="153"/>
      <c r="F25" s="153"/>
      <c r="G25" s="118"/>
      <c r="H25" s="118"/>
      <c r="L25" s="118"/>
    </row>
    <row r="26" spans="1:12" x14ac:dyDescent="0.25">
      <c r="A26" s="154" t="s">
        <v>139</v>
      </c>
      <c r="B26" s="155">
        <f>B17* (1+$B$16)</f>
        <v>721000</v>
      </c>
      <c r="C26" s="155">
        <f>B26*(1+$B$16)</f>
        <v>742630</v>
      </c>
      <c r="D26" s="155">
        <f t="shared" ref="D26:F26" si="0">C26*(1+$B$16)</f>
        <v>764908.9</v>
      </c>
      <c r="E26" s="155">
        <f t="shared" si="0"/>
        <v>787856.16700000002</v>
      </c>
      <c r="F26" s="155">
        <f t="shared" si="0"/>
        <v>811491.85201000003</v>
      </c>
      <c r="G26" s="118"/>
      <c r="H26" s="118"/>
      <c r="I26" s="118"/>
      <c r="J26" s="118"/>
      <c r="K26" s="118"/>
    </row>
    <row r="27" spans="1:12" x14ac:dyDescent="0.25">
      <c r="A27" s="118" t="s">
        <v>134</v>
      </c>
      <c r="B27" s="155">
        <f>$B$20</f>
        <v>427171.82918489218</v>
      </c>
      <c r="C27" s="155">
        <f>$B$20</f>
        <v>427171.82918489218</v>
      </c>
      <c r="D27" s="155">
        <f>$B$20</f>
        <v>427171.82918489218</v>
      </c>
      <c r="E27" s="155">
        <f>$B$20</f>
        <v>427171.82918489218</v>
      </c>
      <c r="F27" s="155">
        <f>$B$20</f>
        <v>427171.82918489218</v>
      </c>
      <c r="G27" s="118"/>
      <c r="H27" s="118"/>
      <c r="I27" s="118"/>
      <c r="J27" s="118"/>
    </row>
    <row r="28" spans="1:12" x14ac:dyDescent="0.25">
      <c r="A28" s="118" t="s">
        <v>161</v>
      </c>
      <c r="B28" s="134">
        <f>B26-B27</f>
        <v>293828.17081510782</v>
      </c>
      <c r="C28" s="134">
        <f t="shared" ref="C28:F28" si="1">C26-C27</f>
        <v>315458.17081510782</v>
      </c>
      <c r="D28" s="134">
        <f t="shared" si="1"/>
        <v>337737.07081510784</v>
      </c>
      <c r="E28" s="134">
        <f t="shared" si="1"/>
        <v>360684.33781510784</v>
      </c>
      <c r="F28" s="134">
        <f t="shared" si="1"/>
        <v>384320.02282510785</v>
      </c>
      <c r="G28" s="118"/>
      <c r="H28" s="118"/>
      <c r="I28" s="118"/>
      <c r="J28" s="118"/>
    </row>
    <row r="29" spans="1:12" s="118" customFormat="1" x14ac:dyDescent="0.25">
      <c r="A29" s="153" t="s">
        <v>171</v>
      </c>
      <c r="B29" s="156">
        <f>B43</f>
        <v>71729.090207155386</v>
      </c>
      <c r="C29" s="156">
        <f t="shared" ref="C29:F29" si="2">C43</f>
        <v>79483.924594757758</v>
      </c>
      <c r="D29" s="156">
        <f t="shared" si="2"/>
        <v>87525.206698982773</v>
      </c>
      <c r="E29" s="156">
        <f t="shared" si="2"/>
        <v>95864.848383211327</v>
      </c>
      <c r="F29" s="156">
        <f t="shared" si="2"/>
        <v>104515.32354034513</v>
      </c>
      <c r="K29" s="129"/>
    </row>
    <row r="30" spans="1:12" s="131" customFormat="1" x14ac:dyDescent="0.25">
      <c r="A30" s="157" t="s">
        <v>162</v>
      </c>
      <c r="B30" s="158">
        <f>B28-B29</f>
        <v>222099.08060795243</v>
      </c>
      <c r="C30" s="158">
        <f t="shared" ref="C30:F30" si="3">C28-C29</f>
        <v>235974.24622035006</v>
      </c>
      <c r="D30" s="158">
        <f t="shared" si="3"/>
        <v>250211.86411612507</v>
      </c>
      <c r="E30" s="158">
        <f t="shared" si="3"/>
        <v>264819.48943189648</v>
      </c>
      <c r="F30" s="158">
        <f t="shared" si="3"/>
        <v>279804.69928476273</v>
      </c>
    </row>
    <row r="31" spans="1:12" x14ac:dyDescent="0.25">
      <c r="A31" s="152"/>
      <c r="B31" s="152"/>
      <c r="C31" s="152"/>
      <c r="D31" s="152"/>
      <c r="E31" s="152"/>
      <c r="F31" s="152"/>
      <c r="G31" s="118"/>
      <c r="H31" s="118"/>
      <c r="I31" s="118"/>
      <c r="J31" s="118"/>
      <c r="K31" s="118"/>
    </row>
    <row r="32" spans="1:12" s="118" customFormat="1" x14ac:dyDescent="0.25">
      <c r="A32" s="159" t="s">
        <v>5</v>
      </c>
      <c r="B32" s="160">
        <v>1</v>
      </c>
      <c r="C32" s="160">
        <v>2</v>
      </c>
      <c r="D32" s="160">
        <v>3</v>
      </c>
      <c r="E32" s="160">
        <v>4</v>
      </c>
      <c r="F32" s="160">
        <v>5</v>
      </c>
      <c r="K32" s="129"/>
    </row>
    <row r="33" spans="1:12" x14ac:dyDescent="0.25">
      <c r="A33" s="118" t="s">
        <v>160</v>
      </c>
      <c r="B33" s="137">
        <f>$B$20</f>
        <v>427171.82918489218</v>
      </c>
      <c r="C33" s="137">
        <f>$B$20</f>
        <v>427171.82918489218</v>
      </c>
      <c r="D33" s="137">
        <f>$B$20</f>
        <v>427171.82918489218</v>
      </c>
      <c r="E33" s="137">
        <f>$B$20</f>
        <v>427171.82918489218</v>
      </c>
      <c r="F33" s="137">
        <f>$B$20</f>
        <v>427171.82918489218</v>
      </c>
      <c r="G33" s="118"/>
      <c r="H33" s="118"/>
      <c r="I33" s="118"/>
      <c r="J33" s="118"/>
      <c r="K33" s="118"/>
    </row>
    <row r="34" spans="1:12" x14ac:dyDescent="0.25">
      <c r="A34" s="118" t="s">
        <v>176</v>
      </c>
      <c r="B34" s="137">
        <f>IF($B$9&gt;B32-$B32+1,(($B20/$B$10)/PMT($B$8/($B$10),($B$9-(B32-$B32+1))*$B$10,-1)),0)</f>
        <v>5426652.8486466957</v>
      </c>
      <c r="C34" s="137">
        <f>IF($B$9&gt;C32-$B32+1,(($B20/$B$10)/PMT($B$8/($B$10),($B$9-(C32-$B32+1))*$B$10,-1)),0)</f>
        <v>5322239.8601948116</v>
      </c>
      <c r="D34" s="137">
        <f>IF($B$9&gt;D32-$B32+1,(($B20/$B$10)/PMT($B$8/($B$10),($B$9-(D32-$B32+1))*$B$10,-1)),0)</f>
        <v>5211386.907084981</v>
      </c>
      <c r="E34" s="137">
        <f>IF($B$9&gt;E32-$B32+1,(($B20/$B$10)/PMT($B$8/($B$10),($B$9-(E32-$B32+1))*$B$10,-1)),0)</f>
        <v>5093696.7863886198</v>
      </c>
      <c r="F34" s="137">
        <f>IF($B$9&gt;F32-$B32+1,(($B20/$B$10)/PMT($B$8/($B$10),($B$9-(F32-$B32+1))*$B$10,-1)),0)</f>
        <v>4968747.796569638</v>
      </c>
      <c r="G34" s="118"/>
      <c r="H34" s="118"/>
      <c r="I34" s="118"/>
      <c r="J34" s="118"/>
    </row>
    <row r="35" spans="1:12" x14ac:dyDescent="0.25">
      <c r="A35" s="118" t="s">
        <v>177</v>
      </c>
      <c r="B35" s="137">
        <f>($B$20-($B$19-B34))</f>
        <v>328824.67783158791</v>
      </c>
      <c r="C35" s="137">
        <f>($B$20-(B34-C34))</f>
        <v>322758.84073300805</v>
      </c>
      <c r="D35" s="137">
        <f>($B$20-(C34-D34))</f>
        <v>316318.87607506156</v>
      </c>
      <c r="E35" s="137">
        <f>($B$20-(D34-E34))</f>
        <v>309481.708488531</v>
      </c>
      <c r="F35" s="137">
        <f>($B$20-(E34-F34))</f>
        <v>302222.83936591033</v>
      </c>
      <c r="G35" s="118"/>
      <c r="H35" s="118"/>
      <c r="I35" s="118"/>
      <c r="J35" s="118"/>
    </row>
    <row r="36" spans="1:12" x14ac:dyDescent="0.25">
      <c r="A36" s="118" t="s">
        <v>178</v>
      </c>
      <c r="B36" s="137">
        <f>B33-B35</f>
        <v>98347.151353304274</v>
      </c>
      <c r="C36" s="137">
        <f>C33-C35</f>
        <v>104412.98845188413</v>
      </c>
      <c r="D36" s="137">
        <f>D33-D35</f>
        <v>110852.95310983062</v>
      </c>
      <c r="E36" s="137">
        <f>E33-E35</f>
        <v>117690.12069636118</v>
      </c>
      <c r="F36" s="137">
        <f>F33-F35</f>
        <v>124948.98981898185</v>
      </c>
      <c r="G36" s="118"/>
      <c r="H36" s="118"/>
      <c r="I36" s="118"/>
      <c r="J36" s="118"/>
    </row>
    <row r="37" spans="1:12" x14ac:dyDescent="0.25">
      <c r="A37" s="118"/>
      <c r="B37" s="137"/>
      <c r="C37" s="137"/>
      <c r="D37" s="137"/>
      <c r="E37" s="137"/>
      <c r="F37" s="137"/>
      <c r="G37" s="118"/>
      <c r="H37" s="118"/>
      <c r="I37" s="118"/>
      <c r="J37" s="118"/>
    </row>
    <row r="38" spans="1:12" x14ac:dyDescent="0.25">
      <c r="A38" s="131" t="s">
        <v>164</v>
      </c>
      <c r="B38" s="137"/>
      <c r="C38" s="137"/>
      <c r="D38" s="137"/>
      <c r="E38" s="137"/>
      <c r="F38" s="137"/>
      <c r="G38" s="118" t="s">
        <v>138</v>
      </c>
      <c r="H38" s="118"/>
      <c r="I38" s="118"/>
      <c r="J38" s="118"/>
    </row>
    <row r="39" spans="1:12" x14ac:dyDescent="0.25">
      <c r="A39" s="159" t="s">
        <v>5</v>
      </c>
      <c r="B39" s="160">
        <v>1</v>
      </c>
      <c r="C39" s="160">
        <v>2</v>
      </c>
      <c r="D39" s="160">
        <v>3</v>
      </c>
      <c r="E39" s="160">
        <v>4</v>
      </c>
      <c r="F39" s="160">
        <v>5</v>
      </c>
      <c r="G39" s="118"/>
      <c r="H39" s="118"/>
      <c r="I39" s="118"/>
      <c r="J39" s="118"/>
    </row>
    <row r="40" spans="1:12" x14ac:dyDescent="0.25">
      <c r="A40" s="118" t="s">
        <v>140</v>
      </c>
      <c r="B40" s="137">
        <f>B35</f>
        <v>328824.67783158791</v>
      </c>
      <c r="C40" s="137">
        <f>C35</f>
        <v>322758.84073300805</v>
      </c>
      <c r="D40" s="137">
        <f>D35</f>
        <v>316318.87607506156</v>
      </c>
      <c r="E40" s="137">
        <f>E35</f>
        <v>309481.708488531</v>
      </c>
      <c r="F40" s="137">
        <f>F35</f>
        <v>302222.83936591033</v>
      </c>
      <c r="G40" s="118"/>
      <c r="H40" s="118"/>
      <c r="I40" s="118"/>
      <c r="J40" s="118"/>
    </row>
    <row r="41" spans="1:12" x14ac:dyDescent="0.25">
      <c r="A41" s="118" t="s">
        <v>141</v>
      </c>
      <c r="B41" s="137">
        <f>$B$5/$F$5</f>
        <v>136000</v>
      </c>
      <c r="C41" s="137">
        <f>$B$5/$F$5</f>
        <v>136000</v>
      </c>
      <c r="D41" s="137">
        <f>$B$5/$F$5</f>
        <v>136000</v>
      </c>
      <c r="E41" s="137">
        <f>$B$5/$F$5</f>
        <v>136000</v>
      </c>
      <c r="F41" s="137">
        <f>$B$5/$F$5</f>
        <v>136000</v>
      </c>
      <c r="G41" s="118"/>
      <c r="H41" s="118"/>
      <c r="I41" s="118"/>
      <c r="J41" s="118"/>
    </row>
    <row r="42" spans="1:12" x14ac:dyDescent="0.25">
      <c r="A42" s="118" t="s">
        <v>142</v>
      </c>
      <c r="B42" s="137">
        <f>B26-B40-B41</f>
        <v>256175.32216841209</v>
      </c>
      <c r="C42" s="137">
        <f>C26-C40-C41</f>
        <v>283871.15926699195</v>
      </c>
      <c r="D42" s="137">
        <f>D26-D40-D41</f>
        <v>312590.02392493846</v>
      </c>
      <c r="E42" s="137">
        <f>E26-E40-E41</f>
        <v>342374.45851146901</v>
      </c>
      <c r="F42" s="137">
        <f>F26-F40-F41</f>
        <v>373269.0126440897</v>
      </c>
      <c r="G42" s="118"/>
      <c r="H42" s="118"/>
      <c r="I42" s="118"/>
      <c r="J42" s="118"/>
    </row>
    <row r="43" spans="1:12" x14ac:dyDescent="0.25">
      <c r="A43" s="131" t="s">
        <v>109</v>
      </c>
      <c r="B43" s="142">
        <f>B42*$B$6</f>
        <v>71729.090207155386</v>
      </c>
      <c r="C43" s="142">
        <f>C42*$B$6</f>
        <v>79483.924594757758</v>
      </c>
      <c r="D43" s="142">
        <f>D42*$B$6</f>
        <v>87525.206698982773</v>
      </c>
      <c r="E43" s="142">
        <f>E42*$B$6</f>
        <v>95864.848383211327</v>
      </c>
      <c r="F43" s="142">
        <f>F42*$B$6</f>
        <v>104515.32354034513</v>
      </c>
      <c r="G43" s="118"/>
      <c r="H43" s="118"/>
      <c r="I43" s="118" t="s">
        <v>170</v>
      </c>
      <c r="J43" s="118"/>
    </row>
    <row r="44" spans="1:12" x14ac:dyDescent="0.25">
      <c r="A44" s="131"/>
      <c r="B44" s="142"/>
      <c r="C44" s="142"/>
      <c r="D44" s="142"/>
      <c r="E44" s="142"/>
      <c r="F44" s="142"/>
      <c r="G44" s="118"/>
      <c r="H44" s="118"/>
      <c r="I44" s="118"/>
      <c r="J44" s="118"/>
    </row>
    <row r="45" spans="1:12" x14ac:dyDescent="0.25">
      <c r="A45" s="131" t="s">
        <v>5</v>
      </c>
      <c r="B45" s="142">
        <v>0</v>
      </c>
      <c r="C45" s="142">
        <v>1</v>
      </c>
      <c r="D45" s="142">
        <v>2</v>
      </c>
      <c r="E45" s="142">
        <v>3</v>
      </c>
      <c r="F45" s="142">
        <v>4</v>
      </c>
      <c r="G45" s="118">
        <v>5</v>
      </c>
      <c r="H45" s="118"/>
      <c r="I45" s="159" t="s">
        <v>180</v>
      </c>
      <c r="J45" s="164">
        <f>IRR(B46:G46)</f>
        <v>0.10681545544650417</v>
      </c>
      <c r="K45" s="165"/>
      <c r="L45" s="165"/>
    </row>
    <row r="46" spans="1:12" x14ac:dyDescent="0.25">
      <c r="A46" s="144" t="s">
        <v>179</v>
      </c>
      <c r="B46" s="161">
        <f>-$B$18</f>
        <v>-2975000</v>
      </c>
      <c r="C46" s="161">
        <f>B30</f>
        <v>222099.08060795243</v>
      </c>
      <c r="D46" s="161">
        <f>C30</f>
        <v>235974.24622035006</v>
      </c>
      <c r="E46" s="161">
        <f>D30</f>
        <v>250211.86411612507</v>
      </c>
      <c r="F46" s="161">
        <f>E30</f>
        <v>264819.48943189648</v>
      </c>
      <c r="G46" s="161">
        <f>F30+K23</f>
        <v>3688656.9027152038</v>
      </c>
      <c r="H46" s="118"/>
      <c r="I46" s="118"/>
      <c r="J46" s="118"/>
    </row>
    <row r="47" spans="1:12" x14ac:dyDescent="0.25">
      <c r="A47" s="162" t="s">
        <v>150</v>
      </c>
      <c r="B47" s="163">
        <f>B46+NPV(B14,C46:G46)</f>
        <v>-149143.6012838725</v>
      </c>
      <c r="C47" s="118"/>
      <c r="D47" s="118"/>
      <c r="E47" s="118"/>
      <c r="F47" s="118"/>
      <c r="G47" s="118"/>
      <c r="H47" s="118"/>
      <c r="I47" s="118"/>
      <c r="J47" s="118"/>
    </row>
    <row r="48" spans="1:12" x14ac:dyDescent="0.25">
      <c r="A48" s="162"/>
      <c r="B48" s="163"/>
      <c r="C48" s="118"/>
      <c r="D48" s="118"/>
      <c r="E48" s="118"/>
      <c r="F48" s="118"/>
      <c r="G48" s="118"/>
      <c r="H48" s="118"/>
      <c r="I48" s="118"/>
      <c r="J48" s="118"/>
    </row>
    <row r="49" spans="1:10" x14ac:dyDescent="0.25">
      <c r="E49" s="165"/>
      <c r="F49" s="165"/>
      <c r="G49" s="118"/>
      <c r="H49" s="118"/>
      <c r="I49" s="118"/>
      <c r="J49" s="118"/>
    </row>
    <row r="50" spans="1:10" x14ac:dyDescent="0.25">
      <c r="A50" s="144"/>
      <c r="B50" s="165"/>
      <c r="C50" s="165"/>
      <c r="D50" s="165"/>
      <c r="E50" s="165"/>
      <c r="F50" s="165"/>
      <c r="G50" s="118"/>
      <c r="H50" s="118"/>
      <c r="I50" s="118"/>
      <c r="J50" s="118"/>
    </row>
    <row r="51" spans="1:10" x14ac:dyDescent="0.25">
      <c r="A51" s="131"/>
      <c r="B51" s="166"/>
      <c r="D51" s="165"/>
      <c r="E51" s="165"/>
      <c r="F51" s="165"/>
      <c r="G51" s="118"/>
      <c r="H51" s="118"/>
      <c r="I51" s="118"/>
      <c r="J51" s="118"/>
    </row>
    <row r="52" spans="1:10" x14ac:dyDescent="0.25">
      <c r="A52" s="144"/>
      <c r="B52" s="165"/>
      <c r="C52" s="165"/>
      <c r="D52" s="118"/>
      <c r="E52" s="118"/>
      <c r="F52" s="118"/>
      <c r="G52" s="118"/>
      <c r="H52" s="118"/>
      <c r="I52" s="118"/>
      <c r="J52" s="118"/>
    </row>
    <row r="53" spans="1:10" x14ac:dyDescent="0.25">
      <c r="A53" s="118"/>
      <c r="B53" s="118"/>
      <c r="C53" s="118"/>
      <c r="D53" s="118"/>
      <c r="E53" s="118"/>
      <c r="F53" s="118"/>
      <c r="G53" s="139"/>
      <c r="H53" s="118"/>
      <c r="I53" s="118"/>
      <c r="J53" s="118"/>
    </row>
    <row r="54" spans="1:10" x14ac:dyDescent="0.25">
      <c r="A54" s="118"/>
      <c r="B54" s="118"/>
      <c r="C54" s="118"/>
      <c r="D54" s="118"/>
      <c r="E54" s="118"/>
      <c r="F54" s="118"/>
      <c r="G54" s="139"/>
      <c r="H54" s="118"/>
      <c r="I54" s="118"/>
      <c r="J54" s="118"/>
    </row>
    <row r="55" spans="1:10" x14ac:dyDescent="0.25">
      <c r="A55" s="118"/>
      <c r="B55" s="118"/>
      <c r="C55" s="118"/>
      <c r="D55" s="118"/>
      <c r="E55" s="118"/>
      <c r="F55" s="118"/>
      <c r="G55" s="139"/>
      <c r="H55" s="118"/>
      <c r="I55" s="118"/>
      <c r="J55" s="118"/>
    </row>
    <row r="56" spans="1:10" x14ac:dyDescent="0.25">
      <c r="A56" s="118"/>
      <c r="B56" s="118"/>
      <c r="C56" s="118"/>
      <c r="D56" s="118"/>
      <c r="E56" s="118"/>
      <c r="F56" s="118"/>
      <c r="G56" s="139"/>
      <c r="H56" s="118"/>
      <c r="I56" s="118"/>
      <c r="J56" s="118"/>
    </row>
    <row r="57" spans="1:10" x14ac:dyDescent="0.25">
      <c r="A57" s="118"/>
      <c r="B57" s="118"/>
      <c r="C57" s="118"/>
      <c r="D57" s="118"/>
      <c r="E57" s="118"/>
      <c r="F57" s="118"/>
      <c r="G57" s="139"/>
      <c r="H57" s="118"/>
      <c r="I57" s="118"/>
      <c r="J57" s="118"/>
    </row>
    <row r="58" spans="1:10" x14ac:dyDescent="0.25">
      <c r="A58" s="118"/>
      <c r="B58" s="118"/>
      <c r="C58" s="118"/>
      <c r="D58" s="118"/>
      <c r="E58" s="118"/>
      <c r="F58" s="118"/>
      <c r="G58" s="139"/>
      <c r="H58" s="118"/>
      <c r="I58" s="118"/>
      <c r="J58" s="118"/>
    </row>
    <row r="59" spans="1:10" x14ac:dyDescent="0.25">
      <c r="A59" s="118"/>
      <c r="B59" s="118"/>
      <c r="C59" s="118"/>
      <c r="D59" s="118"/>
      <c r="E59" s="118"/>
      <c r="F59" s="118"/>
      <c r="G59" s="139"/>
      <c r="H59" s="118"/>
      <c r="I59" s="118"/>
      <c r="J59" s="118"/>
    </row>
    <row r="60" spans="1:10" x14ac:dyDescent="0.25">
      <c r="A60" s="118"/>
      <c r="B60" s="118"/>
      <c r="C60" s="118"/>
      <c r="D60" s="118"/>
      <c r="E60" s="118"/>
      <c r="F60" s="118"/>
      <c r="G60" s="137"/>
      <c r="H60" s="118"/>
      <c r="I60" s="118"/>
      <c r="J60" s="118"/>
    </row>
    <row r="61" spans="1:10" x14ac:dyDescent="0.25">
      <c r="A61" s="118"/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0" x14ac:dyDescent="0.25">
      <c r="A62" s="118"/>
      <c r="B62" s="118"/>
      <c r="C62" s="118"/>
      <c r="D62" s="118"/>
      <c r="E62" s="118"/>
      <c r="F62" s="118"/>
      <c r="G62" s="118"/>
      <c r="H62" s="118"/>
      <c r="I62" s="118"/>
      <c r="J62" s="118"/>
    </row>
    <row r="63" spans="1:10" x14ac:dyDescent="0.25">
      <c r="A63" s="118"/>
      <c r="B63" s="118"/>
      <c r="C63" s="118"/>
      <c r="D63" s="118"/>
      <c r="E63" s="118"/>
      <c r="F63" s="118"/>
      <c r="G63" s="118"/>
      <c r="H63" s="118"/>
      <c r="I63" s="118"/>
      <c r="J63" s="118"/>
    </row>
    <row r="64" spans="1:10" x14ac:dyDescent="0.25">
      <c r="A64" s="118"/>
      <c r="B64" s="118"/>
      <c r="C64" s="118"/>
      <c r="D64" s="118"/>
      <c r="E64" s="118"/>
      <c r="F64" s="118"/>
      <c r="G64" s="118"/>
      <c r="I64" s="118"/>
      <c r="J64" s="11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38.5703125" bestFit="1" customWidth="1"/>
    <col min="2" max="2" width="15.28515625" bestFit="1" customWidth="1"/>
    <col min="3" max="3" width="12.28515625" bestFit="1" customWidth="1"/>
    <col min="4" max="4" width="12.85546875" customWidth="1"/>
    <col min="5" max="7" width="12.28515625" bestFit="1" customWidth="1"/>
    <col min="254" max="254" width="28.7109375" bestFit="1" customWidth="1"/>
    <col min="255" max="255" width="15.140625" bestFit="1" customWidth="1"/>
    <col min="256" max="256" width="10.7109375" bestFit="1" customWidth="1"/>
    <col min="257" max="257" width="12.85546875" customWidth="1"/>
    <col min="258" max="259" width="11.7109375" bestFit="1" customWidth="1"/>
    <col min="260" max="260" width="10.7109375" bestFit="1" customWidth="1"/>
    <col min="510" max="510" width="28.7109375" bestFit="1" customWidth="1"/>
    <col min="511" max="511" width="15.140625" bestFit="1" customWidth="1"/>
    <col min="512" max="512" width="10.7109375" bestFit="1" customWidth="1"/>
    <col min="513" max="513" width="12.85546875" customWidth="1"/>
    <col min="514" max="515" width="11.7109375" bestFit="1" customWidth="1"/>
    <col min="516" max="516" width="10.7109375" bestFit="1" customWidth="1"/>
    <col min="766" max="766" width="28.7109375" bestFit="1" customWidth="1"/>
    <col min="767" max="767" width="15.140625" bestFit="1" customWidth="1"/>
    <col min="768" max="768" width="10.7109375" bestFit="1" customWidth="1"/>
    <col min="769" max="769" width="12.85546875" customWidth="1"/>
    <col min="770" max="771" width="11.7109375" bestFit="1" customWidth="1"/>
    <col min="772" max="772" width="10.7109375" bestFit="1" customWidth="1"/>
    <col min="1022" max="1022" width="28.7109375" bestFit="1" customWidth="1"/>
    <col min="1023" max="1023" width="15.140625" bestFit="1" customWidth="1"/>
    <col min="1024" max="1024" width="10.7109375" bestFit="1" customWidth="1"/>
    <col min="1025" max="1025" width="12.85546875" customWidth="1"/>
    <col min="1026" max="1027" width="11.7109375" bestFit="1" customWidth="1"/>
    <col min="1028" max="1028" width="10.7109375" bestFit="1" customWidth="1"/>
    <col min="1278" max="1278" width="28.7109375" bestFit="1" customWidth="1"/>
    <col min="1279" max="1279" width="15.140625" bestFit="1" customWidth="1"/>
    <col min="1280" max="1280" width="10.7109375" bestFit="1" customWidth="1"/>
    <col min="1281" max="1281" width="12.85546875" customWidth="1"/>
    <col min="1282" max="1283" width="11.7109375" bestFit="1" customWidth="1"/>
    <col min="1284" max="1284" width="10.7109375" bestFit="1" customWidth="1"/>
    <col min="1534" max="1534" width="28.7109375" bestFit="1" customWidth="1"/>
    <col min="1535" max="1535" width="15.140625" bestFit="1" customWidth="1"/>
    <col min="1536" max="1536" width="10.7109375" bestFit="1" customWidth="1"/>
    <col min="1537" max="1537" width="12.85546875" customWidth="1"/>
    <col min="1538" max="1539" width="11.7109375" bestFit="1" customWidth="1"/>
    <col min="1540" max="1540" width="10.7109375" bestFit="1" customWidth="1"/>
    <col min="1790" max="1790" width="28.7109375" bestFit="1" customWidth="1"/>
    <col min="1791" max="1791" width="15.140625" bestFit="1" customWidth="1"/>
    <col min="1792" max="1792" width="10.7109375" bestFit="1" customWidth="1"/>
    <col min="1793" max="1793" width="12.85546875" customWidth="1"/>
    <col min="1794" max="1795" width="11.7109375" bestFit="1" customWidth="1"/>
    <col min="1796" max="1796" width="10.7109375" bestFit="1" customWidth="1"/>
    <col min="2046" max="2046" width="28.7109375" bestFit="1" customWidth="1"/>
    <col min="2047" max="2047" width="15.140625" bestFit="1" customWidth="1"/>
    <col min="2048" max="2048" width="10.7109375" bestFit="1" customWidth="1"/>
    <col min="2049" max="2049" width="12.85546875" customWidth="1"/>
    <col min="2050" max="2051" width="11.7109375" bestFit="1" customWidth="1"/>
    <col min="2052" max="2052" width="10.7109375" bestFit="1" customWidth="1"/>
    <col min="2302" max="2302" width="28.7109375" bestFit="1" customWidth="1"/>
    <col min="2303" max="2303" width="15.140625" bestFit="1" customWidth="1"/>
    <col min="2304" max="2304" width="10.7109375" bestFit="1" customWidth="1"/>
    <col min="2305" max="2305" width="12.85546875" customWidth="1"/>
    <col min="2306" max="2307" width="11.7109375" bestFit="1" customWidth="1"/>
    <col min="2308" max="2308" width="10.7109375" bestFit="1" customWidth="1"/>
    <col min="2558" max="2558" width="28.7109375" bestFit="1" customWidth="1"/>
    <col min="2559" max="2559" width="15.140625" bestFit="1" customWidth="1"/>
    <col min="2560" max="2560" width="10.7109375" bestFit="1" customWidth="1"/>
    <col min="2561" max="2561" width="12.85546875" customWidth="1"/>
    <col min="2562" max="2563" width="11.7109375" bestFit="1" customWidth="1"/>
    <col min="2564" max="2564" width="10.7109375" bestFit="1" customWidth="1"/>
    <col min="2814" max="2814" width="28.7109375" bestFit="1" customWidth="1"/>
    <col min="2815" max="2815" width="15.140625" bestFit="1" customWidth="1"/>
    <col min="2816" max="2816" width="10.7109375" bestFit="1" customWidth="1"/>
    <col min="2817" max="2817" width="12.85546875" customWidth="1"/>
    <col min="2818" max="2819" width="11.7109375" bestFit="1" customWidth="1"/>
    <col min="2820" max="2820" width="10.7109375" bestFit="1" customWidth="1"/>
    <col min="3070" max="3070" width="28.7109375" bestFit="1" customWidth="1"/>
    <col min="3071" max="3071" width="15.140625" bestFit="1" customWidth="1"/>
    <col min="3072" max="3072" width="10.7109375" bestFit="1" customWidth="1"/>
    <col min="3073" max="3073" width="12.85546875" customWidth="1"/>
    <col min="3074" max="3075" width="11.7109375" bestFit="1" customWidth="1"/>
    <col min="3076" max="3076" width="10.7109375" bestFit="1" customWidth="1"/>
    <col min="3326" max="3326" width="28.7109375" bestFit="1" customWidth="1"/>
    <col min="3327" max="3327" width="15.140625" bestFit="1" customWidth="1"/>
    <col min="3328" max="3328" width="10.7109375" bestFit="1" customWidth="1"/>
    <col min="3329" max="3329" width="12.85546875" customWidth="1"/>
    <col min="3330" max="3331" width="11.7109375" bestFit="1" customWidth="1"/>
    <col min="3332" max="3332" width="10.7109375" bestFit="1" customWidth="1"/>
    <col min="3582" max="3582" width="28.7109375" bestFit="1" customWidth="1"/>
    <col min="3583" max="3583" width="15.140625" bestFit="1" customWidth="1"/>
    <col min="3584" max="3584" width="10.7109375" bestFit="1" customWidth="1"/>
    <col min="3585" max="3585" width="12.85546875" customWidth="1"/>
    <col min="3586" max="3587" width="11.7109375" bestFit="1" customWidth="1"/>
    <col min="3588" max="3588" width="10.7109375" bestFit="1" customWidth="1"/>
    <col min="3838" max="3838" width="28.7109375" bestFit="1" customWidth="1"/>
    <col min="3839" max="3839" width="15.140625" bestFit="1" customWidth="1"/>
    <col min="3840" max="3840" width="10.7109375" bestFit="1" customWidth="1"/>
    <col min="3841" max="3841" width="12.85546875" customWidth="1"/>
    <col min="3842" max="3843" width="11.7109375" bestFit="1" customWidth="1"/>
    <col min="3844" max="3844" width="10.7109375" bestFit="1" customWidth="1"/>
    <col min="4094" max="4094" width="28.7109375" bestFit="1" customWidth="1"/>
    <col min="4095" max="4095" width="15.140625" bestFit="1" customWidth="1"/>
    <col min="4096" max="4096" width="10.7109375" bestFit="1" customWidth="1"/>
    <col min="4097" max="4097" width="12.85546875" customWidth="1"/>
    <col min="4098" max="4099" width="11.7109375" bestFit="1" customWidth="1"/>
    <col min="4100" max="4100" width="10.7109375" bestFit="1" customWidth="1"/>
    <col min="4350" max="4350" width="28.7109375" bestFit="1" customWidth="1"/>
    <col min="4351" max="4351" width="15.140625" bestFit="1" customWidth="1"/>
    <col min="4352" max="4352" width="10.7109375" bestFit="1" customWidth="1"/>
    <col min="4353" max="4353" width="12.85546875" customWidth="1"/>
    <col min="4354" max="4355" width="11.7109375" bestFit="1" customWidth="1"/>
    <col min="4356" max="4356" width="10.7109375" bestFit="1" customWidth="1"/>
    <col min="4606" max="4606" width="28.7109375" bestFit="1" customWidth="1"/>
    <col min="4607" max="4607" width="15.140625" bestFit="1" customWidth="1"/>
    <col min="4608" max="4608" width="10.7109375" bestFit="1" customWidth="1"/>
    <col min="4609" max="4609" width="12.85546875" customWidth="1"/>
    <col min="4610" max="4611" width="11.7109375" bestFit="1" customWidth="1"/>
    <col min="4612" max="4612" width="10.7109375" bestFit="1" customWidth="1"/>
    <col min="4862" max="4862" width="28.7109375" bestFit="1" customWidth="1"/>
    <col min="4863" max="4863" width="15.140625" bestFit="1" customWidth="1"/>
    <col min="4864" max="4864" width="10.7109375" bestFit="1" customWidth="1"/>
    <col min="4865" max="4865" width="12.85546875" customWidth="1"/>
    <col min="4866" max="4867" width="11.7109375" bestFit="1" customWidth="1"/>
    <col min="4868" max="4868" width="10.7109375" bestFit="1" customWidth="1"/>
    <col min="5118" max="5118" width="28.7109375" bestFit="1" customWidth="1"/>
    <col min="5119" max="5119" width="15.140625" bestFit="1" customWidth="1"/>
    <col min="5120" max="5120" width="10.7109375" bestFit="1" customWidth="1"/>
    <col min="5121" max="5121" width="12.85546875" customWidth="1"/>
    <col min="5122" max="5123" width="11.7109375" bestFit="1" customWidth="1"/>
    <col min="5124" max="5124" width="10.7109375" bestFit="1" customWidth="1"/>
    <col min="5374" max="5374" width="28.7109375" bestFit="1" customWidth="1"/>
    <col min="5375" max="5375" width="15.140625" bestFit="1" customWidth="1"/>
    <col min="5376" max="5376" width="10.7109375" bestFit="1" customWidth="1"/>
    <col min="5377" max="5377" width="12.85546875" customWidth="1"/>
    <col min="5378" max="5379" width="11.7109375" bestFit="1" customWidth="1"/>
    <col min="5380" max="5380" width="10.7109375" bestFit="1" customWidth="1"/>
    <col min="5630" max="5630" width="28.7109375" bestFit="1" customWidth="1"/>
    <col min="5631" max="5631" width="15.140625" bestFit="1" customWidth="1"/>
    <col min="5632" max="5632" width="10.7109375" bestFit="1" customWidth="1"/>
    <col min="5633" max="5633" width="12.85546875" customWidth="1"/>
    <col min="5634" max="5635" width="11.7109375" bestFit="1" customWidth="1"/>
    <col min="5636" max="5636" width="10.7109375" bestFit="1" customWidth="1"/>
    <col min="5886" max="5886" width="28.7109375" bestFit="1" customWidth="1"/>
    <col min="5887" max="5887" width="15.140625" bestFit="1" customWidth="1"/>
    <col min="5888" max="5888" width="10.7109375" bestFit="1" customWidth="1"/>
    <col min="5889" max="5889" width="12.85546875" customWidth="1"/>
    <col min="5890" max="5891" width="11.7109375" bestFit="1" customWidth="1"/>
    <col min="5892" max="5892" width="10.7109375" bestFit="1" customWidth="1"/>
    <col min="6142" max="6142" width="28.7109375" bestFit="1" customWidth="1"/>
    <col min="6143" max="6143" width="15.140625" bestFit="1" customWidth="1"/>
    <col min="6144" max="6144" width="10.7109375" bestFit="1" customWidth="1"/>
    <col min="6145" max="6145" width="12.85546875" customWidth="1"/>
    <col min="6146" max="6147" width="11.7109375" bestFit="1" customWidth="1"/>
    <col min="6148" max="6148" width="10.7109375" bestFit="1" customWidth="1"/>
    <col min="6398" max="6398" width="28.7109375" bestFit="1" customWidth="1"/>
    <col min="6399" max="6399" width="15.140625" bestFit="1" customWidth="1"/>
    <col min="6400" max="6400" width="10.7109375" bestFit="1" customWidth="1"/>
    <col min="6401" max="6401" width="12.85546875" customWidth="1"/>
    <col min="6402" max="6403" width="11.7109375" bestFit="1" customWidth="1"/>
    <col min="6404" max="6404" width="10.7109375" bestFit="1" customWidth="1"/>
    <col min="6654" max="6654" width="28.7109375" bestFit="1" customWidth="1"/>
    <col min="6655" max="6655" width="15.140625" bestFit="1" customWidth="1"/>
    <col min="6656" max="6656" width="10.7109375" bestFit="1" customWidth="1"/>
    <col min="6657" max="6657" width="12.85546875" customWidth="1"/>
    <col min="6658" max="6659" width="11.7109375" bestFit="1" customWidth="1"/>
    <col min="6660" max="6660" width="10.7109375" bestFit="1" customWidth="1"/>
    <col min="6910" max="6910" width="28.7109375" bestFit="1" customWidth="1"/>
    <col min="6911" max="6911" width="15.140625" bestFit="1" customWidth="1"/>
    <col min="6912" max="6912" width="10.7109375" bestFit="1" customWidth="1"/>
    <col min="6913" max="6913" width="12.85546875" customWidth="1"/>
    <col min="6914" max="6915" width="11.7109375" bestFit="1" customWidth="1"/>
    <col min="6916" max="6916" width="10.7109375" bestFit="1" customWidth="1"/>
    <col min="7166" max="7166" width="28.7109375" bestFit="1" customWidth="1"/>
    <col min="7167" max="7167" width="15.140625" bestFit="1" customWidth="1"/>
    <col min="7168" max="7168" width="10.7109375" bestFit="1" customWidth="1"/>
    <col min="7169" max="7169" width="12.85546875" customWidth="1"/>
    <col min="7170" max="7171" width="11.7109375" bestFit="1" customWidth="1"/>
    <col min="7172" max="7172" width="10.7109375" bestFit="1" customWidth="1"/>
    <col min="7422" max="7422" width="28.7109375" bestFit="1" customWidth="1"/>
    <col min="7423" max="7423" width="15.140625" bestFit="1" customWidth="1"/>
    <col min="7424" max="7424" width="10.7109375" bestFit="1" customWidth="1"/>
    <col min="7425" max="7425" width="12.85546875" customWidth="1"/>
    <col min="7426" max="7427" width="11.7109375" bestFit="1" customWidth="1"/>
    <col min="7428" max="7428" width="10.7109375" bestFit="1" customWidth="1"/>
    <col min="7678" max="7678" width="28.7109375" bestFit="1" customWidth="1"/>
    <col min="7679" max="7679" width="15.140625" bestFit="1" customWidth="1"/>
    <col min="7680" max="7680" width="10.7109375" bestFit="1" customWidth="1"/>
    <col min="7681" max="7681" width="12.85546875" customWidth="1"/>
    <col min="7682" max="7683" width="11.7109375" bestFit="1" customWidth="1"/>
    <col min="7684" max="7684" width="10.7109375" bestFit="1" customWidth="1"/>
    <col min="7934" max="7934" width="28.7109375" bestFit="1" customWidth="1"/>
    <col min="7935" max="7935" width="15.140625" bestFit="1" customWidth="1"/>
    <col min="7936" max="7936" width="10.7109375" bestFit="1" customWidth="1"/>
    <col min="7937" max="7937" width="12.85546875" customWidth="1"/>
    <col min="7938" max="7939" width="11.7109375" bestFit="1" customWidth="1"/>
    <col min="7940" max="7940" width="10.7109375" bestFit="1" customWidth="1"/>
    <col min="8190" max="8190" width="28.7109375" bestFit="1" customWidth="1"/>
    <col min="8191" max="8191" width="15.140625" bestFit="1" customWidth="1"/>
    <col min="8192" max="8192" width="10.7109375" bestFit="1" customWidth="1"/>
    <col min="8193" max="8193" width="12.85546875" customWidth="1"/>
    <col min="8194" max="8195" width="11.7109375" bestFit="1" customWidth="1"/>
    <col min="8196" max="8196" width="10.7109375" bestFit="1" customWidth="1"/>
    <col min="8446" max="8446" width="28.7109375" bestFit="1" customWidth="1"/>
    <col min="8447" max="8447" width="15.140625" bestFit="1" customWidth="1"/>
    <col min="8448" max="8448" width="10.7109375" bestFit="1" customWidth="1"/>
    <col min="8449" max="8449" width="12.85546875" customWidth="1"/>
    <col min="8450" max="8451" width="11.7109375" bestFit="1" customWidth="1"/>
    <col min="8452" max="8452" width="10.7109375" bestFit="1" customWidth="1"/>
    <col min="8702" max="8702" width="28.7109375" bestFit="1" customWidth="1"/>
    <col min="8703" max="8703" width="15.140625" bestFit="1" customWidth="1"/>
    <col min="8704" max="8704" width="10.7109375" bestFit="1" customWidth="1"/>
    <col min="8705" max="8705" width="12.85546875" customWidth="1"/>
    <col min="8706" max="8707" width="11.7109375" bestFit="1" customWidth="1"/>
    <col min="8708" max="8708" width="10.7109375" bestFit="1" customWidth="1"/>
    <col min="8958" max="8958" width="28.7109375" bestFit="1" customWidth="1"/>
    <col min="8959" max="8959" width="15.140625" bestFit="1" customWidth="1"/>
    <col min="8960" max="8960" width="10.7109375" bestFit="1" customWidth="1"/>
    <col min="8961" max="8961" width="12.85546875" customWidth="1"/>
    <col min="8962" max="8963" width="11.7109375" bestFit="1" customWidth="1"/>
    <col min="8964" max="8964" width="10.7109375" bestFit="1" customWidth="1"/>
    <col min="9214" max="9214" width="28.7109375" bestFit="1" customWidth="1"/>
    <col min="9215" max="9215" width="15.140625" bestFit="1" customWidth="1"/>
    <col min="9216" max="9216" width="10.7109375" bestFit="1" customWidth="1"/>
    <col min="9217" max="9217" width="12.85546875" customWidth="1"/>
    <col min="9218" max="9219" width="11.7109375" bestFit="1" customWidth="1"/>
    <col min="9220" max="9220" width="10.7109375" bestFit="1" customWidth="1"/>
    <col min="9470" max="9470" width="28.7109375" bestFit="1" customWidth="1"/>
    <col min="9471" max="9471" width="15.140625" bestFit="1" customWidth="1"/>
    <col min="9472" max="9472" width="10.7109375" bestFit="1" customWidth="1"/>
    <col min="9473" max="9473" width="12.85546875" customWidth="1"/>
    <col min="9474" max="9475" width="11.7109375" bestFit="1" customWidth="1"/>
    <col min="9476" max="9476" width="10.7109375" bestFit="1" customWidth="1"/>
    <col min="9726" max="9726" width="28.7109375" bestFit="1" customWidth="1"/>
    <col min="9727" max="9727" width="15.140625" bestFit="1" customWidth="1"/>
    <col min="9728" max="9728" width="10.7109375" bestFit="1" customWidth="1"/>
    <col min="9729" max="9729" width="12.85546875" customWidth="1"/>
    <col min="9730" max="9731" width="11.7109375" bestFit="1" customWidth="1"/>
    <col min="9732" max="9732" width="10.7109375" bestFit="1" customWidth="1"/>
    <col min="9982" max="9982" width="28.7109375" bestFit="1" customWidth="1"/>
    <col min="9983" max="9983" width="15.140625" bestFit="1" customWidth="1"/>
    <col min="9984" max="9984" width="10.7109375" bestFit="1" customWidth="1"/>
    <col min="9985" max="9985" width="12.85546875" customWidth="1"/>
    <col min="9986" max="9987" width="11.7109375" bestFit="1" customWidth="1"/>
    <col min="9988" max="9988" width="10.7109375" bestFit="1" customWidth="1"/>
    <col min="10238" max="10238" width="28.7109375" bestFit="1" customWidth="1"/>
    <col min="10239" max="10239" width="15.140625" bestFit="1" customWidth="1"/>
    <col min="10240" max="10240" width="10.7109375" bestFit="1" customWidth="1"/>
    <col min="10241" max="10241" width="12.85546875" customWidth="1"/>
    <col min="10242" max="10243" width="11.7109375" bestFit="1" customWidth="1"/>
    <col min="10244" max="10244" width="10.7109375" bestFit="1" customWidth="1"/>
    <col min="10494" max="10494" width="28.7109375" bestFit="1" customWidth="1"/>
    <col min="10495" max="10495" width="15.140625" bestFit="1" customWidth="1"/>
    <col min="10496" max="10496" width="10.7109375" bestFit="1" customWidth="1"/>
    <col min="10497" max="10497" width="12.85546875" customWidth="1"/>
    <col min="10498" max="10499" width="11.7109375" bestFit="1" customWidth="1"/>
    <col min="10500" max="10500" width="10.7109375" bestFit="1" customWidth="1"/>
    <col min="10750" max="10750" width="28.7109375" bestFit="1" customWidth="1"/>
    <col min="10751" max="10751" width="15.140625" bestFit="1" customWidth="1"/>
    <col min="10752" max="10752" width="10.7109375" bestFit="1" customWidth="1"/>
    <col min="10753" max="10753" width="12.85546875" customWidth="1"/>
    <col min="10754" max="10755" width="11.7109375" bestFit="1" customWidth="1"/>
    <col min="10756" max="10756" width="10.7109375" bestFit="1" customWidth="1"/>
    <col min="11006" max="11006" width="28.7109375" bestFit="1" customWidth="1"/>
    <col min="11007" max="11007" width="15.140625" bestFit="1" customWidth="1"/>
    <col min="11008" max="11008" width="10.7109375" bestFit="1" customWidth="1"/>
    <col min="11009" max="11009" width="12.85546875" customWidth="1"/>
    <col min="11010" max="11011" width="11.7109375" bestFit="1" customWidth="1"/>
    <col min="11012" max="11012" width="10.7109375" bestFit="1" customWidth="1"/>
    <col min="11262" max="11262" width="28.7109375" bestFit="1" customWidth="1"/>
    <col min="11263" max="11263" width="15.140625" bestFit="1" customWidth="1"/>
    <col min="11264" max="11264" width="10.7109375" bestFit="1" customWidth="1"/>
    <col min="11265" max="11265" width="12.85546875" customWidth="1"/>
    <col min="11266" max="11267" width="11.7109375" bestFit="1" customWidth="1"/>
    <col min="11268" max="11268" width="10.7109375" bestFit="1" customWidth="1"/>
    <col min="11518" max="11518" width="28.7109375" bestFit="1" customWidth="1"/>
    <col min="11519" max="11519" width="15.140625" bestFit="1" customWidth="1"/>
    <col min="11520" max="11520" width="10.7109375" bestFit="1" customWidth="1"/>
    <col min="11521" max="11521" width="12.85546875" customWidth="1"/>
    <col min="11522" max="11523" width="11.7109375" bestFit="1" customWidth="1"/>
    <col min="11524" max="11524" width="10.7109375" bestFit="1" customWidth="1"/>
    <col min="11774" max="11774" width="28.7109375" bestFit="1" customWidth="1"/>
    <col min="11775" max="11775" width="15.140625" bestFit="1" customWidth="1"/>
    <col min="11776" max="11776" width="10.7109375" bestFit="1" customWidth="1"/>
    <col min="11777" max="11777" width="12.85546875" customWidth="1"/>
    <col min="11778" max="11779" width="11.7109375" bestFit="1" customWidth="1"/>
    <col min="11780" max="11780" width="10.7109375" bestFit="1" customWidth="1"/>
    <col min="12030" max="12030" width="28.7109375" bestFit="1" customWidth="1"/>
    <col min="12031" max="12031" width="15.140625" bestFit="1" customWidth="1"/>
    <col min="12032" max="12032" width="10.7109375" bestFit="1" customWidth="1"/>
    <col min="12033" max="12033" width="12.85546875" customWidth="1"/>
    <col min="12034" max="12035" width="11.7109375" bestFit="1" customWidth="1"/>
    <col min="12036" max="12036" width="10.7109375" bestFit="1" customWidth="1"/>
    <col min="12286" max="12286" width="28.7109375" bestFit="1" customWidth="1"/>
    <col min="12287" max="12287" width="15.140625" bestFit="1" customWidth="1"/>
    <col min="12288" max="12288" width="10.7109375" bestFit="1" customWidth="1"/>
    <col min="12289" max="12289" width="12.85546875" customWidth="1"/>
    <col min="12290" max="12291" width="11.7109375" bestFit="1" customWidth="1"/>
    <col min="12292" max="12292" width="10.7109375" bestFit="1" customWidth="1"/>
    <col min="12542" max="12542" width="28.7109375" bestFit="1" customWidth="1"/>
    <col min="12543" max="12543" width="15.140625" bestFit="1" customWidth="1"/>
    <col min="12544" max="12544" width="10.7109375" bestFit="1" customWidth="1"/>
    <col min="12545" max="12545" width="12.85546875" customWidth="1"/>
    <col min="12546" max="12547" width="11.7109375" bestFit="1" customWidth="1"/>
    <col min="12548" max="12548" width="10.7109375" bestFit="1" customWidth="1"/>
    <col min="12798" max="12798" width="28.7109375" bestFit="1" customWidth="1"/>
    <col min="12799" max="12799" width="15.140625" bestFit="1" customWidth="1"/>
    <col min="12800" max="12800" width="10.7109375" bestFit="1" customWidth="1"/>
    <col min="12801" max="12801" width="12.85546875" customWidth="1"/>
    <col min="12802" max="12803" width="11.7109375" bestFit="1" customWidth="1"/>
    <col min="12804" max="12804" width="10.7109375" bestFit="1" customWidth="1"/>
    <col min="13054" max="13054" width="28.7109375" bestFit="1" customWidth="1"/>
    <col min="13055" max="13055" width="15.140625" bestFit="1" customWidth="1"/>
    <col min="13056" max="13056" width="10.7109375" bestFit="1" customWidth="1"/>
    <col min="13057" max="13057" width="12.85546875" customWidth="1"/>
    <col min="13058" max="13059" width="11.7109375" bestFit="1" customWidth="1"/>
    <col min="13060" max="13060" width="10.7109375" bestFit="1" customWidth="1"/>
    <col min="13310" max="13310" width="28.7109375" bestFit="1" customWidth="1"/>
    <col min="13311" max="13311" width="15.140625" bestFit="1" customWidth="1"/>
    <col min="13312" max="13312" width="10.7109375" bestFit="1" customWidth="1"/>
    <col min="13313" max="13313" width="12.85546875" customWidth="1"/>
    <col min="13314" max="13315" width="11.7109375" bestFit="1" customWidth="1"/>
    <col min="13316" max="13316" width="10.7109375" bestFit="1" customWidth="1"/>
    <col min="13566" max="13566" width="28.7109375" bestFit="1" customWidth="1"/>
    <col min="13567" max="13567" width="15.140625" bestFit="1" customWidth="1"/>
    <col min="13568" max="13568" width="10.7109375" bestFit="1" customWidth="1"/>
    <col min="13569" max="13569" width="12.85546875" customWidth="1"/>
    <col min="13570" max="13571" width="11.7109375" bestFit="1" customWidth="1"/>
    <col min="13572" max="13572" width="10.7109375" bestFit="1" customWidth="1"/>
    <col min="13822" max="13822" width="28.7109375" bestFit="1" customWidth="1"/>
    <col min="13823" max="13823" width="15.140625" bestFit="1" customWidth="1"/>
    <col min="13824" max="13824" width="10.7109375" bestFit="1" customWidth="1"/>
    <col min="13825" max="13825" width="12.85546875" customWidth="1"/>
    <col min="13826" max="13827" width="11.7109375" bestFit="1" customWidth="1"/>
    <col min="13828" max="13828" width="10.7109375" bestFit="1" customWidth="1"/>
    <col min="14078" max="14078" width="28.7109375" bestFit="1" customWidth="1"/>
    <col min="14079" max="14079" width="15.140625" bestFit="1" customWidth="1"/>
    <col min="14080" max="14080" width="10.7109375" bestFit="1" customWidth="1"/>
    <col min="14081" max="14081" width="12.85546875" customWidth="1"/>
    <col min="14082" max="14083" width="11.7109375" bestFit="1" customWidth="1"/>
    <col min="14084" max="14084" width="10.7109375" bestFit="1" customWidth="1"/>
    <col min="14334" max="14334" width="28.7109375" bestFit="1" customWidth="1"/>
    <col min="14335" max="14335" width="15.140625" bestFit="1" customWidth="1"/>
    <col min="14336" max="14336" width="10.7109375" bestFit="1" customWidth="1"/>
    <col min="14337" max="14337" width="12.85546875" customWidth="1"/>
    <col min="14338" max="14339" width="11.7109375" bestFit="1" customWidth="1"/>
    <col min="14340" max="14340" width="10.7109375" bestFit="1" customWidth="1"/>
    <col min="14590" max="14590" width="28.7109375" bestFit="1" customWidth="1"/>
    <col min="14591" max="14591" width="15.140625" bestFit="1" customWidth="1"/>
    <col min="14592" max="14592" width="10.7109375" bestFit="1" customWidth="1"/>
    <col min="14593" max="14593" width="12.85546875" customWidth="1"/>
    <col min="14594" max="14595" width="11.7109375" bestFit="1" customWidth="1"/>
    <col min="14596" max="14596" width="10.7109375" bestFit="1" customWidth="1"/>
    <col min="14846" max="14846" width="28.7109375" bestFit="1" customWidth="1"/>
    <col min="14847" max="14847" width="15.140625" bestFit="1" customWidth="1"/>
    <col min="14848" max="14848" width="10.7109375" bestFit="1" customWidth="1"/>
    <col min="14849" max="14849" width="12.85546875" customWidth="1"/>
    <col min="14850" max="14851" width="11.7109375" bestFit="1" customWidth="1"/>
    <col min="14852" max="14852" width="10.7109375" bestFit="1" customWidth="1"/>
    <col min="15102" max="15102" width="28.7109375" bestFit="1" customWidth="1"/>
    <col min="15103" max="15103" width="15.140625" bestFit="1" customWidth="1"/>
    <col min="15104" max="15104" width="10.7109375" bestFit="1" customWidth="1"/>
    <col min="15105" max="15105" width="12.85546875" customWidth="1"/>
    <col min="15106" max="15107" width="11.7109375" bestFit="1" customWidth="1"/>
    <col min="15108" max="15108" width="10.7109375" bestFit="1" customWidth="1"/>
    <col min="15358" max="15358" width="28.7109375" bestFit="1" customWidth="1"/>
    <col min="15359" max="15359" width="15.140625" bestFit="1" customWidth="1"/>
    <col min="15360" max="15360" width="10.7109375" bestFit="1" customWidth="1"/>
    <col min="15361" max="15361" width="12.85546875" customWidth="1"/>
    <col min="15362" max="15363" width="11.7109375" bestFit="1" customWidth="1"/>
    <col min="15364" max="15364" width="10.7109375" bestFit="1" customWidth="1"/>
    <col min="15614" max="15614" width="28.7109375" bestFit="1" customWidth="1"/>
    <col min="15615" max="15615" width="15.140625" bestFit="1" customWidth="1"/>
    <col min="15616" max="15616" width="10.7109375" bestFit="1" customWidth="1"/>
    <col min="15617" max="15617" width="12.85546875" customWidth="1"/>
    <col min="15618" max="15619" width="11.7109375" bestFit="1" customWidth="1"/>
    <col min="15620" max="15620" width="10.7109375" bestFit="1" customWidth="1"/>
    <col min="15870" max="15870" width="28.7109375" bestFit="1" customWidth="1"/>
    <col min="15871" max="15871" width="15.140625" bestFit="1" customWidth="1"/>
    <col min="15872" max="15872" width="10.7109375" bestFit="1" customWidth="1"/>
    <col min="15873" max="15873" width="12.85546875" customWidth="1"/>
    <col min="15874" max="15875" width="11.7109375" bestFit="1" customWidth="1"/>
    <col min="15876" max="15876" width="10.7109375" bestFit="1" customWidth="1"/>
    <col min="16126" max="16126" width="28.7109375" bestFit="1" customWidth="1"/>
    <col min="16127" max="16127" width="15.140625" bestFit="1" customWidth="1"/>
    <col min="16128" max="16128" width="10.7109375" bestFit="1" customWidth="1"/>
    <col min="16129" max="16129" width="12.85546875" customWidth="1"/>
    <col min="16130" max="16131" width="11.7109375" bestFit="1" customWidth="1"/>
    <col min="16132" max="16132" width="10.7109375" bestFit="1" customWidth="1"/>
  </cols>
  <sheetData>
    <row r="1" spans="1:7" ht="15.75" x14ac:dyDescent="0.25">
      <c r="A1" s="14" t="s">
        <v>28</v>
      </c>
      <c r="B1" s="8"/>
      <c r="C1" s="9"/>
      <c r="D1" s="9"/>
      <c r="E1" s="9"/>
      <c r="F1" s="9"/>
      <c r="G1" s="9"/>
    </row>
    <row r="2" spans="1:7" ht="15.75" x14ac:dyDescent="0.25">
      <c r="A2" s="7"/>
      <c r="B2" s="8"/>
      <c r="C2" s="9"/>
      <c r="D2" s="9"/>
      <c r="E2" s="9"/>
      <c r="F2" s="9"/>
      <c r="G2" s="9"/>
    </row>
    <row r="3" spans="1:7" x14ac:dyDescent="0.25">
      <c r="A3" t="s">
        <v>15</v>
      </c>
      <c r="B3">
        <v>200</v>
      </c>
    </row>
    <row r="4" spans="1:7" x14ac:dyDescent="0.25">
      <c r="A4" t="s">
        <v>33</v>
      </c>
      <c r="B4">
        <v>5</v>
      </c>
    </row>
    <row r="5" spans="1:7" x14ac:dyDescent="0.25">
      <c r="A5" t="s">
        <v>16</v>
      </c>
      <c r="B5" s="11">
        <v>0.11</v>
      </c>
    </row>
    <row r="6" spans="1:7" x14ac:dyDescent="0.25">
      <c r="A6" t="s">
        <v>34</v>
      </c>
      <c r="B6" s="11">
        <v>0.09</v>
      </c>
    </row>
    <row r="7" spans="1:7" x14ac:dyDescent="0.25">
      <c r="A7" t="s">
        <v>17</v>
      </c>
      <c r="B7">
        <v>200</v>
      </c>
    </row>
    <row r="8" spans="1:7" x14ac:dyDescent="0.25">
      <c r="A8" t="s">
        <v>18</v>
      </c>
      <c r="B8">
        <v>1250</v>
      </c>
    </row>
    <row r="9" spans="1:7" x14ac:dyDescent="0.25">
      <c r="A9" t="s">
        <v>42</v>
      </c>
      <c r="B9">
        <v>12</v>
      </c>
    </row>
    <row r="10" spans="1:7" x14ac:dyDescent="0.25">
      <c r="A10" t="s">
        <v>19</v>
      </c>
      <c r="B10">
        <v>1250</v>
      </c>
    </row>
    <row r="11" spans="1:7" x14ac:dyDescent="0.25">
      <c r="A11" t="s">
        <v>23</v>
      </c>
      <c r="B11" s="11">
        <v>0.03</v>
      </c>
    </row>
    <row r="12" spans="1:7" x14ac:dyDescent="0.25">
      <c r="A12" t="s">
        <v>41</v>
      </c>
      <c r="B12" s="11">
        <v>0.03</v>
      </c>
    </row>
    <row r="13" spans="1:7" x14ac:dyDescent="0.25">
      <c r="A13" t="s">
        <v>24</v>
      </c>
      <c r="B13" s="11">
        <v>0.01</v>
      </c>
    </row>
    <row r="14" spans="1:7" x14ac:dyDescent="0.25">
      <c r="A14" t="s">
        <v>39</v>
      </c>
      <c r="B14">
        <v>120</v>
      </c>
    </row>
    <row r="15" spans="1:7" x14ac:dyDescent="0.25">
      <c r="A15" t="s">
        <v>40</v>
      </c>
      <c r="B15">
        <v>400</v>
      </c>
    </row>
    <row r="18" spans="1:7" x14ac:dyDescent="0.25">
      <c r="A18" t="s">
        <v>5</v>
      </c>
      <c r="B18">
        <v>1</v>
      </c>
      <c r="C18">
        <f>B$18+1</f>
        <v>2</v>
      </c>
      <c r="D18">
        <f>C$18+1</f>
        <v>3</v>
      </c>
      <c r="E18">
        <f>D$18+1</f>
        <v>4</v>
      </c>
      <c r="F18">
        <f>E$18+1</f>
        <v>5</v>
      </c>
      <c r="G18">
        <f>F$18+1</f>
        <v>6</v>
      </c>
    </row>
    <row r="19" spans="1:7" x14ac:dyDescent="0.25">
      <c r="A19" t="s">
        <v>31</v>
      </c>
      <c r="B19" s="2">
        <f>($B$8*$B$9)*$B$7</f>
        <v>3000000</v>
      </c>
      <c r="C19" s="2">
        <f>(B19*(1+$B$11))</f>
        <v>3090000</v>
      </c>
      <c r="D19" s="2">
        <f>(C19*(1+$B$11))</f>
        <v>3182700</v>
      </c>
      <c r="E19" s="2">
        <f>(D19*(1+$B$11))</f>
        <v>3278181</v>
      </c>
      <c r="F19" s="2">
        <f>(E19*(1+$B$11))</f>
        <v>3376526.43</v>
      </c>
      <c r="G19" s="2">
        <f>(F19*(1+$B$11))</f>
        <v>3477822.2229000004</v>
      </c>
    </row>
    <row r="20" spans="1:7" x14ac:dyDescent="0.25">
      <c r="A20" t="s">
        <v>26</v>
      </c>
      <c r="B20" s="2">
        <f>B19*$B$12</f>
        <v>90000</v>
      </c>
      <c r="C20" s="2">
        <f t="shared" ref="C20:G20" si="0">C19*$B$12</f>
        <v>92700</v>
      </c>
      <c r="D20" s="2">
        <f t="shared" si="0"/>
        <v>95481</v>
      </c>
      <c r="E20" s="2">
        <f t="shared" si="0"/>
        <v>98345.43</v>
      </c>
      <c r="F20" s="2">
        <f t="shared" si="0"/>
        <v>101295.7929</v>
      </c>
      <c r="G20" s="2">
        <f t="shared" si="0"/>
        <v>104334.666687</v>
      </c>
    </row>
    <row r="21" spans="1:7" x14ac:dyDescent="0.25">
      <c r="A21" t="s">
        <v>27</v>
      </c>
      <c r="B21" s="2">
        <f t="shared" ref="B21:G21" si="1">B19*$B$13</f>
        <v>30000</v>
      </c>
      <c r="C21" s="2">
        <f t="shared" si="1"/>
        <v>30900</v>
      </c>
      <c r="D21" s="2">
        <f t="shared" si="1"/>
        <v>31827</v>
      </c>
      <c r="E21" s="2">
        <f t="shared" si="1"/>
        <v>32781.81</v>
      </c>
      <c r="F21" s="2">
        <f t="shared" si="1"/>
        <v>33765.264300000003</v>
      </c>
      <c r="G21" s="2">
        <f t="shared" si="1"/>
        <v>34778.222229000006</v>
      </c>
    </row>
    <row r="22" spans="1:7" s="4" customFormat="1" x14ac:dyDescent="0.25">
      <c r="A22" s="4" t="s">
        <v>25</v>
      </c>
      <c r="B22" s="13">
        <f t="shared" ref="B22:G22" si="2">B19-B20-B21</f>
        <v>2880000</v>
      </c>
      <c r="C22" s="13">
        <f t="shared" si="2"/>
        <v>2966400</v>
      </c>
      <c r="D22" s="13">
        <f t="shared" si="2"/>
        <v>3055392</v>
      </c>
      <c r="E22" s="13">
        <f t="shared" si="2"/>
        <v>3147053.76</v>
      </c>
      <c r="F22" s="13">
        <f t="shared" si="2"/>
        <v>3241465.3728</v>
      </c>
      <c r="G22" s="13">
        <f t="shared" si="2"/>
        <v>3338709.3339840001</v>
      </c>
    </row>
    <row r="23" spans="1:7" x14ac:dyDescent="0.25">
      <c r="B23" s="2"/>
      <c r="C23" s="2"/>
      <c r="D23" s="2"/>
      <c r="E23" s="2"/>
      <c r="F23" s="2"/>
      <c r="G23" s="2"/>
    </row>
    <row r="24" spans="1:7" x14ac:dyDescent="0.25">
      <c r="A24" t="s">
        <v>20</v>
      </c>
      <c r="B24" s="2">
        <f>B14*B7</f>
        <v>24000</v>
      </c>
      <c r="C24" s="2">
        <f>B24*(1+$B$11)</f>
        <v>24720</v>
      </c>
      <c r="D24" s="2">
        <f t="shared" ref="D24:G24" si="3">C24*(1+$B$11)</f>
        <v>25461.600000000002</v>
      </c>
      <c r="E24" s="2">
        <f t="shared" si="3"/>
        <v>26225.448000000004</v>
      </c>
      <c r="F24" s="2">
        <f t="shared" si="3"/>
        <v>27012.211440000006</v>
      </c>
      <c r="G24" s="2">
        <f t="shared" si="3"/>
        <v>27822.577783200006</v>
      </c>
    </row>
    <row r="25" spans="1:7" x14ac:dyDescent="0.25">
      <c r="A25" t="s">
        <v>21</v>
      </c>
      <c r="B25" s="2">
        <f>B15*B7</f>
        <v>80000</v>
      </c>
      <c r="C25" s="2">
        <f>B25*(1+$B$11)</f>
        <v>82400</v>
      </c>
      <c r="D25" s="2">
        <f t="shared" ref="D25:G25" si="4">C25*(1+$B$11)</f>
        <v>84872</v>
      </c>
      <c r="E25" s="2">
        <f t="shared" si="4"/>
        <v>87418.16</v>
      </c>
      <c r="F25" s="2">
        <f t="shared" si="4"/>
        <v>90040.704800000007</v>
      </c>
      <c r="G25" s="2">
        <f t="shared" si="4"/>
        <v>92741.925944000002</v>
      </c>
    </row>
    <row r="26" spans="1:7" s="4" customFormat="1" x14ac:dyDescent="0.25">
      <c r="A26" s="4" t="s">
        <v>22</v>
      </c>
      <c r="B26" s="13">
        <f>SUM(B24:B25)</f>
        <v>104000</v>
      </c>
      <c r="C26" s="13">
        <f t="shared" ref="C26:G26" si="5">SUM(C24:C25)</f>
        <v>107120</v>
      </c>
      <c r="D26" s="13">
        <f t="shared" si="5"/>
        <v>110333.6</v>
      </c>
      <c r="E26" s="13">
        <f t="shared" si="5"/>
        <v>113643.60800000001</v>
      </c>
      <c r="F26" s="13">
        <f t="shared" si="5"/>
        <v>117052.91624000002</v>
      </c>
      <c r="G26" s="13">
        <f t="shared" si="5"/>
        <v>120564.5037272</v>
      </c>
    </row>
    <row r="27" spans="1:7" x14ac:dyDescent="0.25">
      <c r="B27" s="2"/>
      <c r="C27" s="2"/>
      <c r="D27" s="2"/>
      <c r="E27" s="2"/>
      <c r="F27" s="2"/>
      <c r="G27" s="2"/>
    </row>
    <row r="28" spans="1:7" x14ac:dyDescent="0.25">
      <c r="A28" t="s">
        <v>29</v>
      </c>
      <c r="B28" s="2">
        <f t="shared" ref="B28:G28" si="6">B22-B26</f>
        <v>2776000</v>
      </c>
      <c r="C28" s="2">
        <f t="shared" si="6"/>
        <v>2859280</v>
      </c>
      <c r="D28" s="2">
        <f t="shared" si="6"/>
        <v>2945058.4</v>
      </c>
      <c r="E28" s="2">
        <f t="shared" si="6"/>
        <v>3033410.1519999998</v>
      </c>
      <c r="F28" s="2">
        <f t="shared" si="6"/>
        <v>3124412.4565599998</v>
      </c>
      <c r="G28" s="2">
        <f t="shared" si="6"/>
        <v>3218144.8302568002</v>
      </c>
    </row>
    <row r="29" spans="1:7" x14ac:dyDescent="0.25">
      <c r="A29" t="s">
        <v>32</v>
      </c>
      <c r="B29" s="2">
        <f t="shared" ref="B29:G29" si="7">B28/(1+$B$5)^B18</f>
        <v>2500900.9009009008</v>
      </c>
      <c r="C29" s="2">
        <f t="shared" si="7"/>
        <v>2320655.7909260606</v>
      </c>
      <c r="D29" s="2">
        <f t="shared" si="7"/>
        <v>2153401.3195079663</v>
      </c>
      <c r="E29" s="2">
        <f t="shared" si="7"/>
        <v>1998201.2244082927</v>
      </c>
      <c r="F29" s="2">
        <f t="shared" si="7"/>
        <v>1854186.7217482356</v>
      </c>
      <c r="G29" s="2">
        <f t="shared" si="7"/>
        <v>1720551.6427033178</v>
      </c>
    </row>
    <row r="30" spans="1:7" x14ac:dyDescent="0.25">
      <c r="B30" s="2"/>
      <c r="C30" s="2"/>
      <c r="D30" s="2"/>
      <c r="E30" s="2"/>
      <c r="F30" s="2"/>
      <c r="G30" s="2"/>
    </row>
    <row r="31" spans="1:7" x14ac:dyDescent="0.25">
      <c r="A31" t="s">
        <v>11</v>
      </c>
      <c r="B31" s="2">
        <f>SUM(B29:G29)</f>
        <v>12547897.600194775</v>
      </c>
      <c r="C31" s="2"/>
      <c r="D31" s="2"/>
      <c r="E31" s="2"/>
      <c r="F31" s="2"/>
      <c r="G31" s="2"/>
    </row>
    <row r="32" spans="1:7" x14ac:dyDescent="0.25">
      <c r="A32" t="s">
        <v>12</v>
      </c>
      <c r="B32" s="2">
        <f>($G$28/$B$6)/((1+$B$5)^G18)</f>
        <v>19117240.474481311</v>
      </c>
      <c r="C32" s="2"/>
      <c r="D32" s="2"/>
      <c r="E32" s="2"/>
      <c r="F32" s="2"/>
      <c r="G32" s="2"/>
    </row>
    <row r="33" spans="1:7" x14ac:dyDescent="0.25">
      <c r="A33" t="s">
        <v>30</v>
      </c>
      <c r="B33" s="13">
        <f>SUM(B31:B32)</f>
        <v>31665138.074676085</v>
      </c>
      <c r="C33" s="2"/>
      <c r="D33" s="2"/>
      <c r="E33" s="2"/>
      <c r="F33" s="2"/>
      <c r="G33" s="2"/>
    </row>
    <row r="34" spans="1:7" x14ac:dyDescent="0.25">
      <c r="B34" s="2"/>
      <c r="C34" s="2"/>
      <c r="D34" s="2"/>
      <c r="E34" s="2"/>
      <c r="F34" s="2"/>
      <c r="G34" s="2"/>
    </row>
    <row r="35" spans="1:7" x14ac:dyDescent="0.25">
      <c r="A35" t="s">
        <v>173</v>
      </c>
      <c r="C35" s="3">
        <f>B33</f>
        <v>31665138.074676085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38.5703125" bestFit="1" customWidth="1"/>
    <col min="2" max="2" width="15.28515625" bestFit="1" customWidth="1"/>
    <col min="3" max="3" width="12.28515625" bestFit="1" customWidth="1"/>
    <col min="4" max="4" width="12.85546875" customWidth="1"/>
    <col min="5" max="7" width="12.28515625" bestFit="1" customWidth="1"/>
    <col min="8" max="12" width="10.42578125" customWidth="1"/>
    <col min="254" max="254" width="28.7109375" bestFit="1" customWidth="1"/>
    <col min="255" max="255" width="15.140625" bestFit="1" customWidth="1"/>
    <col min="256" max="256" width="10.7109375" bestFit="1" customWidth="1"/>
    <col min="257" max="257" width="12.85546875" customWidth="1"/>
    <col min="258" max="259" width="11.7109375" bestFit="1" customWidth="1"/>
    <col min="260" max="260" width="10.7109375" bestFit="1" customWidth="1"/>
    <col min="510" max="510" width="28.7109375" bestFit="1" customWidth="1"/>
    <col min="511" max="511" width="15.140625" bestFit="1" customWidth="1"/>
    <col min="512" max="512" width="10.7109375" bestFit="1" customWidth="1"/>
    <col min="513" max="513" width="12.85546875" customWidth="1"/>
    <col min="514" max="515" width="11.7109375" bestFit="1" customWidth="1"/>
    <col min="516" max="516" width="10.7109375" bestFit="1" customWidth="1"/>
    <col min="766" max="766" width="28.7109375" bestFit="1" customWidth="1"/>
    <col min="767" max="767" width="15.140625" bestFit="1" customWidth="1"/>
    <col min="768" max="768" width="10.7109375" bestFit="1" customWidth="1"/>
    <col min="769" max="769" width="12.85546875" customWidth="1"/>
    <col min="770" max="771" width="11.7109375" bestFit="1" customWidth="1"/>
    <col min="772" max="772" width="10.7109375" bestFit="1" customWidth="1"/>
    <col min="1022" max="1022" width="28.7109375" bestFit="1" customWidth="1"/>
    <col min="1023" max="1023" width="15.140625" bestFit="1" customWidth="1"/>
    <col min="1024" max="1024" width="10.7109375" bestFit="1" customWidth="1"/>
    <col min="1025" max="1025" width="12.85546875" customWidth="1"/>
    <col min="1026" max="1027" width="11.7109375" bestFit="1" customWidth="1"/>
    <col min="1028" max="1028" width="10.7109375" bestFit="1" customWidth="1"/>
    <col min="1278" max="1278" width="28.7109375" bestFit="1" customWidth="1"/>
    <col min="1279" max="1279" width="15.140625" bestFit="1" customWidth="1"/>
    <col min="1280" max="1280" width="10.7109375" bestFit="1" customWidth="1"/>
    <col min="1281" max="1281" width="12.85546875" customWidth="1"/>
    <col min="1282" max="1283" width="11.7109375" bestFit="1" customWidth="1"/>
    <col min="1284" max="1284" width="10.7109375" bestFit="1" customWidth="1"/>
    <col min="1534" max="1534" width="28.7109375" bestFit="1" customWidth="1"/>
    <col min="1535" max="1535" width="15.140625" bestFit="1" customWidth="1"/>
    <col min="1536" max="1536" width="10.7109375" bestFit="1" customWidth="1"/>
    <col min="1537" max="1537" width="12.85546875" customWidth="1"/>
    <col min="1538" max="1539" width="11.7109375" bestFit="1" customWidth="1"/>
    <col min="1540" max="1540" width="10.7109375" bestFit="1" customWidth="1"/>
    <col min="1790" max="1790" width="28.7109375" bestFit="1" customWidth="1"/>
    <col min="1791" max="1791" width="15.140625" bestFit="1" customWidth="1"/>
    <col min="1792" max="1792" width="10.7109375" bestFit="1" customWidth="1"/>
    <col min="1793" max="1793" width="12.85546875" customWidth="1"/>
    <col min="1794" max="1795" width="11.7109375" bestFit="1" customWidth="1"/>
    <col min="1796" max="1796" width="10.7109375" bestFit="1" customWidth="1"/>
    <col min="2046" max="2046" width="28.7109375" bestFit="1" customWidth="1"/>
    <col min="2047" max="2047" width="15.140625" bestFit="1" customWidth="1"/>
    <col min="2048" max="2048" width="10.7109375" bestFit="1" customWidth="1"/>
    <col min="2049" max="2049" width="12.85546875" customWidth="1"/>
    <col min="2050" max="2051" width="11.7109375" bestFit="1" customWidth="1"/>
    <col min="2052" max="2052" width="10.7109375" bestFit="1" customWidth="1"/>
    <col min="2302" max="2302" width="28.7109375" bestFit="1" customWidth="1"/>
    <col min="2303" max="2303" width="15.140625" bestFit="1" customWidth="1"/>
    <col min="2304" max="2304" width="10.7109375" bestFit="1" customWidth="1"/>
    <col min="2305" max="2305" width="12.85546875" customWidth="1"/>
    <col min="2306" max="2307" width="11.7109375" bestFit="1" customWidth="1"/>
    <col min="2308" max="2308" width="10.7109375" bestFit="1" customWidth="1"/>
    <col min="2558" max="2558" width="28.7109375" bestFit="1" customWidth="1"/>
    <col min="2559" max="2559" width="15.140625" bestFit="1" customWidth="1"/>
    <col min="2560" max="2560" width="10.7109375" bestFit="1" customWidth="1"/>
    <col min="2561" max="2561" width="12.85546875" customWidth="1"/>
    <col min="2562" max="2563" width="11.7109375" bestFit="1" customWidth="1"/>
    <col min="2564" max="2564" width="10.7109375" bestFit="1" customWidth="1"/>
    <col min="2814" max="2814" width="28.7109375" bestFit="1" customWidth="1"/>
    <col min="2815" max="2815" width="15.140625" bestFit="1" customWidth="1"/>
    <col min="2816" max="2816" width="10.7109375" bestFit="1" customWidth="1"/>
    <col min="2817" max="2817" width="12.85546875" customWidth="1"/>
    <col min="2818" max="2819" width="11.7109375" bestFit="1" customWidth="1"/>
    <col min="2820" max="2820" width="10.7109375" bestFit="1" customWidth="1"/>
    <col min="3070" max="3070" width="28.7109375" bestFit="1" customWidth="1"/>
    <col min="3071" max="3071" width="15.140625" bestFit="1" customWidth="1"/>
    <col min="3072" max="3072" width="10.7109375" bestFit="1" customWidth="1"/>
    <col min="3073" max="3073" width="12.85546875" customWidth="1"/>
    <col min="3074" max="3075" width="11.7109375" bestFit="1" customWidth="1"/>
    <col min="3076" max="3076" width="10.7109375" bestFit="1" customWidth="1"/>
    <col min="3326" max="3326" width="28.7109375" bestFit="1" customWidth="1"/>
    <col min="3327" max="3327" width="15.140625" bestFit="1" customWidth="1"/>
    <col min="3328" max="3328" width="10.7109375" bestFit="1" customWidth="1"/>
    <col min="3329" max="3329" width="12.85546875" customWidth="1"/>
    <col min="3330" max="3331" width="11.7109375" bestFit="1" customWidth="1"/>
    <col min="3332" max="3332" width="10.7109375" bestFit="1" customWidth="1"/>
    <col min="3582" max="3582" width="28.7109375" bestFit="1" customWidth="1"/>
    <col min="3583" max="3583" width="15.140625" bestFit="1" customWidth="1"/>
    <col min="3584" max="3584" width="10.7109375" bestFit="1" customWidth="1"/>
    <col min="3585" max="3585" width="12.85546875" customWidth="1"/>
    <col min="3586" max="3587" width="11.7109375" bestFit="1" customWidth="1"/>
    <col min="3588" max="3588" width="10.7109375" bestFit="1" customWidth="1"/>
    <col min="3838" max="3838" width="28.7109375" bestFit="1" customWidth="1"/>
    <col min="3839" max="3839" width="15.140625" bestFit="1" customWidth="1"/>
    <col min="3840" max="3840" width="10.7109375" bestFit="1" customWidth="1"/>
    <col min="3841" max="3841" width="12.85546875" customWidth="1"/>
    <col min="3842" max="3843" width="11.7109375" bestFit="1" customWidth="1"/>
    <col min="3844" max="3844" width="10.7109375" bestFit="1" customWidth="1"/>
    <col min="4094" max="4094" width="28.7109375" bestFit="1" customWidth="1"/>
    <col min="4095" max="4095" width="15.140625" bestFit="1" customWidth="1"/>
    <col min="4096" max="4096" width="10.7109375" bestFit="1" customWidth="1"/>
    <col min="4097" max="4097" width="12.85546875" customWidth="1"/>
    <col min="4098" max="4099" width="11.7109375" bestFit="1" customWidth="1"/>
    <col min="4100" max="4100" width="10.7109375" bestFit="1" customWidth="1"/>
    <col min="4350" max="4350" width="28.7109375" bestFit="1" customWidth="1"/>
    <col min="4351" max="4351" width="15.140625" bestFit="1" customWidth="1"/>
    <col min="4352" max="4352" width="10.7109375" bestFit="1" customWidth="1"/>
    <col min="4353" max="4353" width="12.85546875" customWidth="1"/>
    <col min="4354" max="4355" width="11.7109375" bestFit="1" customWidth="1"/>
    <col min="4356" max="4356" width="10.7109375" bestFit="1" customWidth="1"/>
    <col min="4606" max="4606" width="28.7109375" bestFit="1" customWidth="1"/>
    <col min="4607" max="4607" width="15.140625" bestFit="1" customWidth="1"/>
    <col min="4608" max="4608" width="10.7109375" bestFit="1" customWidth="1"/>
    <col min="4609" max="4609" width="12.85546875" customWidth="1"/>
    <col min="4610" max="4611" width="11.7109375" bestFit="1" customWidth="1"/>
    <col min="4612" max="4612" width="10.7109375" bestFit="1" customWidth="1"/>
    <col min="4862" max="4862" width="28.7109375" bestFit="1" customWidth="1"/>
    <col min="4863" max="4863" width="15.140625" bestFit="1" customWidth="1"/>
    <col min="4864" max="4864" width="10.7109375" bestFit="1" customWidth="1"/>
    <col min="4865" max="4865" width="12.85546875" customWidth="1"/>
    <col min="4866" max="4867" width="11.7109375" bestFit="1" customWidth="1"/>
    <col min="4868" max="4868" width="10.7109375" bestFit="1" customWidth="1"/>
    <col min="5118" max="5118" width="28.7109375" bestFit="1" customWidth="1"/>
    <col min="5119" max="5119" width="15.140625" bestFit="1" customWidth="1"/>
    <col min="5120" max="5120" width="10.7109375" bestFit="1" customWidth="1"/>
    <col min="5121" max="5121" width="12.85546875" customWidth="1"/>
    <col min="5122" max="5123" width="11.7109375" bestFit="1" customWidth="1"/>
    <col min="5124" max="5124" width="10.7109375" bestFit="1" customWidth="1"/>
    <col min="5374" max="5374" width="28.7109375" bestFit="1" customWidth="1"/>
    <col min="5375" max="5375" width="15.140625" bestFit="1" customWidth="1"/>
    <col min="5376" max="5376" width="10.7109375" bestFit="1" customWidth="1"/>
    <col min="5377" max="5377" width="12.85546875" customWidth="1"/>
    <col min="5378" max="5379" width="11.7109375" bestFit="1" customWidth="1"/>
    <col min="5380" max="5380" width="10.7109375" bestFit="1" customWidth="1"/>
    <col min="5630" max="5630" width="28.7109375" bestFit="1" customWidth="1"/>
    <col min="5631" max="5631" width="15.140625" bestFit="1" customWidth="1"/>
    <col min="5632" max="5632" width="10.7109375" bestFit="1" customWidth="1"/>
    <col min="5633" max="5633" width="12.85546875" customWidth="1"/>
    <col min="5634" max="5635" width="11.7109375" bestFit="1" customWidth="1"/>
    <col min="5636" max="5636" width="10.7109375" bestFit="1" customWidth="1"/>
    <col min="5886" max="5886" width="28.7109375" bestFit="1" customWidth="1"/>
    <col min="5887" max="5887" width="15.140625" bestFit="1" customWidth="1"/>
    <col min="5888" max="5888" width="10.7109375" bestFit="1" customWidth="1"/>
    <col min="5889" max="5889" width="12.85546875" customWidth="1"/>
    <col min="5890" max="5891" width="11.7109375" bestFit="1" customWidth="1"/>
    <col min="5892" max="5892" width="10.7109375" bestFit="1" customWidth="1"/>
    <col min="6142" max="6142" width="28.7109375" bestFit="1" customWidth="1"/>
    <col min="6143" max="6143" width="15.140625" bestFit="1" customWidth="1"/>
    <col min="6144" max="6144" width="10.7109375" bestFit="1" customWidth="1"/>
    <col min="6145" max="6145" width="12.85546875" customWidth="1"/>
    <col min="6146" max="6147" width="11.7109375" bestFit="1" customWidth="1"/>
    <col min="6148" max="6148" width="10.7109375" bestFit="1" customWidth="1"/>
    <col min="6398" max="6398" width="28.7109375" bestFit="1" customWidth="1"/>
    <col min="6399" max="6399" width="15.140625" bestFit="1" customWidth="1"/>
    <col min="6400" max="6400" width="10.7109375" bestFit="1" customWidth="1"/>
    <col min="6401" max="6401" width="12.85546875" customWidth="1"/>
    <col min="6402" max="6403" width="11.7109375" bestFit="1" customWidth="1"/>
    <col min="6404" max="6404" width="10.7109375" bestFit="1" customWidth="1"/>
    <col min="6654" max="6654" width="28.7109375" bestFit="1" customWidth="1"/>
    <col min="6655" max="6655" width="15.140625" bestFit="1" customWidth="1"/>
    <col min="6656" max="6656" width="10.7109375" bestFit="1" customWidth="1"/>
    <col min="6657" max="6657" width="12.85546875" customWidth="1"/>
    <col min="6658" max="6659" width="11.7109375" bestFit="1" customWidth="1"/>
    <col min="6660" max="6660" width="10.7109375" bestFit="1" customWidth="1"/>
    <col min="6910" max="6910" width="28.7109375" bestFit="1" customWidth="1"/>
    <col min="6911" max="6911" width="15.140625" bestFit="1" customWidth="1"/>
    <col min="6912" max="6912" width="10.7109375" bestFit="1" customWidth="1"/>
    <col min="6913" max="6913" width="12.85546875" customWidth="1"/>
    <col min="6914" max="6915" width="11.7109375" bestFit="1" customWidth="1"/>
    <col min="6916" max="6916" width="10.7109375" bestFit="1" customWidth="1"/>
    <col min="7166" max="7166" width="28.7109375" bestFit="1" customWidth="1"/>
    <col min="7167" max="7167" width="15.140625" bestFit="1" customWidth="1"/>
    <col min="7168" max="7168" width="10.7109375" bestFit="1" customWidth="1"/>
    <col min="7169" max="7169" width="12.85546875" customWidth="1"/>
    <col min="7170" max="7171" width="11.7109375" bestFit="1" customWidth="1"/>
    <col min="7172" max="7172" width="10.7109375" bestFit="1" customWidth="1"/>
    <col min="7422" max="7422" width="28.7109375" bestFit="1" customWidth="1"/>
    <col min="7423" max="7423" width="15.140625" bestFit="1" customWidth="1"/>
    <col min="7424" max="7424" width="10.7109375" bestFit="1" customWidth="1"/>
    <col min="7425" max="7425" width="12.85546875" customWidth="1"/>
    <col min="7426" max="7427" width="11.7109375" bestFit="1" customWidth="1"/>
    <col min="7428" max="7428" width="10.7109375" bestFit="1" customWidth="1"/>
    <col min="7678" max="7678" width="28.7109375" bestFit="1" customWidth="1"/>
    <col min="7679" max="7679" width="15.140625" bestFit="1" customWidth="1"/>
    <col min="7680" max="7680" width="10.7109375" bestFit="1" customWidth="1"/>
    <col min="7681" max="7681" width="12.85546875" customWidth="1"/>
    <col min="7682" max="7683" width="11.7109375" bestFit="1" customWidth="1"/>
    <col min="7684" max="7684" width="10.7109375" bestFit="1" customWidth="1"/>
    <col min="7934" max="7934" width="28.7109375" bestFit="1" customWidth="1"/>
    <col min="7935" max="7935" width="15.140625" bestFit="1" customWidth="1"/>
    <col min="7936" max="7936" width="10.7109375" bestFit="1" customWidth="1"/>
    <col min="7937" max="7937" width="12.85546875" customWidth="1"/>
    <col min="7938" max="7939" width="11.7109375" bestFit="1" customWidth="1"/>
    <col min="7940" max="7940" width="10.7109375" bestFit="1" customWidth="1"/>
    <col min="8190" max="8190" width="28.7109375" bestFit="1" customWidth="1"/>
    <col min="8191" max="8191" width="15.140625" bestFit="1" customWidth="1"/>
    <col min="8192" max="8192" width="10.7109375" bestFit="1" customWidth="1"/>
    <col min="8193" max="8193" width="12.85546875" customWidth="1"/>
    <col min="8194" max="8195" width="11.7109375" bestFit="1" customWidth="1"/>
    <col min="8196" max="8196" width="10.7109375" bestFit="1" customWidth="1"/>
    <col min="8446" max="8446" width="28.7109375" bestFit="1" customWidth="1"/>
    <col min="8447" max="8447" width="15.140625" bestFit="1" customWidth="1"/>
    <col min="8448" max="8448" width="10.7109375" bestFit="1" customWidth="1"/>
    <col min="8449" max="8449" width="12.85546875" customWidth="1"/>
    <col min="8450" max="8451" width="11.7109375" bestFit="1" customWidth="1"/>
    <col min="8452" max="8452" width="10.7109375" bestFit="1" customWidth="1"/>
    <col min="8702" max="8702" width="28.7109375" bestFit="1" customWidth="1"/>
    <col min="8703" max="8703" width="15.140625" bestFit="1" customWidth="1"/>
    <col min="8704" max="8704" width="10.7109375" bestFit="1" customWidth="1"/>
    <col min="8705" max="8705" width="12.85546875" customWidth="1"/>
    <col min="8706" max="8707" width="11.7109375" bestFit="1" customWidth="1"/>
    <col min="8708" max="8708" width="10.7109375" bestFit="1" customWidth="1"/>
    <col min="8958" max="8958" width="28.7109375" bestFit="1" customWidth="1"/>
    <col min="8959" max="8959" width="15.140625" bestFit="1" customWidth="1"/>
    <col min="8960" max="8960" width="10.7109375" bestFit="1" customWidth="1"/>
    <col min="8961" max="8961" width="12.85546875" customWidth="1"/>
    <col min="8962" max="8963" width="11.7109375" bestFit="1" customWidth="1"/>
    <col min="8964" max="8964" width="10.7109375" bestFit="1" customWidth="1"/>
    <col min="9214" max="9214" width="28.7109375" bestFit="1" customWidth="1"/>
    <col min="9215" max="9215" width="15.140625" bestFit="1" customWidth="1"/>
    <col min="9216" max="9216" width="10.7109375" bestFit="1" customWidth="1"/>
    <col min="9217" max="9217" width="12.85546875" customWidth="1"/>
    <col min="9218" max="9219" width="11.7109375" bestFit="1" customWidth="1"/>
    <col min="9220" max="9220" width="10.7109375" bestFit="1" customWidth="1"/>
    <col min="9470" max="9470" width="28.7109375" bestFit="1" customWidth="1"/>
    <col min="9471" max="9471" width="15.140625" bestFit="1" customWidth="1"/>
    <col min="9472" max="9472" width="10.7109375" bestFit="1" customWidth="1"/>
    <col min="9473" max="9473" width="12.85546875" customWidth="1"/>
    <col min="9474" max="9475" width="11.7109375" bestFit="1" customWidth="1"/>
    <col min="9476" max="9476" width="10.7109375" bestFit="1" customWidth="1"/>
    <col min="9726" max="9726" width="28.7109375" bestFit="1" customWidth="1"/>
    <col min="9727" max="9727" width="15.140625" bestFit="1" customWidth="1"/>
    <col min="9728" max="9728" width="10.7109375" bestFit="1" customWidth="1"/>
    <col min="9729" max="9729" width="12.85546875" customWidth="1"/>
    <col min="9730" max="9731" width="11.7109375" bestFit="1" customWidth="1"/>
    <col min="9732" max="9732" width="10.7109375" bestFit="1" customWidth="1"/>
    <col min="9982" max="9982" width="28.7109375" bestFit="1" customWidth="1"/>
    <col min="9983" max="9983" width="15.140625" bestFit="1" customWidth="1"/>
    <col min="9984" max="9984" width="10.7109375" bestFit="1" customWidth="1"/>
    <col min="9985" max="9985" width="12.85546875" customWidth="1"/>
    <col min="9986" max="9987" width="11.7109375" bestFit="1" customWidth="1"/>
    <col min="9988" max="9988" width="10.7109375" bestFit="1" customWidth="1"/>
    <col min="10238" max="10238" width="28.7109375" bestFit="1" customWidth="1"/>
    <col min="10239" max="10239" width="15.140625" bestFit="1" customWidth="1"/>
    <col min="10240" max="10240" width="10.7109375" bestFit="1" customWidth="1"/>
    <col min="10241" max="10241" width="12.85546875" customWidth="1"/>
    <col min="10242" max="10243" width="11.7109375" bestFit="1" customWidth="1"/>
    <col min="10244" max="10244" width="10.7109375" bestFit="1" customWidth="1"/>
    <col min="10494" max="10494" width="28.7109375" bestFit="1" customWidth="1"/>
    <col min="10495" max="10495" width="15.140625" bestFit="1" customWidth="1"/>
    <col min="10496" max="10496" width="10.7109375" bestFit="1" customWidth="1"/>
    <col min="10497" max="10497" width="12.85546875" customWidth="1"/>
    <col min="10498" max="10499" width="11.7109375" bestFit="1" customWidth="1"/>
    <col min="10500" max="10500" width="10.7109375" bestFit="1" customWidth="1"/>
    <col min="10750" max="10750" width="28.7109375" bestFit="1" customWidth="1"/>
    <col min="10751" max="10751" width="15.140625" bestFit="1" customWidth="1"/>
    <col min="10752" max="10752" width="10.7109375" bestFit="1" customWidth="1"/>
    <col min="10753" max="10753" width="12.85546875" customWidth="1"/>
    <col min="10754" max="10755" width="11.7109375" bestFit="1" customWidth="1"/>
    <col min="10756" max="10756" width="10.7109375" bestFit="1" customWidth="1"/>
    <col min="11006" max="11006" width="28.7109375" bestFit="1" customWidth="1"/>
    <col min="11007" max="11007" width="15.140625" bestFit="1" customWidth="1"/>
    <col min="11008" max="11008" width="10.7109375" bestFit="1" customWidth="1"/>
    <col min="11009" max="11009" width="12.85546875" customWidth="1"/>
    <col min="11010" max="11011" width="11.7109375" bestFit="1" customWidth="1"/>
    <col min="11012" max="11012" width="10.7109375" bestFit="1" customWidth="1"/>
    <col min="11262" max="11262" width="28.7109375" bestFit="1" customWidth="1"/>
    <col min="11263" max="11263" width="15.140625" bestFit="1" customWidth="1"/>
    <col min="11264" max="11264" width="10.7109375" bestFit="1" customWidth="1"/>
    <col min="11265" max="11265" width="12.85546875" customWidth="1"/>
    <col min="11266" max="11267" width="11.7109375" bestFit="1" customWidth="1"/>
    <col min="11268" max="11268" width="10.7109375" bestFit="1" customWidth="1"/>
    <col min="11518" max="11518" width="28.7109375" bestFit="1" customWidth="1"/>
    <col min="11519" max="11519" width="15.140625" bestFit="1" customWidth="1"/>
    <col min="11520" max="11520" width="10.7109375" bestFit="1" customWidth="1"/>
    <col min="11521" max="11521" width="12.85546875" customWidth="1"/>
    <col min="11522" max="11523" width="11.7109375" bestFit="1" customWidth="1"/>
    <col min="11524" max="11524" width="10.7109375" bestFit="1" customWidth="1"/>
    <col min="11774" max="11774" width="28.7109375" bestFit="1" customWidth="1"/>
    <col min="11775" max="11775" width="15.140625" bestFit="1" customWidth="1"/>
    <col min="11776" max="11776" width="10.7109375" bestFit="1" customWidth="1"/>
    <col min="11777" max="11777" width="12.85546875" customWidth="1"/>
    <col min="11778" max="11779" width="11.7109375" bestFit="1" customWidth="1"/>
    <col min="11780" max="11780" width="10.7109375" bestFit="1" customWidth="1"/>
    <col min="12030" max="12030" width="28.7109375" bestFit="1" customWidth="1"/>
    <col min="12031" max="12031" width="15.140625" bestFit="1" customWidth="1"/>
    <col min="12032" max="12032" width="10.7109375" bestFit="1" customWidth="1"/>
    <col min="12033" max="12033" width="12.85546875" customWidth="1"/>
    <col min="12034" max="12035" width="11.7109375" bestFit="1" customWidth="1"/>
    <col min="12036" max="12036" width="10.7109375" bestFit="1" customWidth="1"/>
    <col min="12286" max="12286" width="28.7109375" bestFit="1" customWidth="1"/>
    <col min="12287" max="12287" width="15.140625" bestFit="1" customWidth="1"/>
    <col min="12288" max="12288" width="10.7109375" bestFit="1" customWidth="1"/>
    <col min="12289" max="12289" width="12.85546875" customWidth="1"/>
    <col min="12290" max="12291" width="11.7109375" bestFit="1" customWidth="1"/>
    <col min="12292" max="12292" width="10.7109375" bestFit="1" customWidth="1"/>
    <col min="12542" max="12542" width="28.7109375" bestFit="1" customWidth="1"/>
    <col min="12543" max="12543" width="15.140625" bestFit="1" customWidth="1"/>
    <col min="12544" max="12544" width="10.7109375" bestFit="1" customWidth="1"/>
    <col min="12545" max="12545" width="12.85546875" customWidth="1"/>
    <col min="12546" max="12547" width="11.7109375" bestFit="1" customWidth="1"/>
    <col min="12548" max="12548" width="10.7109375" bestFit="1" customWidth="1"/>
    <col min="12798" max="12798" width="28.7109375" bestFit="1" customWidth="1"/>
    <col min="12799" max="12799" width="15.140625" bestFit="1" customWidth="1"/>
    <col min="12800" max="12800" width="10.7109375" bestFit="1" customWidth="1"/>
    <col min="12801" max="12801" width="12.85546875" customWidth="1"/>
    <col min="12802" max="12803" width="11.7109375" bestFit="1" customWidth="1"/>
    <col min="12804" max="12804" width="10.7109375" bestFit="1" customWidth="1"/>
    <col min="13054" max="13054" width="28.7109375" bestFit="1" customWidth="1"/>
    <col min="13055" max="13055" width="15.140625" bestFit="1" customWidth="1"/>
    <col min="13056" max="13056" width="10.7109375" bestFit="1" customWidth="1"/>
    <col min="13057" max="13057" width="12.85546875" customWidth="1"/>
    <col min="13058" max="13059" width="11.7109375" bestFit="1" customWidth="1"/>
    <col min="13060" max="13060" width="10.7109375" bestFit="1" customWidth="1"/>
    <col min="13310" max="13310" width="28.7109375" bestFit="1" customWidth="1"/>
    <col min="13311" max="13311" width="15.140625" bestFit="1" customWidth="1"/>
    <col min="13312" max="13312" width="10.7109375" bestFit="1" customWidth="1"/>
    <col min="13313" max="13313" width="12.85546875" customWidth="1"/>
    <col min="13314" max="13315" width="11.7109375" bestFit="1" customWidth="1"/>
    <col min="13316" max="13316" width="10.7109375" bestFit="1" customWidth="1"/>
    <col min="13566" max="13566" width="28.7109375" bestFit="1" customWidth="1"/>
    <col min="13567" max="13567" width="15.140625" bestFit="1" customWidth="1"/>
    <col min="13568" max="13568" width="10.7109375" bestFit="1" customWidth="1"/>
    <col min="13569" max="13569" width="12.85546875" customWidth="1"/>
    <col min="13570" max="13571" width="11.7109375" bestFit="1" customWidth="1"/>
    <col min="13572" max="13572" width="10.7109375" bestFit="1" customWidth="1"/>
    <col min="13822" max="13822" width="28.7109375" bestFit="1" customWidth="1"/>
    <col min="13823" max="13823" width="15.140625" bestFit="1" customWidth="1"/>
    <col min="13824" max="13824" width="10.7109375" bestFit="1" customWidth="1"/>
    <col min="13825" max="13825" width="12.85546875" customWidth="1"/>
    <col min="13826" max="13827" width="11.7109375" bestFit="1" customWidth="1"/>
    <col min="13828" max="13828" width="10.7109375" bestFit="1" customWidth="1"/>
    <col min="14078" max="14078" width="28.7109375" bestFit="1" customWidth="1"/>
    <col min="14079" max="14079" width="15.140625" bestFit="1" customWidth="1"/>
    <col min="14080" max="14080" width="10.7109375" bestFit="1" customWidth="1"/>
    <col min="14081" max="14081" width="12.85546875" customWidth="1"/>
    <col min="14082" max="14083" width="11.7109375" bestFit="1" customWidth="1"/>
    <col min="14084" max="14084" width="10.7109375" bestFit="1" customWidth="1"/>
    <col min="14334" max="14334" width="28.7109375" bestFit="1" customWidth="1"/>
    <col min="14335" max="14335" width="15.140625" bestFit="1" customWidth="1"/>
    <col min="14336" max="14336" width="10.7109375" bestFit="1" customWidth="1"/>
    <col min="14337" max="14337" width="12.85546875" customWidth="1"/>
    <col min="14338" max="14339" width="11.7109375" bestFit="1" customWidth="1"/>
    <col min="14340" max="14340" width="10.7109375" bestFit="1" customWidth="1"/>
    <col min="14590" max="14590" width="28.7109375" bestFit="1" customWidth="1"/>
    <col min="14591" max="14591" width="15.140625" bestFit="1" customWidth="1"/>
    <col min="14592" max="14592" width="10.7109375" bestFit="1" customWidth="1"/>
    <col min="14593" max="14593" width="12.85546875" customWidth="1"/>
    <col min="14594" max="14595" width="11.7109375" bestFit="1" customWidth="1"/>
    <col min="14596" max="14596" width="10.7109375" bestFit="1" customWidth="1"/>
    <col min="14846" max="14846" width="28.7109375" bestFit="1" customWidth="1"/>
    <col min="14847" max="14847" width="15.140625" bestFit="1" customWidth="1"/>
    <col min="14848" max="14848" width="10.7109375" bestFit="1" customWidth="1"/>
    <col min="14849" max="14849" width="12.85546875" customWidth="1"/>
    <col min="14850" max="14851" width="11.7109375" bestFit="1" customWidth="1"/>
    <col min="14852" max="14852" width="10.7109375" bestFit="1" customWidth="1"/>
    <col min="15102" max="15102" width="28.7109375" bestFit="1" customWidth="1"/>
    <col min="15103" max="15103" width="15.140625" bestFit="1" customWidth="1"/>
    <col min="15104" max="15104" width="10.7109375" bestFit="1" customWidth="1"/>
    <col min="15105" max="15105" width="12.85546875" customWidth="1"/>
    <col min="15106" max="15107" width="11.7109375" bestFit="1" customWidth="1"/>
    <col min="15108" max="15108" width="10.7109375" bestFit="1" customWidth="1"/>
    <col min="15358" max="15358" width="28.7109375" bestFit="1" customWidth="1"/>
    <col min="15359" max="15359" width="15.140625" bestFit="1" customWidth="1"/>
    <col min="15360" max="15360" width="10.7109375" bestFit="1" customWidth="1"/>
    <col min="15361" max="15361" width="12.85546875" customWidth="1"/>
    <col min="15362" max="15363" width="11.7109375" bestFit="1" customWidth="1"/>
    <col min="15364" max="15364" width="10.7109375" bestFit="1" customWidth="1"/>
    <col min="15614" max="15614" width="28.7109375" bestFit="1" customWidth="1"/>
    <col min="15615" max="15615" width="15.140625" bestFit="1" customWidth="1"/>
    <col min="15616" max="15616" width="10.7109375" bestFit="1" customWidth="1"/>
    <col min="15617" max="15617" width="12.85546875" customWidth="1"/>
    <col min="15618" max="15619" width="11.7109375" bestFit="1" customWidth="1"/>
    <col min="15620" max="15620" width="10.7109375" bestFit="1" customWidth="1"/>
    <col min="15870" max="15870" width="28.7109375" bestFit="1" customWidth="1"/>
    <col min="15871" max="15871" width="15.140625" bestFit="1" customWidth="1"/>
    <col min="15872" max="15872" width="10.7109375" bestFit="1" customWidth="1"/>
    <col min="15873" max="15873" width="12.85546875" customWidth="1"/>
    <col min="15874" max="15875" width="11.7109375" bestFit="1" customWidth="1"/>
    <col min="15876" max="15876" width="10.7109375" bestFit="1" customWidth="1"/>
    <col min="16126" max="16126" width="28.7109375" bestFit="1" customWidth="1"/>
    <col min="16127" max="16127" width="15.140625" bestFit="1" customWidth="1"/>
    <col min="16128" max="16128" width="10.7109375" bestFit="1" customWidth="1"/>
    <col min="16129" max="16129" width="12.85546875" customWidth="1"/>
    <col min="16130" max="16131" width="11.7109375" bestFit="1" customWidth="1"/>
    <col min="16132" max="16132" width="10.7109375" bestFit="1" customWidth="1"/>
  </cols>
  <sheetData>
    <row r="1" spans="1:11" ht="15.75" x14ac:dyDescent="0.25">
      <c r="A1" s="14" t="s">
        <v>35</v>
      </c>
      <c r="B1" s="8"/>
      <c r="C1" s="9"/>
      <c r="D1" s="9"/>
      <c r="E1" s="9"/>
      <c r="F1" s="9"/>
      <c r="G1" s="9"/>
    </row>
    <row r="2" spans="1:11" ht="15.75" x14ac:dyDescent="0.25">
      <c r="A2" s="7"/>
      <c r="B2" s="8"/>
      <c r="C2" s="9"/>
      <c r="D2" s="9"/>
      <c r="E2" s="9"/>
      <c r="F2" s="9"/>
      <c r="G2" s="9"/>
    </row>
    <row r="3" spans="1:11" x14ac:dyDescent="0.25">
      <c r="A3" t="s">
        <v>36</v>
      </c>
      <c r="B3" s="2">
        <v>2000000</v>
      </c>
    </row>
    <row r="4" spans="1:11" x14ac:dyDescent="0.25">
      <c r="A4" t="s">
        <v>16</v>
      </c>
      <c r="B4" s="11">
        <v>0.12</v>
      </c>
    </row>
    <row r="5" spans="1:11" x14ac:dyDescent="0.25">
      <c r="A5" t="s">
        <v>34</v>
      </c>
      <c r="B5" s="11">
        <v>0.1</v>
      </c>
    </row>
    <row r="6" spans="1:11" x14ac:dyDescent="0.25">
      <c r="A6" t="s">
        <v>23</v>
      </c>
      <c r="B6" s="11">
        <v>0.04</v>
      </c>
    </row>
    <row r="7" spans="1:11" x14ac:dyDescent="0.25">
      <c r="B7" s="11"/>
    </row>
    <row r="8" spans="1:11" s="4" customFormat="1" x14ac:dyDescent="0.25">
      <c r="A8" s="4" t="s">
        <v>5</v>
      </c>
      <c r="B8" s="4">
        <v>1</v>
      </c>
      <c r="C8" s="4">
        <f>B$8+1</f>
        <v>2</v>
      </c>
      <c r="D8" s="4">
        <f>C$8+1</f>
        <v>3</v>
      </c>
      <c r="E8" s="4">
        <f>D$8+1</f>
        <v>4</v>
      </c>
      <c r="F8" s="4">
        <f>E$8+1</f>
        <v>5</v>
      </c>
      <c r="G8" s="4">
        <f>F$8+1</f>
        <v>6</v>
      </c>
      <c r="H8" s="4">
        <v>7</v>
      </c>
      <c r="I8" s="4">
        <f>H$8+1</f>
        <v>8</v>
      </c>
      <c r="J8" s="4">
        <f>I$8+1</f>
        <v>9</v>
      </c>
      <c r="K8" s="4">
        <f>J$8+1</f>
        <v>10</v>
      </c>
    </row>
    <row r="9" spans="1:11" x14ac:dyDescent="0.25">
      <c r="A9" t="s">
        <v>31</v>
      </c>
      <c r="B9" s="2">
        <f>B3</f>
        <v>2000000</v>
      </c>
      <c r="C9" s="2">
        <f>(B9*(1+$B$6))</f>
        <v>2080000</v>
      </c>
      <c r="D9" s="2">
        <f>(C9*(1+$B$6))</f>
        <v>2163200</v>
      </c>
      <c r="E9" s="2">
        <f>(D9*(1+$B$6))</f>
        <v>2249728</v>
      </c>
      <c r="F9" s="2">
        <f>(E9*(1+$B$6))</f>
        <v>2339717.1200000001</v>
      </c>
      <c r="G9" s="2">
        <f>(F9*(1+$B$6))</f>
        <v>2433305.8048</v>
      </c>
      <c r="H9" s="2">
        <f t="shared" ref="H9:K9" si="0">(G9*(1+$B$6))</f>
        <v>2530638.036992</v>
      </c>
      <c r="I9" s="2">
        <f t="shared" si="0"/>
        <v>2631863.5584716802</v>
      </c>
      <c r="J9" s="2">
        <f t="shared" si="0"/>
        <v>2737138.1008105474</v>
      </c>
      <c r="K9" s="2">
        <f t="shared" si="0"/>
        <v>2846623.6248429692</v>
      </c>
    </row>
    <row r="10" spans="1:11" x14ac:dyDescent="0.25">
      <c r="B10" s="2"/>
      <c r="C10" s="2"/>
      <c r="D10" s="2"/>
      <c r="E10" s="2"/>
      <c r="F10" s="2"/>
      <c r="G10" s="2"/>
    </row>
    <row r="11" spans="1:11" x14ac:dyDescent="0.25">
      <c r="A11" t="s">
        <v>32</v>
      </c>
      <c r="B11" s="2">
        <f>B9/(1+$B$4)^B8</f>
        <v>1785714.2857142854</v>
      </c>
      <c r="C11" s="2">
        <f t="shared" ref="C11:K11" si="1">C9/(1+$B$4)^C8</f>
        <v>1658163.2653061221</v>
      </c>
      <c r="D11" s="2">
        <f t="shared" si="1"/>
        <v>1539723.0320699704</v>
      </c>
      <c r="E11" s="2">
        <f t="shared" si="1"/>
        <v>1429742.8154935441</v>
      </c>
      <c r="F11" s="2">
        <f t="shared" si="1"/>
        <v>1327618.3286725767</v>
      </c>
      <c r="G11" s="2">
        <f t="shared" si="1"/>
        <v>1232788.4480531067</v>
      </c>
      <c r="H11" s="2">
        <f t="shared" si="1"/>
        <v>1144732.1303350276</v>
      </c>
      <c r="I11" s="2">
        <f t="shared" si="1"/>
        <v>1062965.5495968112</v>
      </c>
      <c r="J11" s="2">
        <f t="shared" si="1"/>
        <v>987039.43891132472</v>
      </c>
      <c r="K11" s="2">
        <f t="shared" si="1"/>
        <v>916536.62184623</v>
      </c>
    </row>
    <row r="12" spans="1:11" x14ac:dyDescent="0.25">
      <c r="B12" s="2"/>
      <c r="C12" s="2"/>
      <c r="D12" s="2"/>
      <c r="E12" s="2"/>
      <c r="F12" s="2"/>
      <c r="G12" s="2"/>
    </row>
    <row r="13" spans="1:11" x14ac:dyDescent="0.25">
      <c r="A13" t="s">
        <v>11</v>
      </c>
      <c r="B13" s="2">
        <f>SUM(B11:G11)</f>
        <v>8973750.1753096059</v>
      </c>
      <c r="C13" s="2"/>
      <c r="D13" s="2"/>
      <c r="E13" s="2"/>
      <c r="F13" s="2"/>
      <c r="G13" s="2"/>
    </row>
    <row r="14" spans="1:11" x14ac:dyDescent="0.25">
      <c r="A14" t="s">
        <v>12</v>
      </c>
      <c r="B14" s="2">
        <f>K9/B5</f>
        <v>28466236.24842969</v>
      </c>
      <c r="C14" s="2"/>
      <c r="D14" s="2"/>
      <c r="E14" s="2"/>
      <c r="F14" s="2"/>
      <c r="G14" s="2"/>
    </row>
    <row r="15" spans="1:11" x14ac:dyDescent="0.25">
      <c r="A15" t="s">
        <v>37</v>
      </c>
      <c r="B15" s="13">
        <f>SUM(B13:B14)</f>
        <v>37439986.423739299</v>
      </c>
      <c r="C15" s="2"/>
      <c r="D15" s="2"/>
      <c r="E15" s="2"/>
      <c r="F15" s="2"/>
      <c r="G15" s="2"/>
    </row>
    <row r="16" spans="1:11" x14ac:dyDescent="0.25">
      <c r="B16" s="2"/>
      <c r="C16" s="2"/>
      <c r="D16" s="2"/>
      <c r="E16" s="2"/>
      <c r="F16" s="2"/>
      <c r="G16" s="2"/>
    </row>
    <row r="17" spans="1:2" x14ac:dyDescent="0.25">
      <c r="A17" t="s">
        <v>38</v>
      </c>
      <c r="B17" s="167">
        <f>B9/B15</f>
        <v>5.3418822789205782E-2</v>
      </c>
    </row>
    <row r="18" spans="1:2" x14ac:dyDescent="0.25">
      <c r="B18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38.5703125" bestFit="1" customWidth="1"/>
    <col min="2" max="2" width="13.85546875" customWidth="1"/>
    <col min="3" max="3" width="15.28515625" bestFit="1" customWidth="1"/>
    <col min="4" max="4" width="12.28515625" bestFit="1" customWidth="1"/>
    <col min="5" max="5" width="12.85546875" customWidth="1"/>
    <col min="6" max="7" width="12.28515625" bestFit="1" customWidth="1"/>
    <col min="254" max="254" width="28.7109375" bestFit="1" customWidth="1"/>
    <col min="255" max="255" width="15.140625" bestFit="1" customWidth="1"/>
    <col min="256" max="256" width="10.7109375" bestFit="1" customWidth="1"/>
    <col min="257" max="257" width="12.85546875" customWidth="1"/>
    <col min="258" max="259" width="11.7109375" bestFit="1" customWidth="1"/>
    <col min="260" max="260" width="10.7109375" bestFit="1" customWidth="1"/>
    <col min="510" max="510" width="28.7109375" bestFit="1" customWidth="1"/>
    <col min="511" max="511" width="15.140625" bestFit="1" customWidth="1"/>
    <col min="512" max="512" width="10.7109375" bestFit="1" customWidth="1"/>
    <col min="513" max="513" width="12.85546875" customWidth="1"/>
    <col min="514" max="515" width="11.7109375" bestFit="1" customWidth="1"/>
    <col min="516" max="516" width="10.7109375" bestFit="1" customWidth="1"/>
    <col min="766" max="766" width="28.7109375" bestFit="1" customWidth="1"/>
    <col min="767" max="767" width="15.140625" bestFit="1" customWidth="1"/>
    <col min="768" max="768" width="10.7109375" bestFit="1" customWidth="1"/>
    <col min="769" max="769" width="12.85546875" customWidth="1"/>
    <col min="770" max="771" width="11.7109375" bestFit="1" customWidth="1"/>
    <col min="772" max="772" width="10.7109375" bestFit="1" customWidth="1"/>
    <col min="1022" max="1022" width="28.7109375" bestFit="1" customWidth="1"/>
    <col min="1023" max="1023" width="15.140625" bestFit="1" customWidth="1"/>
    <col min="1024" max="1024" width="10.7109375" bestFit="1" customWidth="1"/>
    <col min="1025" max="1025" width="12.85546875" customWidth="1"/>
    <col min="1026" max="1027" width="11.7109375" bestFit="1" customWidth="1"/>
    <col min="1028" max="1028" width="10.7109375" bestFit="1" customWidth="1"/>
    <col min="1278" max="1278" width="28.7109375" bestFit="1" customWidth="1"/>
    <col min="1279" max="1279" width="15.140625" bestFit="1" customWidth="1"/>
    <col min="1280" max="1280" width="10.7109375" bestFit="1" customWidth="1"/>
    <col min="1281" max="1281" width="12.85546875" customWidth="1"/>
    <col min="1282" max="1283" width="11.7109375" bestFit="1" customWidth="1"/>
    <col min="1284" max="1284" width="10.7109375" bestFit="1" customWidth="1"/>
    <col min="1534" max="1534" width="28.7109375" bestFit="1" customWidth="1"/>
    <col min="1535" max="1535" width="15.140625" bestFit="1" customWidth="1"/>
    <col min="1536" max="1536" width="10.7109375" bestFit="1" customWidth="1"/>
    <col min="1537" max="1537" width="12.85546875" customWidth="1"/>
    <col min="1538" max="1539" width="11.7109375" bestFit="1" customWidth="1"/>
    <col min="1540" max="1540" width="10.7109375" bestFit="1" customWidth="1"/>
    <col min="1790" max="1790" width="28.7109375" bestFit="1" customWidth="1"/>
    <col min="1791" max="1791" width="15.140625" bestFit="1" customWidth="1"/>
    <col min="1792" max="1792" width="10.7109375" bestFit="1" customWidth="1"/>
    <col min="1793" max="1793" width="12.85546875" customWidth="1"/>
    <col min="1794" max="1795" width="11.7109375" bestFit="1" customWidth="1"/>
    <col min="1796" max="1796" width="10.7109375" bestFit="1" customWidth="1"/>
    <col min="2046" max="2046" width="28.7109375" bestFit="1" customWidth="1"/>
    <col min="2047" max="2047" width="15.140625" bestFit="1" customWidth="1"/>
    <col min="2048" max="2048" width="10.7109375" bestFit="1" customWidth="1"/>
    <col min="2049" max="2049" width="12.85546875" customWidth="1"/>
    <col min="2050" max="2051" width="11.7109375" bestFit="1" customWidth="1"/>
    <col min="2052" max="2052" width="10.7109375" bestFit="1" customWidth="1"/>
    <col min="2302" max="2302" width="28.7109375" bestFit="1" customWidth="1"/>
    <col min="2303" max="2303" width="15.140625" bestFit="1" customWidth="1"/>
    <col min="2304" max="2304" width="10.7109375" bestFit="1" customWidth="1"/>
    <col min="2305" max="2305" width="12.85546875" customWidth="1"/>
    <col min="2306" max="2307" width="11.7109375" bestFit="1" customWidth="1"/>
    <col min="2308" max="2308" width="10.7109375" bestFit="1" customWidth="1"/>
    <col min="2558" max="2558" width="28.7109375" bestFit="1" customWidth="1"/>
    <col min="2559" max="2559" width="15.140625" bestFit="1" customWidth="1"/>
    <col min="2560" max="2560" width="10.7109375" bestFit="1" customWidth="1"/>
    <col min="2561" max="2561" width="12.85546875" customWidth="1"/>
    <col min="2562" max="2563" width="11.7109375" bestFit="1" customWidth="1"/>
    <col min="2564" max="2564" width="10.7109375" bestFit="1" customWidth="1"/>
    <col min="2814" max="2814" width="28.7109375" bestFit="1" customWidth="1"/>
    <col min="2815" max="2815" width="15.140625" bestFit="1" customWidth="1"/>
    <col min="2816" max="2816" width="10.7109375" bestFit="1" customWidth="1"/>
    <col min="2817" max="2817" width="12.85546875" customWidth="1"/>
    <col min="2818" max="2819" width="11.7109375" bestFit="1" customWidth="1"/>
    <col min="2820" max="2820" width="10.7109375" bestFit="1" customWidth="1"/>
    <col min="3070" max="3070" width="28.7109375" bestFit="1" customWidth="1"/>
    <col min="3071" max="3071" width="15.140625" bestFit="1" customWidth="1"/>
    <col min="3072" max="3072" width="10.7109375" bestFit="1" customWidth="1"/>
    <col min="3073" max="3073" width="12.85546875" customWidth="1"/>
    <col min="3074" max="3075" width="11.7109375" bestFit="1" customWidth="1"/>
    <col min="3076" max="3076" width="10.7109375" bestFit="1" customWidth="1"/>
    <col min="3326" max="3326" width="28.7109375" bestFit="1" customWidth="1"/>
    <col min="3327" max="3327" width="15.140625" bestFit="1" customWidth="1"/>
    <col min="3328" max="3328" width="10.7109375" bestFit="1" customWidth="1"/>
    <col min="3329" max="3329" width="12.85546875" customWidth="1"/>
    <col min="3330" max="3331" width="11.7109375" bestFit="1" customWidth="1"/>
    <col min="3332" max="3332" width="10.7109375" bestFit="1" customWidth="1"/>
    <col min="3582" max="3582" width="28.7109375" bestFit="1" customWidth="1"/>
    <col min="3583" max="3583" width="15.140625" bestFit="1" customWidth="1"/>
    <col min="3584" max="3584" width="10.7109375" bestFit="1" customWidth="1"/>
    <col min="3585" max="3585" width="12.85546875" customWidth="1"/>
    <col min="3586" max="3587" width="11.7109375" bestFit="1" customWidth="1"/>
    <col min="3588" max="3588" width="10.7109375" bestFit="1" customWidth="1"/>
    <col min="3838" max="3838" width="28.7109375" bestFit="1" customWidth="1"/>
    <col min="3839" max="3839" width="15.140625" bestFit="1" customWidth="1"/>
    <col min="3840" max="3840" width="10.7109375" bestFit="1" customWidth="1"/>
    <col min="3841" max="3841" width="12.85546875" customWidth="1"/>
    <col min="3842" max="3843" width="11.7109375" bestFit="1" customWidth="1"/>
    <col min="3844" max="3844" width="10.7109375" bestFit="1" customWidth="1"/>
    <col min="4094" max="4094" width="28.7109375" bestFit="1" customWidth="1"/>
    <col min="4095" max="4095" width="15.140625" bestFit="1" customWidth="1"/>
    <col min="4096" max="4096" width="10.7109375" bestFit="1" customWidth="1"/>
    <col min="4097" max="4097" width="12.85546875" customWidth="1"/>
    <col min="4098" max="4099" width="11.7109375" bestFit="1" customWidth="1"/>
    <col min="4100" max="4100" width="10.7109375" bestFit="1" customWidth="1"/>
    <col min="4350" max="4350" width="28.7109375" bestFit="1" customWidth="1"/>
    <col min="4351" max="4351" width="15.140625" bestFit="1" customWidth="1"/>
    <col min="4352" max="4352" width="10.7109375" bestFit="1" customWidth="1"/>
    <col min="4353" max="4353" width="12.85546875" customWidth="1"/>
    <col min="4354" max="4355" width="11.7109375" bestFit="1" customWidth="1"/>
    <col min="4356" max="4356" width="10.7109375" bestFit="1" customWidth="1"/>
    <col min="4606" max="4606" width="28.7109375" bestFit="1" customWidth="1"/>
    <col min="4607" max="4607" width="15.140625" bestFit="1" customWidth="1"/>
    <col min="4608" max="4608" width="10.7109375" bestFit="1" customWidth="1"/>
    <col min="4609" max="4609" width="12.85546875" customWidth="1"/>
    <col min="4610" max="4611" width="11.7109375" bestFit="1" customWidth="1"/>
    <col min="4612" max="4612" width="10.7109375" bestFit="1" customWidth="1"/>
    <col min="4862" max="4862" width="28.7109375" bestFit="1" customWidth="1"/>
    <col min="4863" max="4863" width="15.140625" bestFit="1" customWidth="1"/>
    <col min="4864" max="4864" width="10.7109375" bestFit="1" customWidth="1"/>
    <col min="4865" max="4865" width="12.85546875" customWidth="1"/>
    <col min="4866" max="4867" width="11.7109375" bestFit="1" customWidth="1"/>
    <col min="4868" max="4868" width="10.7109375" bestFit="1" customWidth="1"/>
    <col min="5118" max="5118" width="28.7109375" bestFit="1" customWidth="1"/>
    <col min="5119" max="5119" width="15.140625" bestFit="1" customWidth="1"/>
    <col min="5120" max="5120" width="10.7109375" bestFit="1" customWidth="1"/>
    <col min="5121" max="5121" width="12.85546875" customWidth="1"/>
    <col min="5122" max="5123" width="11.7109375" bestFit="1" customWidth="1"/>
    <col min="5124" max="5124" width="10.7109375" bestFit="1" customWidth="1"/>
    <col min="5374" max="5374" width="28.7109375" bestFit="1" customWidth="1"/>
    <col min="5375" max="5375" width="15.140625" bestFit="1" customWidth="1"/>
    <col min="5376" max="5376" width="10.7109375" bestFit="1" customWidth="1"/>
    <col min="5377" max="5377" width="12.85546875" customWidth="1"/>
    <col min="5378" max="5379" width="11.7109375" bestFit="1" customWidth="1"/>
    <col min="5380" max="5380" width="10.7109375" bestFit="1" customWidth="1"/>
    <col min="5630" max="5630" width="28.7109375" bestFit="1" customWidth="1"/>
    <col min="5631" max="5631" width="15.140625" bestFit="1" customWidth="1"/>
    <col min="5632" max="5632" width="10.7109375" bestFit="1" customWidth="1"/>
    <col min="5633" max="5633" width="12.85546875" customWidth="1"/>
    <col min="5634" max="5635" width="11.7109375" bestFit="1" customWidth="1"/>
    <col min="5636" max="5636" width="10.7109375" bestFit="1" customWidth="1"/>
    <col min="5886" max="5886" width="28.7109375" bestFit="1" customWidth="1"/>
    <col min="5887" max="5887" width="15.140625" bestFit="1" customWidth="1"/>
    <col min="5888" max="5888" width="10.7109375" bestFit="1" customWidth="1"/>
    <col min="5889" max="5889" width="12.85546875" customWidth="1"/>
    <col min="5890" max="5891" width="11.7109375" bestFit="1" customWidth="1"/>
    <col min="5892" max="5892" width="10.7109375" bestFit="1" customWidth="1"/>
    <col min="6142" max="6142" width="28.7109375" bestFit="1" customWidth="1"/>
    <col min="6143" max="6143" width="15.140625" bestFit="1" customWidth="1"/>
    <col min="6144" max="6144" width="10.7109375" bestFit="1" customWidth="1"/>
    <col min="6145" max="6145" width="12.85546875" customWidth="1"/>
    <col min="6146" max="6147" width="11.7109375" bestFit="1" customWidth="1"/>
    <col min="6148" max="6148" width="10.7109375" bestFit="1" customWidth="1"/>
    <col min="6398" max="6398" width="28.7109375" bestFit="1" customWidth="1"/>
    <col min="6399" max="6399" width="15.140625" bestFit="1" customWidth="1"/>
    <col min="6400" max="6400" width="10.7109375" bestFit="1" customWidth="1"/>
    <col min="6401" max="6401" width="12.85546875" customWidth="1"/>
    <col min="6402" max="6403" width="11.7109375" bestFit="1" customWidth="1"/>
    <col min="6404" max="6404" width="10.7109375" bestFit="1" customWidth="1"/>
    <col min="6654" max="6654" width="28.7109375" bestFit="1" customWidth="1"/>
    <col min="6655" max="6655" width="15.140625" bestFit="1" customWidth="1"/>
    <col min="6656" max="6656" width="10.7109375" bestFit="1" customWidth="1"/>
    <col min="6657" max="6657" width="12.85546875" customWidth="1"/>
    <col min="6658" max="6659" width="11.7109375" bestFit="1" customWidth="1"/>
    <col min="6660" max="6660" width="10.7109375" bestFit="1" customWidth="1"/>
    <col min="6910" max="6910" width="28.7109375" bestFit="1" customWidth="1"/>
    <col min="6911" max="6911" width="15.140625" bestFit="1" customWidth="1"/>
    <col min="6912" max="6912" width="10.7109375" bestFit="1" customWidth="1"/>
    <col min="6913" max="6913" width="12.85546875" customWidth="1"/>
    <col min="6914" max="6915" width="11.7109375" bestFit="1" customWidth="1"/>
    <col min="6916" max="6916" width="10.7109375" bestFit="1" customWidth="1"/>
    <col min="7166" max="7166" width="28.7109375" bestFit="1" customWidth="1"/>
    <col min="7167" max="7167" width="15.140625" bestFit="1" customWidth="1"/>
    <col min="7168" max="7168" width="10.7109375" bestFit="1" customWidth="1"/>
    <col min="7169" max="7169" width="12.85546875" customWidth="1"/>
    <col min="7170" max="7171" width="11.7109375" bestFit="1" customWidth="1"/>
    <col min="7172" max="7172" width="10.7109375" bestFit="1" customWidth="1"/>
    <col min="7422" max="7422" width="28.7109375" bestFit="1" customWidth="1"/>
    <col min="7423" max="7423" width="15.140625" bestFit="1" customWidth="1"/>
    <col min="7424" max="7424" width="10.7109375" bestFit="1" customWidth="1"/>
    <col min="7425" max="7425" width="12.85546875" customWidth="1"/>
    <col min="7426" max="7427" width="11.7109375" bestFit="1" customWidth="1"/>
    <col min="7428" max="7428" width="10.7109375" bestFit="1" customWidth="1"/>
    <col min="7678" max="7678" width="28.7109375" bestFit="1" customWidth="1"/>
    <col min="7679" max="7679" width="15.140625" bestFit="1" customWidth="1"/>
    <col min="7680" max="7680" width="10.7109375" bestFit="1" customWidth="1"/>
    <col min="7681" max="7681" width="12.85546875" customWidth="1"/>
    <col min="7682" max="7683" width="11.7109375" bestFit="1" customWidth="1"/>
    <col min="7684" max="7684" width="10.7109375" bestFit="1" customWidth="1"/>
    <col min="7934" max="7934" width="28.7109375" bestFit="1" customWidth="1"/>
    <col min="7935" max="7935" width="15.140625" bestFit="1" customWidth="1"/>
    <col min="7936" max="7936" width="10.7109375" bestFit="1" customWidth="1"/>
    <col min="7937" max="7937" width="12.85546875" customWidth="1"/>
    <col min="7938" max="7939" width="11.7109375" bestFit="1" customWidth="1"/>
    <col min="7940" max="7940" width="10.7109375" bestFit="1" customWidth="1"/>
    <col min="8190" max="8190" width="28.7109375" bestFit="1" customWidth="1"/>
    <col min="8191" max="8191" width="15.140625" bestFit="1" customWidth="1"/>
    <col min="8192" max="8192" width="10.7109375" bestFit="1" customWidth="1"/>
    <col min="8193" max="8193" width="12.85546875" customWidth="1"/>
    <col min="8194" max="8195" width="11.7109375" bestFit="1" customWidth="1"/>
    <col min="8196" max="8196" width="10.7109375" bestFit="1" customWidth="1"/>
    <col min="8446" max="8446" width="28.7109375" bestFit="1" customWidth="1"/>
    <col min="8447" max="8447" width="15.140625" bestFit="1" customWidth="1"/>
    <col min="8448" max="8448" width="10.7109375" bestFit="1" customWidth="1"/>
    <col min="8449" max="8449" width="12.85546875" customWidth="1"/>
    <col min="8450" max="8451" width="11.7109375" bestFit="1" customWidth="1"/>
    <col min="8452" max="8452" width="10.7109375" bestFit="1" customWidth="1"/>
    <col min="8702" max="8702" width="28.7109375" bestFit="1" customWidth="1"/>
    <col min="8703" max="8703" width="15.140625" bestFit="1" customWidth="1"/>
    <col min="8704" max="8704" width="10.7109375" bestFit="1" customWidth="1"/>
    <col min="8705" max="8705" width="12.85546875" customWidth="1"/>
    <col min="8706" max="8707" width="11.7109375" bestFit="1" customWidth="1"/>
    <col min="8708" max="8708" width="10.7109375" bestFit="1" customWidth="1"/>
    <col min="8958" max="8958" width="28.7109375" bestFit="1" customWidth="1"/>
    <col min="8959" max="8959" width="15.140625" bestFit="1" customWidth="1"/>
    <col min="8960" max="8960" width="10.7109375" bestFit="1" customWidth="1"/>
    <col min="8961" max="8961" width="12.85546875" customWidth="1"/>
    <col min="8962" max="8963" width="11.7109375" bestFit="1" customWidth="1"/>
    <col min="8964" max="8964" width="10.7109375" bestFit="1" customWidth="1"/>
    <col min="9214" max="9214" width="28.7109375" bestFit="1" customWidth="1"/>
    <col min="9215" max="9215" width="15.140625" bestFit="1" customWidth="1"/>
    <col min="9216" max="9216" width="10.7109375" bestFit="1" customWidth="1"/>
    <col min="9217" max="9217" width="12.85546875" customWidth="1"/>
    <col min="9218" max="9219" width="11.7109375" bestFit="1" customWidth="1"/>
    <col min="9220" max="9220" width="10.7109375" bestFit="1" customWidth="1"/>
    <col min="9470" max="9470" width="28.7109375" bestFit="1" customWidth="1"/>
    <col min="9471" max="9471" width="15.140625" bestFit="1" customWidth="1"/>
    <col min="9472" max="9472" width="10.7109375" bestFit="1" customWidth="1"/>
    <col min="9473" max="9473" width="12.85546875" customWidth="1"/>
    <col min="9474" max="9475" width="11.7109375" bestFit="1" customWidth="1"/>
    <col min="9476" max="9476" width="10.7109375" bestFit="1" customWidth="1"/>
    <col min="9726" max="9726" width="28.7109375" bestFit="1" customWidth="1"/>
    <col min="9727" max="9727" width="15.140625" bestFit="1" customWidth="1"/>
    <col min="9728" max="9728" width="10.7109375" bestFit="1" customWidth="1"/>
    <col min="9729" max="9729" width="12.85546875" customWidth="1"/>
    <col min="9730" max="9731" width="11.7109375" bestFit="1" customWidth="1"/>
    <col min="9732" max="9732" width="10.7109375" bestFit="1" customWidth="1"/>
    <col min="9982" max="9982" width="28.7109375" bestFit="1" customWidth="1"/>
    <col min="9983" max="9983" width="15.140625" bestFit="1" customWidth="1"/>
    <col min="9984" max="9984" width="10.7109375" bestFit="1" customWidth="1"/>
    <col min="9985" max="9985" width="12.85546875" customWidth="1"/>
    <col min="9986" max="9987" width="11.7109375" bestFit="1" customWidth="1"/>
    <col min="9988" max="9988" width="10.7109375" bestFit="1" customWidth="1"/>
    <col min="10238" max="10238" width="28.7109375" bestFit="1" customWidth="1"/>
    <col min="10239" max="10239" width="15.140625" bestFit="1" customWidth="1"/>
    <col min="10240" max="10240" width="10.7109375" bestFit="1" customWidth="1"/>
    <col min="10241" max="10241" width="12.85546875" customWidth="1"/>
    <col min="10242" max="10243" width="11.7109375" bestFit="1" customWidth="1"/>
    <col min="10244" max="10244" width="10.7109375" bestFit="1" customWidth="1"/>
    <col min="10494" max="10494" width="28.7109375" bestFit="1" customWidth="1"/>
    <col min="10495" max="10495" width="15.140625" bestFit="1" customWidth="1"/>
    <col min="10496" max="10496" width="10.7109375" bestFit="1" customWidth="1"/>
    <col min="10497" max="10497" width="12.85546875" customWidth="1"/>
    <col min="10498" max="10499" width="11.7109375" bestFit="1" customWidth="1"/>
    <col min="10500" max="10500" width="10.7109375" bestFit="1" customWidth="1"/>
    <col min="10750" max="10750" width="28.7109375" bestFit="1" customWidth="1"/>
    <col min="10751" max="10751" width="15.140625" bestFit="1" customWidth="1"/>
    <col min="10752" max="10752" width="10.7109375" bestFit="1" customWidth="1"/>
    <col min="10753" max="10753" width="12.85546875" customWidth="1"/>
    <col min="10754" max="10755" width="11.7109375" bestFit="1" customWidth="1"/>
    <col min="10756" max="10756" width="10.7109375" bestFit="1" customWidth="1"/>
    <col min="11006" max="11006" width="28.7109375" bestFit="1" customWidth="1"/>
    <col min="11007" max="11007" width="15.140625" bestFit="1" customWidth="1"/>
    <col min="11008" max="11008" width="10.7109375" bestFit="1" customWidth="1"/>
    <col min="11009" max="11009" width="12.85546875" customWidth="1"/>
    <col min="11010" max="11011" width="11.7109375" bestFit="1" customWidth="1"/>
    <col min="11012" max="11012" width="10.7109375" bestFit="1" customWidth="1"/>
    <col min="11262" max="11262" width="28.7109375" bestFit="1" customWidth="1"/>
    <col min="11263" max="11263" width="15.140625" bestFit="1" customWidth="1"/>
    <col min="11264" max="11264" width="10.7109375" bestFit="1" customWidth="1"/>
    <col min="11265" max="11265" width="12.85546875" customWidth="1"/>
    <col min="11266" max="11267" width="11.7109375" bestFit="1" customWidth="1"/>
    <col min="11268" max="11268" width="10.7109375" bestFit="1" customWidth="1"/>
    <col min="11518" max="11518" width="28.7109375" bestFit="1" customWidth="1"/>
    <col min="11519" max="11519" width="15.140625" bestFit="1" customWidth="1"/>
    <col min="11520" max="11520" width="10.7109375" bestFit="1" customWidth="1"/>
    <col min="11521" max="11521" width="12.85546875" customWidth="1"/>
    <col min="11522" max="11523" width="11.7109375" bestFit="1" customWidth="1"/>
    <col min="11524" max="11524" width="10.7109375" bestFit="1" customWidth="1"/>
    <col min="11774" max="11774" width="28.7109375" bestFit="1" customWidth="1"/>
    <col min="11775" max="11775" width="15.140625" bestFit="1" customWidth="1"/>
    <col min="11776" max="11776" width="10.7109375" bestFit="1" customWidth="1"/>
    <col min="11777" max="11777" width="12.85546875" customWidth="1"/>
    <col min="11778" max="11779" width="11.7109375" bestFit="1" customWidth="1"/>
    <col min="11780" max="11780" width="10.7109375" bestFit="1" customWidth="1"/>
    <col min="12030" max="12030" width="28.7109375" bestFit="1" customWidth="1"/>
    <col min="12031" max="12031" width="15.140625" bestFit="1" customWidth="1"/>
    <col min="12032" max="12032" width="10.7109375" bestFit="1" customWidth="1"/>
    <col min="12033" max="12033" width="12.85546875" customWidth="1"/>
    <col min="12034" max="12035" width="11.7109375" bestFit="1" customWidth="1"/>
    <col min="12036" max="12036" width="10.7109375" bestFit="1" customWidth="1"/>
    <col min="12286" max="12286" width="28.7109375" bestFit="1" customWidth="1"/>
    <col min="12287" max="12287" width="15.140625" bestFit="1" customWidth="1"/>
    <col min="12288" max="12288" width="10.7109375" bestFit="1" customWidth="1"/>
    <col min="12289" max="12289" width="12.85546875" customWidth="1"/>
    <col min="12290" max="12291" width="11.7109375" bestFit="1" customWidth="1"/>
    <col min="12292" max="12292" width="10.7109375" bestFit="1" customWidth="1"/>
    <col min="12542" max="12542" width="28.7109375" bestFit="1" customWidth="1"/>
    <col min="12543" max="12543" width="15.140625" bestFit="1" customWidth="1"/>
    <col min="12544" max="12544" width="10.7109375" bestFit="1" customWidth="1"/>
    <col min="12545" max="12545" width="12.85546875" customWidth="1"/>
    <col min="12546" max="12547" width="11.7109375" bestFit="1" customWidth="1"/>
    <col min="12548" max="12548" width="10.7109375" bestFit="1" customWidth="1"/>
    <col min="12798" max="12798" width="28.7109375" bestFit="1" customWidth="1"/>
    <col min="12799" max="12799" width="15.140625" bestFit="1" customWidth="1"/>
    <col min="12800" max="12800" width="10.7109375" bestFit="1" customWidth="1"/>
    <col min="12801" max="12801" width="12.85546875" customWidth="1"/>
    <col min="12802" max="12803" width="11.7109375" bestFit="1" customWidth="1"/>
    <col min="12804" max="12804" width="10.7109375" bestFit="1" customWidth="1"/>
    <col min="13054" max="13054" width="28.7109375" bestFit="1" customWidth="1"/>
    <col min="13055" max="13055" width="15.140625" bestFit="1" customWidth="1"/>
    <col min="13056" max="13056" width="10.7109375" bestFit="1" customWidth="1"/>
    <col min="13057" max="13057" width="12.85546875" customWidth="1"/>
    <col min="13058" max="13059" width="11.7109375" bestFit="1" customWidth="1"/>
    <col min="13060" max="13060" width="10.7109375" bestFit="1" customWidth="1"/>
    <col min="13310" max="13310" width="28.7109375" bestFit="1" customWidth="1"/>
    <col min="13311" max="13311" width="15.140625" bestFit="1" customWidth="1"/>
    <col min="13312" max="13312" width="10.7109375" bestFit="1" customWidth="1"/>
    <col min="13313" max="13313" width="12.85546875" customWidth="1"/>
    <col min="13314" max="13315" width="11.7109375" bestFit="1" customWidth="1"/>
    <col min="13316" max="13316" width="10.7109375" bestFit="1" customWidth="1"/>
    <col min="13566" max="13566" width="28.7109375" bestFit="1" customWidth="1"/>
    <col min="13567" max="13567" width="15.140625" bestFit="1" customWidth="1"/>
    <col min="13568" max="13568" width="10.7109375" bestFit="1" customWidth="1"/>
    <col min="13569" max="13569" width="12.85546875" customWidth="1"/>
    <col min="13570" max="13571" width="11.7109375" bestFit="1" customWidth="1"/>
    <col min="13572" max="13572" width="10.7109375" bestFit="1" customWidth="1"/>
    <col min="13822" max="13822" width="28.7109375" bestFit="1" customWidth="1"/>
    <col min="13823" max="13823" width="15.140625" bestFit="1" customWidth="1"/>
    <col min="13824" max="13824" width="10.7109375" bestFit="1" customWidth="1"/>
    <col min="13825" max="13825" width="12.85546875" customWidth="1"/>
    <col min="13826" max="13827" width="11.7109375" bestFit="1" customWidth="1"/>
    <col min="13828" max="13828" width="10.7109375" bestFit="1" customWidth="1"/>
    <col min="14078" max="14078" width="28.7109375" bestFit="1" customWidth="1"/>
    <col min="14079" max="14079" width="15.140625" bestFit="1" customWidth="1"/>
    <col min="14080" max="14080" width="10.7109375" bestFit="1" customWidth="1"/>
    <col min="14081" max="14081" width="12.85546875" customWidth="1"/>
    <col min="14082" max="14083" width="11.7109375" bestFit="1" customWidth="1"/>
    <col min="14084" max="14084" width="10.7109375" bestFit="1" customWidth="1"/>
    <col min="14334" max="14334" width="28.7109375" bestFit="1" customWidth="1"/>
    <col min="14335" max="14335" width="15.140625" bestFit="1" customWidth="1"/>
    <col min="14336" max="14336" width="10.7109375" bestFit="1" customWidth="1"/>
    <col min="14337" max="14337" width="12.85546875" customWidth="1"/>
    <col min="14338" max="14339" width="11.7109375" bestFit="1" customWidth="1"/>
    <col min="14340" max="14340" width="10.7109375" bestFit="1" customWidth="1"/>
    <col min="14590" max="14590" width="28.7109375" bestFit="1" customWidth="1"/>
    <col min="14591" max="14591" width="15.140625" bestFit="1" customWidth="1"/>
    <col min="14592" max="14592" width="10.7109375" bestFit="1" customWidth="1"/>
    <col min="14593" max="14593" width="12.85546875" customWidth="1"/>
    <col min="14594" max="14595" width="11.7109375" bestFit="1" customWidth="1"/>
    <col min="14596" max="14596" width="10.7109375" bestFit="1" customWidth="1"/>
    <col min="14846" max="14846" width="28.7109375" bestFit="1" customWidth="1"/>
    <col min="14847" max="14847" width="15.140625" bestFit="1" customWidth="1"/>
    <col min="14848" max="14848" width="10.7109375" bestFit="1" customWidth="1"/>
    <col min="14849" max="14849" width="12.85546875" customWidth="1"/>
    <col min="14850" max="14851" width="11.7109375" bestFit="1" customWidth="1"/>
    <col min="14852" max="14852" width="10.7109375" bestFit="1" customWidth="1"/>
    <col min="15102" max="15102" width="28.7109375" bestFit="1" customWidth="1"/>
    <col min="15103" max="15103" width="15.140625" bestFit="1" customWidth="1"/>
    <col min="15104" max="15104" width="10.7109375" bestFit="1" customWidth="1"/>
    <col min="15105" max="15105" width="12.85546875" customWidth="1"/>
    <col min="15106" max="15107" width="11.7109375" bestFit="1" customWidth="1"/>
    <col min="15108" max="15108" width="10.7109375" bestFit="1" customWidth="1"/>
    <col min="15358" max="15358" width="28.7109375" bestFit="1" customWidth="1"/>
    <col min="15359" max="15359" width="15.140625" bestFit="1" customWidth="1"/>
    <col min="15360" max="15360" width="10.7109375" bestFit="1" customWidth="1"/>
    <col min="15361" max="15361" width="12.85546875" customWidth="1"/>
    <col min="15362" max="15363" width="11.7109375" bestFit="1" customWidth="1"/>
    <col min="15364" max="15364" width="10.7109375" bestFit="1" customWidth="1"/>
    <col min="15614" max="15614" width="28.7109375" bestFit="1" customWidth="1"/>
    <col min="15615" max="15615" width="15.140625" bestFit="1" customWidth="1"/>
    <col min="15616" max="15616" width="10.7109375" bestFit="1" customWidth="1"/>
    <col min="15617" max="15617" width="12.85546875" customWidth="1"/>
    <col min="15618" max="15619" width="11.7109375" bestFit="1" customWidth="1"/>
    <col min="15620" max="15620" width="10.7109375" bestFit="1" customWidth="1"/>
    <col min="15870" max="15870" width="28.7109375" bestFit="1" customWidth="1"/>
    <col min="15871" max="15871" width="15.140625" bestFit="1" customWidth="1"/>
    <col min="15872" max="15872" width="10.7109375" bestFit="1" customWidth="1"/>
    <col min="15873" max="15873" width="12.85546875" customWidth="1"/>
    <col min="15874" max="15875" width="11.7109375" bestFit="1" customWidth="1"/>
    <col min="15876" max="15876" width="10.7109375" bestFit="1" customWidth="1"/>
    <col min="16126" max="16126" width="28.7109375" bestFit="1" customWidth="1"/>
    <col min="16127" max="16127" width="15.140625" bestFit="1" customWidth="1"/>
    <col min="16128" max="16128" width="10.7109375" bestFit="1" customWidth="1"/>
    <col min="16129" max="16129" width="12.85546875" customWidth="1"/>
    <col min="16130" max="16131" width="11.7109375" bestFit="1" customWidth="1"/>
    <col min="16132" max="16132" width="10.7109375" bestFit="1" customWidth="1"/>
  </cols>
  <sheetData>
    <row r="1" spans="1:7" ht="15.75" x14ac:dyDescent="0.25">
      <c r="A1" s="14" t="s">
        <v>43</v>
      </c>
      <c r="B1" s="9"/>
      <c r="C1" s="8"/>
      <c r="D1" s="9" t="s">
        <v>74</v>
      </c>
      <c r="E1" s="9" t="s">
        <v>75</v>
      </c>
      <c r="F1" s="9"/>
      <c r="G1" s="9"/>
    </row>
    <row r="2" spans="1:7" ht="15.75" x14ac:dyDescent="0.25">
      <c r="A2" s="7"/>
      <c r="B2" s="9"/>
      <c r="C2" s="8"/>
      <c r="D2" s="29">
        <v>0.7</v>
      </c>
      <c r="E2" s="29">
        <f>(1-D2)</f>
        <v>0.30000000000000004</v>
      </c>
      <c r="F2" s="9"/>
      <c r="G2" s="9"/>
    </row>
    <row r="3" spans="1:7" x14ac:dyDescent="0.25">
      <c r="A3" t="s">
        <v>50</v>
      </c>
      <c r="C3" s="2">
        <v>15000000</v>
      </c>
      <c r="D3" s="3">
        <f>$C$3*D2</f>
        <v>10500000</v>
      </c>
      <c r="E3" s="3">
        <f>$C$3*E2</f>
        <v>4500000.0000000009</v>
      </c>
    </row>
    <row r="4" spans="1:7" x14ac:dyDescent="0.25">
      <c r="A4" t="s">
        <v>44</v>
      </c>
      <c r="C4" s="2">
        <v>2000000</v>
      </c>
    </row>
    <row r="5" spans="1:7" x14ac:dyDescent="0.25">
      <c r="A5" t="s">
        <v>33</v>
      </c>
      <c r="C5">
        <v>5</v>
      </c>
    </row>
    <row r="6" spans="1:7" x14ac:dyDescent="0.25">
      <c r="A6" t="s">
        <v>154</v>
      </c>
      <c r="C6" s="11">
        <v>0.14000000000000001</v>
      </c>
    </row>
    <row r="7" spans="1:7" x14ac:dyDescent="0.25">
      <c r="A7" t="s">
        <v>157</v>
      </c>
      <c r="C7" s="11">
        <v>0.09</v>
      </c>
    </row>
    <row r="8" spans="1:7" x14ac:dyDescent="0.25">
      <c r="A8" t="s">
        <v>23</v>
      </c>
      <c r="C8" s="11">
        <v>0.03</v>
      </c>
    </row>
    <row r="9" spans="1:7" x14ac:dyDescent="0.25">
      <c r="A9" t="s">
        <v>158</v>
      </c>
      <c r="C9" s="11">
        <v>0.1</v>
      </c>
    </row>
    <row r="10" spans="1:7" x14ac:dyDescent="0.25">
      <c r="A10" t="s">
        <v>45</v>
      </c>
      <c r="C10" s="11">
        <v>0.1</v>
      </c>
    </row>
    <row r="11" spans="1:7" x14ac:dyDescent="0.25">
      <c r="A11" t="s">
        <v>49</v>
      </c>
      <c r="C11" s="1">
        <v>0.3</v>
      </c>
    </row>
    <row r="12" spans="1:7" x14ac:dyDescent="0.25">
      <c r="A12" t="s">
        <v>76</v>
      </c>
      <c r="C12" s="1">
        <v>0.08</v>
      </c>
    </row>
    <row r="13" spans="1:7" x14ac:dyDescent="0.25">
      <c r="A13" t="s">
        <v>151</v>
      </c>
      <c r="C13" s="119">
        <v>40</v>
      </c>
    </row>
    <row r="15" spans="1:7" x14ac:dyDescent="0.25">
      <c r="A15" t="s">
        <v>5</v>
      </c>
      <c r="C15">
        <v>1</v>
      </c>
      <c r="D15">
        <f>C$15+1</f>
        <v>2</v>
      </c>
      <c r="E15">
        <f>D$15+1</f>
        <v>3</v>
      </c>
      <c r="F15">
        <f>E$15+1</f>
        <v>4</v>
      </c>
      <c r="G15">
        <f>F$15+1</f>
        <v>5</v>
      </c>
    </row>
    <row r="16" spans="1:7" x14ac:dyDescent="0.25">
      <c r="A16" t="s">
        <v>46</v>
      </c>
      <c r="C16" s="2">
        <f>C4</f>
        <v>2000000</v>
      </c>
      <c r="D16" s="2">
        <f>(C16*(1+$C$8))</f>
        <v>2060000</v>
      </c>
      <c r="E16" s="2">
        <f>(D16*(1+$C$8))</f>
        <v>2121800</v>
      </c>
      <c r="F16" s="2">
        <f>(E16*(1+$C$8))</f>
        <v>2185454</v>
      </c>
      <c r="G16" s="2">
        <f>(F16*(1+$C$8))</f>
        <v>2251017.62</v>
      </c>
    </row>
    <row r="17" spans="1:7" x14ac:dyDescent="0.25">
      <c r="A17" t="s">
        <v>26</v>
      </c>
      <c r="C17" s="2">
        <f>C16*$C$9</f>
        <v>200000</v>
      </c>
      <c r="D17" s="2">
        <f>D16*$C$9</f>
        <v>206000</v>
      </c>
      <c r="E17" s="2">
        <f>E16*$C$9</f>
        <v>212180</v>
      </c>
      <c r="F17" s="2">
        <f>F16*$C$9</f>
        <v>218545.40000000002</v>
      </c>
      <c r="G17" s="2">
        <f>G16*$C$9</f>
        <v>225101.76200000002</v>
      </c>
    </row>
    <row r="18" spans="1:7" x14ac:dyDescent="0.25">
      <c r="A18" t="s">
        <v>27</v>
      </c>
      <c r="C18" s="2">
        <f>C16*$C$10</f>
        <v>200000</v>
      </c>
      <c r="D18" s="2">
        <f>D16*$C$10</f>
        <v>206000</v>
      </c>
      <c r="E18" s="2">
        <f>E16*$C$10</f>
        <v>212180</v>
      </c>
      <c r="F18" s="2">
        <f>F16*$C$10</f>
        <v>218545.40000000002</v>
      </c>
      <c r="G18" s="2">
        <f>G16*$C$10</f>
        <v>225101.76200000002</v>
      </c>
    </row>
    <row r="19" spans="1:7" s="4" customFormat="1" x14ac:dyDescent="0.25">
      <c r="A19" s="4" t="s">
        <v>25</v>
      </c>
      <c r="C19" s="13">
        <f>C16-C17-C18</f>
        <v>1600000</v>
      </c>
      <c r="D19" s="13">
        <f>D16-D17-D18</f>
        <v>1648000</v>
      </c>
      <c r="E19" s="13">
        <f>E16-E17-E18</f>
        <v>1697440</v>
      </c>
      <c r="F19" s="13">
        <f>F16-F17-F18</f>
        <v>1748363.2000000002</v>
      </c>
      <c r="G19" s="13">
        <f>G16-G17-G18</f>
        <v>1800814.0959999999</v>
      </c>
    </row>
    <row r="20" spans="1:7" x14ac:dyDescent="0.25">
      <c r="C20" s="2"/>
      <c r="D20" s="2"/>
      <c r="E20" s="2"/>
      <c r="F20" s="2"/>
      <c r="G20" s="2"/>
    </row>
    <row r="21" spans="1:7" x14ac:dyDescent="0.25">
      <c r="A21" t="s">
        <v>47</v>
      </c>
      <c r="C21" s="2"/>
      <c r="D21" s="2"/>
      <c r="E21" s="2"/>
      <c r="F21" s="2"/>
      <c r="G21" s="2"/>
    </row>
    <row r="22" spans="1:7" x14ac:dyDescent="0.25">
      <c r="A22" s="15" t="s">
        <v>48</v>
      </c>
      <c r="B22" s="15"/>
      <c r="C22" s="2">
        <f>C19*$C$11</f>
        <v>480000</v>
      </c>
      <c r="D22" s="2">
        <f>D19*$C$11</f>
        <v>494400</v>
      </c>
      <c r="E22" s="2">
        <f>E19*$C$11</f>
        <v>509232</v>
      </c>
      <c r="F22" s="2">
        <f>F19*$C$11</f>
        <v>524508.96000000008</v>
      </c>
      <c r="G22" s="2">
        <f>G19*$C$11</f>
        <v>540244.22879999992</v>
      </c>
    </row>
    <row r="23" spans="1:7" s="4" customFormat="1" x14ac:dyDescent="0.25">
      <c r="C23" s="13"/>
      <c r="D23" s="13"/>
      <c r="E23" s="13"/>
      <c r="F23" s="13"/>
      <c r="G23" s="13"/>
    </row>
    <row r="24" spans="1:7" x14ac:dyDescent="0.25">
      <c r="A24" t="s">
        <v>3</v>
      </c>
      <c r="C24" s="2">
        <f>C19-C22</f>
        <v>1120000</v>
      </c>
      <c r="D24" s="2">
        <f>D19-D22</f>
        <v>1153600</v>
      </c>
      <c r="E24" s="2">
        <f>E19-E22</f>
        <v>1188208</v>
      </c>
      <c r="F24" s="2">
        <f>F19-F22</f>
        <v>1223854.2400000002</v>
      </c>
      <c r="G24" s="2">
        <f>G19-G22</f>
        <v>1260569.8672</v>
      </c>
    </row>
    <row r="25" spans="1:7" x14ac:dyDescent="0.25">
      <c r="A25" t="s">
        <v>78</v>
      </c>
      <c r="C25" s="2">
        <f>IPMT($C$12,C15,$C$13,$D$3,0)</f>
        <v>-840000</v>
      </c>
      <c r="D25" s="2">
        <f>IPMT($C$12,D15,$C$13,$D$3,0)</f>
        <v>-836757.46433950833</v>
      </c>
      <c r="E25" s="2">
        <f t="shared" ref="E25:G25" si="0">IPMT($C$12,E15,$C$13,$D$3,0)</f>
        <v>-833255.52582617733</v>
      </c>
      <c r="F25" s="2">
        <f t="shared" si="0"/>
        <v>-829473.43223177968</v>
      </c>
      <c r="G25" s="2">
        <f t="shared" si="0"/>
        <v>-825388.77114983043</v>
      </c>
    </row>
    <row r="26" spans="1:7" x14ac:dyDescent="0.25">
      <c r="A26" t="s">
        <v>77</v>
      </c>
      <c r="C26" s="2">
        <f>PPMT($C$12,C15,$C$13,$D$3,0)</f>
        <v>-40531.695756146059</v>
      </c>
      <c r="D26" s="2">
        <f t="shared" ref="D26:G26" si="1">PPMT($C$12,D15,$C$13,$D$3,0)</f>
        <v>-43774.231416637747</v>
      </c>
      <c r="E26" s="2">
        <f t="shared" si="1"/>
        <v>-47276.169929968761</v>
      </c>
      <c r="F26" s="2">
        <f t="shared" si="1"/>
        <v>-51058.263524366273</v>
      </c>
      <c r="G26" s="2">
        <f t="shared" si="1"/>
        <v>-55142.924606315559</v>
      </c>
    </row>
    <row r="27" spans="1:7" x14ac:dyDescent="0.25">
      <c r="A27" t="s">
        <v>79</v>
      </c>
      <c r="C27" s="2">
        <f>C24+C25+C26</f>
        <v>239468.30424385396</v>
      </c>
      <c r="D27" s="2">
        <f t="shared" ref="D27:G27" si="2">D24+D25+D26</f>
        <v>273068.3042438539</v>
      </c>
      <c r="E27" s="2">
        <f t="shared" si="2"/>
        <v>307676.3042438539</v>
      </c>
      <c r="F27" s="2">
        <f t="shared" si="2"/>
        <v>343322.5442438543</v>
      </c>
      <c r="G27" s="2">
        <f t="shared" si="2"/>
        <v>380038.17144385399</v>
      </c>
    </row>
    <row r="28" spans="1:7" x14ac:dyDescent="0.25">
      <c r="A28" t="s">
        <v>32</v>
      </c>
      <c r="C28" s="2">
        <f>C24/(1+$C$6)^C15</f>
        <v>982456.14035087707</v>
      </c>
      <c r="D28" s="2">
        <f>D24/(1+$C$6)^D15</f>
        <v>887657.74084333621</v>
      </c>
      <c r="E28" s="2">
        <f>E24/(1+$C$6)^E15</f>
        <v>802006.55532336514</v>
      </c>
      <c r="F28" s="2">
        <f>F24/(1+$C$6)^F15</f>
        <v>724619.95787988254</v>
      </c>
      <c r="G28" s="2">
        <f>G24/(1+$C$6)^G15</f>
        <v>654700.48825989373</v>
      </c>
    </row>
    <row r="29" spans="1:7" x14ac:dyDescent="0.25">
      <c r="C29" s="2"/>
      <c r="D29" s="2"/>
      <c r="E29" s="2"/>
      <c r="F29" s="2"/>
      <c r="G29" s="2"/>
    </row>
    <row r="30" spans="1:7" x14ac:dyDescent="0.25">
      <c r="A30" t="s">
        <v>51</v>
      </c>
      <c r="C30" s="2"/>
      <c r="D30" s="2"/>
      <c r="E30" s="2"/>
      <c r="F30" s="2"/>
      <c r="G30" s="2">
        <f>FV(C8,5,0,-C3)</f>
        <v>17389111.114499997</v>
      </c>
    </row>
    <row r="31" spans="1:7" x14ac:dyDescent="0.25">
      <c r="A31" t="s">
        <v>80</v>
      </c>
      <c r="C31" s="2"/>
      <c r="D31" s="2"/>
      <c r="E31" s="2"/>
      <c r="F31" s="2"/>
      <c r="G31" s="2">
        <f>IF(CUMPRINC(C12,40,D3,C15,G15,0)&lt;0,CUMPRINC(C12,40,D3,C15,G15,0))</f>
        <v>-237783.28523343438</v>
      </c>
    </row>
    <row r="32" spans="1:7" x14ac:dyDescent="0.25">
      <c r="A32" t="s">
        <v>152</v>
      </c>
      <c r="C32" s="2"/>
      <c r="D32" s="2"/>
      <c r="E32" s="2"/>
      <c r="F32" s="2"/>
      <c r="G32" s="3">
        <f>D3+G31</f>
        <v>10262216.714766566</v>
      </c>
    </row>
    <row r="33" spans="1:7" x14ac:dyDescent="0.25">
      <c r="A33" t="s">
        <v>81</v>
      </c>
      <c r="B33" s="3">
        <f>-E3</f>
        <v>-4500000.0000000009</v>
      </c>
      <c r="C33" s="2">
        <f>C27</f>
        <v>239468.30424385396</v>
      </c>
      <c r="D33" s="2">
        <f t="shared" ref="D33:F33" si="3">D27</f>
        <v>273068.3042438539</v>
      </c>
      <c r="E33" s="2">
        <f t="shared" si="3"/>
        <v>307676.3042438539</v>
      </c>
      <c r="F33" s="2">
        <f t="shared" si="3"/>
        <v>343322.5442438543</v>
      </c>
      <c r="G33" s="2">
        <f>(G30-G32)+G27</f>
        <v>7506932.5711772852</v>
      </c>
    </row>
    <row r="34" spans="1:7" x14ac:dyDescent="0.25">
      <c r="A34" t="s">
        <v>52</v>
      </c>
      <c r="B34" s="12">
        <f>IRR(B33:G33)</f>
        <v>0.15255180504916854</v>
      </c>
      <c r="C34" s="2"/>
      <c r="D34" s="2"/>
      <c r="E34" s="2"/>
      <c r="F34" s="2"/>
      <c r="G34" s="2"/>
    </row>
    <row r="36" spans="1:7" x14ac:dyDescent="0.25">
      <c r="A36" t="s">
        <v>11</v>
      </c>
      <c r="C36" s="2">
        <f>SUM(C28:G28)</f>
        <v>4051440.8826573547</v>
      </c>
      <c r="D36" s="2"/>
      <c r="E36" s="2"/>
      <c r="F36" s="2"/>
      <c r="G36" s="2"/>
    </row>
    <row r="37" spans="1:7" x14ac:dyDescent="0.25">
      <c r="A37" t="s">
        <v>12</v>
      </c>
      <c r="C37" s="2">
        <f>G30/((1+$C$6)^G15)</f>
        <v>9031359.4139422812</v>
      </c>
      <c r="D37" s="2"/>
      <c r="E37" s="2"/>
      <c r="F37" s="2"/>
      <c r="G37" s="2"/>
    </row>
    <row r="38" spans="1:7" x14ac:dyDescent="0.25">
      <c r="A38" t="s">
        <v>30</v>
      </c>
      <c r="C38" s="13">
        <f>SUM(C36:C37)</f>
        <v>13082800.296599636</v>
      </c>
      <c r="D38" s="2"/>
      <c r="E38" s="2"/>
      <c r="F38" s="2"/>
      <c r="G38" s="2"/>
    </row>
    <row r="39" spans="1:7" x14ac:dyDescent="0.25">
      <c r="C39" s="13"/>
      <c r="D39" s="2"/>
      <c r="E39" s="2"/>
      <c r="F39" s="2"/>
      <c r="G39" s="2"/>
    </row>
    <row r="40" spans="1:7" x14ac:dyDescent="0.25">
      <c r="C40" s="13"/>
      <c r="D40" s="2"/>
      <c r="E40" s="2"/>
      <c r="F40" s="2"/>
      <c r="G40" s="2"/>
    </row>
    <row r="41" spans="1:7" x14ac:dyDescent="0.25">
      <c r="C41" s="2"/>
      <c r="D41" s="2"/>
      <c r="E41" s="2"/>
      <c r="F41" s="2"/>
      <c r="G41" s="2"/>
    </row>
    <row r="42" spans="1:7" s="4" customFormat="1" x14ac:dyDescent="0.25">
      <c r="A42" s="4" t="s">
        <v>53</v>
      </c>
      <c r="B42" s="13">
        <f>NPV(C6,B33:G33)</f>
        <v>201745.52710812431</v>
      </c>
    </row>
    <row r="44" spans="1:7" x14ac:dyDescent="0.25">
      <c r="A44" t="s">
        <v>82</v>
      </c>
    </row>
    <row r="45" spans="1:7" x14ac:dyDescent="0.25">
      <c r="A45" t="s">
        <v>153</v>
      </c>
    </row>
    <row r="46" spans="1:7" x14ac:dyDescent="0.25">
      <c r="A46" t="s">
        <v>83</v>
      </c>
    </row>
    <row r="47" spans="1:7" x14ac:dyDescent="0.25">
      <c r="A47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B3" sqref="B3"/>
    </sheetView>
  </sheetViews>
  <sheetFormatPr baseColWidth="10" defaultColWidth="9.140625" defaultRowHeight="14.25" customHeight="1" x14ac:dyDescent="0.25"/>
  <cols>
    <col min="2" max="2" width="25.5703125" customWidth="1"/>
    <col min="3" max="3" width="18.85546875" customWidth="1"/>
    <col min="4" max="5" width="12.28515625" bestFit="1" customWidth="1"/>
    <col min="6" max="6" width="13.42578125" bestFit="1" customWidth="1"/>
    <col min="7" max="8" width="12.28515625" bestFit="1" customWidth="1"/>
  </cols>
  <sheetData>
    <row r="1" spans="1:12" ht="14.25" customHeight="1" x14ac:dyDescent="0.25">
      <c r="A1" s="4" t="s">
        <v>64</v>
      </c>
    </row>
    <row r="2" spans="1:12" ht="14.2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ht="14.2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16"/>
    </row>
    <row r="4" spans="1:12" s="4" customFormat="1" ht="14.25" customHeight="1" x14ac:dyDescent="0.25">
      <c r="A4" s="23"/>
      <c r="B4" s="25"/>
      <c r="C4" s="25" t="s">
        <v>54</v>
      </c>
      <c r="D4" s="168" t="s">
        <v>55</v>
      </c>
      <c r="E4" s="168"/>
      <c r="F4" s="168"/>
      <c r="G4" s="168"/>
      <c r="H4" s="168"/>
      <c r="I4" s="23"/>
      <c r="J4" s="23" t="s">
        <v>65</v>
      </c>
      <c r="K4" s="23"/>
    </row>
    <row r="5" spans="1:12" s="127" customFormat="1" ht="14.25" customHeight="1" x14ac:dyDescent="0.25">
      <c r="A5" s="125"/>
      <c r="B5" s="126"/>
      <c r="C5" s="126"/>
      <c r="D5" s="126" t="s">
        <v>56</v>
      </c>
      <c r="E5" s="126" t="s">
        <v>57</v>
      </c>
      <c r="F5" s="126" t="s">
        <v>58</v>
      </c>
      <c r="G5" s="126" t="s">
        <v>59</v>
      </c>
      <c r="H5" s="126" t="s">
        <v>60</v>
      </c>
      <c r="I5" s="125"/>
      <c r="J5" s="125"/>
      <c r="K5" s="125"/>
    </row>
    <row r="6" spans="1:12" ht="14.25" customHeight="1" x14ac:dyDescent="0.25">
      <c r="A6" s="20"/>
      <c r="B6" s="22" t="s">
        <v>155</v>
      </c>
      <c r="C6" s="24"/>
      <c r="D6" s="30">
        <v>4500000</v>
      </c>
      <c r="E6" s="30">
        <v>3000000</v>
      </c>
      <c r="F6" s="30">
        <v>10000000</v>
      </c>
      <c r="G6" s="30">
        <v>1500000</v>
      </c>
      <c r="H6" s="30">
        <v>5000000</v>
      </c>
      <c r="I6" s="120"/>
      <c r="J6" s="121"/>
      <c r="K6" s="20"/>
      <c r="L6" s="16"/>
    </row>
    <row r="7" spans="1:12" ht="14.25" customHeight="1" x14ac:dyDescent="0.25">
      <c r="A7" s="20"/>
      <c r="B7" s="22" t="s">
        <v>62</v>
      </c>
      <c r="C7" s="24">
        <v>570000</v>
      </c>
      <c r="D7" s="30">
        <v>300000</v>
      </c>
      <c r="E7" s="30">
        <v>210000</v>
      </c>
      <c r="F7" s="30">
        <v>700000</v>
      </c>
      <c r="G7" s="30">
        <v>110000</v>
      </c>
      <c r="H7" s="30">
        <v>400000</v>
      </c>
      <c r="I7" s="120"/>
      <c r="J7" s="121"/>
      <c r="K7" s="20"/>
      <c r="L7" s="16"/>
    </row>
    <row r="8" spans="1:12" ht="14.25" customHeight="1" x14ac:dyDescent="0.25">
      <c r="A8" s="20"/>
      <c r="B8" s="22" t="s">
        <v>63</v>
      </c>
      <c r="C8" s="22"/>
      <c r="D8" s="122">
        <f>D6/D7</f>
        <v>15</v>
      </c>
      <c r="E8" s="122">
        <f t="shared" ref="E8:H8" si="0">E6/E7</f>
        <v>14.285714285714286</v>
      </c>
      <c r="F8" s="122">
        <f t="shared" si="0"/>
        <v>14.285714285714286</v>
      </c>
      <c r="G8" s="122">
        <f t="shared" si="0"/>
        <v>13.636363636363637</v>
      </c>
      <c r="H8" s="122">
        <f t="shared" si="0"/>
        <v>12.5</v>
      </c>
      <c r="I8" s="120"/>
      <c r="J8" s="123">
        <f>AVERAGE(D8:H8)</f>
        <v>13.941558441558442</v>
      </c>
      <c r="K8" s="20"/>
      <c r="L8" s="16"/>
    </row>
    <row r="9" spans="1:12" ht="14.25" customHeight="1" x14ac:dyDescent="0.25">
      <c r="A9" s="16"/>
      <c r="B9" s="16"/>
      <c r="C9" s="16"/>
      <c r="D9" s="124"/>
      <c r="E9" s="124"/>
      <c r="F9" s="124"/>
      <c r="G9" s="124"/>
      <c r="H9" s="124"/>
      <c r="I9" s="124"/>
      <c r="J9" s="124"/>
      <c r="K9" s="16"/>
      <c r="L9" s="16"/>
    </row>
    <row r="10" spans="1:12" ht="14.25" customHeight="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ht="14.25" customHeight="1" x14ac:dyDescent="0.25">
      <c r="A11" s="16"/>
      <c r="B11" s="18" t="s">
        <v>46</v>
      </c>
      <c r="C11" s="2">
        <f>C7</f>
        <v>570000</v>
      </c>
      <c r="D11" s="16"/>
      <c r="E11" s="16"/>
      <c r="F11" s="16"/>
      <c r="G11" s="16"/>
      <c r="H11" s="16"/>
      <c r="I11" s="16"/>
      <c r="J11" s="16"/>
      <c r="K11" s="16"/>
      <c r="L11" s="16"/>
    </row>
    <row r="12" spans="1:12" ht="14.25" customHeight="1" x14ac:dyDescent="0.25">
      <c r="A12" s="16"/>
      <c r="B12" s="18" t="s">
        <v>66</v>
      </c>
      <c r="C12" s="17">
        <f>J8</f>
        <v>13.941558441558442</v>
      </c>
      <c r="D12" s="16"/>
      <c r="E12" s="16"/>
      <c r="F12" s="16"/>
      <c r="G12" s="16"/>
      <c r="H12" s="16"/>
      <c r="I12" s="16"/>
      <c r="J12" s="16"/>
      <c r="K12" s="16"/>
      <c r="L12" s="16"/>
    </row>
    <row r="13" spans="1:12" ht="14.25" customHeight="1" x14ac:dyDescent="0.25">
      <c r="A13" s="16"/>
      <c r="B13" s="19" t="s">
        <v>67</v>
      </c>
      <c r="C13" s="13">
        <f>ROUND(C11*C12,5)</f>
        <v>7946688.3116899999</v>
      </c>
      <c r="D13" s="16"/>
      <c r="E13" s="16"/>
      <c r="F13" s="16"/>
      <c r="G13" s="16"/>
      <c r="H13" s="16"/>
      <c r="I13" s="16"/>
      <c r="J13" s="16"/>
      <c r="K13" s="16"/>
      <c r="L13" s="16"/>
    </row>
    <row r="14" spans="1:12" ht="14.25" customHeight="1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4.25" customHeight="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ht="14.25" customHeight="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14.25" customHeight="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ht="14.25" customHeight="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ht="14.25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ht="14.25" customHeight="1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ht="14.25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 ht="14.25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ht="14.25" customHeight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ht="14.25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ht="14.25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 ht="14.25" customHeight="1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ht="14.2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 ht="14.25" customHeight="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</sheetData>
  <mergeCells count="1">
    <mergeCell ref="D4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3" sqref="B3"/>
    </sheetView>
  </sheetViews>
  <sheetFormatPr baseColWidth="10" defaultColWidth="11.140625" defaultRowHeight="13.5" customHeight="1" x14ac:dyDescent="0.25"/>
  <cols>
    <col min="1" max="1" width="11.140625" style="16"/>
    <col min="2" max="2" width="37.28515625" style="16" customWidth="1"/>
    <col min="3" max="3" width="17.5703125" style="16" bestFit="1" customWidth="1"/>
    <col min="4" max="5" width="12.28515625" style="16" bestFit="1" customWidth="1"/>
    <col min="6" max="6" width="13.42578125" style="16" bestFit="1" customWidth="1"/>
    <col min="7" max="7" width="12.28515625" style="16" bestFit="1" customWidth="1"/>
    <col min="8" max="8" width="11.28515625" style="16" bestFit="1" customWidth="1"/>
    <col min="9" max="16384" width="11.140625" style="16"/>
  </cols>
  <sheetData>
    <row r="1" spans="1:11" ht="13.5" customHeight="1" x14ac:dyDescent="0.25">
      <c r="A1" s="4" t="s">
        <v>71</v>
      </c>
    </row>
    <row r="3" spans="1:11" ht="13.5" customHeight="1" x14ac:dyDescent="0.25">
      <c r="A3" s="20"/>
      <c r="B3" s="21"/>
      <c r="C3" s="20"/>
      <c r="D3" s="20"/>
      <c r="E3" s="20"/>
      <c r="F3" s="20"/>
      <c r="G3" s="20"/>
      <c r="H3" s="20"/>
      <c r="I3" s="20"/>
      <c r="J3" s="20"/>
      <c r="K3" s="20"/>
    </row>
    <row r="4" spans="1:11" ht="13.5" customHeight="1" x14ac:dyDescent="0.25">
      <c r="A4" s="20"/>
      <c r="B4" s="22"/>
      <c r="C4" s="22" t="s">
        <v>54</v>
      </c>
      <c r="D4" s="170" t="s">
        <v>55</v>
      </c>
      <c r="E4" s="170"/>
      <c r="F4" s="170"/>
      <c r="G4" s="170"/>
      <c r="H4" s="170"/>
      <c r="I4" s="20"/>
      <c r="J4" s="20"/>
      <c r="K4" s="20"/>
    </row>
    <row r="5" spans="1:11" s="127" customFormat="1" ht="13.5" customHeight="1" x14ac:dyDescent="0.25">
      <c r="A5" s="125"/>
      <c r="B5" s="126"/>
      <c r="C5" s="126"/>
      <c r="D5" s="126" t="s">
        <v>56</v>
      </c>
      <c r="E5" s="126" t="s">
        <v>57</v>
      </c>
      <c r="F5" s="126" t="s">
        <v>58</v>
      </c>
      <c r="G5" s="126" t="s">
        <v>59</v>
      </c>
      <c r="H5" s="126" t="s">
        <v>60</v>
      </c>
      <c r="I5" s="125"/>
      <c r="J5" s="125"/>
      <c r="K5" s="125"/>
    </row>
    <row r="6" spans="1:11" ht="13.5" customHeight="1" x14ac:dyDescent="0.25">
      <c r="A6" s="20"/>
      <c r="B6" s="170" t="s">
        <v>61</v>
      </c>
      <c r="C6" s="170"/>
      <c r="D6" s="172">
        <v>4500000</v>
      </c>
      <c r="E6" s="172">
        <v>3000000</v>
      </c>
      <c r="F6" s="172">
        <v>10000000</v>
      </c>
      <c r="G6" s="172">
        <v>1500000</v>
      </c>
      <c r="H6" s="172">
        <v>5000000</v>
      </c>
      <c r="I6" s="20"/>
      <c r="J6" s="20"/>
      <c r="K6" s="20"/>
    </row>
    <row r="7" spans="1:11" ht="13.5" customHeight="1" x14ac:dyDescent="0.25">
      <c r="A7" s="20"/>
      <c r="B7" s="170"/>
      <c r="C7" s="170"/>
      <c r="D7" s="172"/>
      <c r="E7" s="172"/>
      <c r="F7" s="172"/>
      <c r="G7" s="172"/>
      <c r="H7" s="172"/>
      <c r="I7" s="20"/>
      <c r="J7" s="20"/>
      <c r="K7" s="20"/>
    </row>
    <row r="8" spans="1:11" ht="13.5" customHeight="1" x14ac:dyDescent="0.25">
      <c r="A8" s="20"/>
      <c r="B8" s="22" t="s">
        <v>62</v>
      </c>
      <c r="C8" s="24">
        <v>570000</v>
      </c>
      <c r="D8" s="24">
        <v>300000</v>
      </c>
      <c r="E8" s="24">
        <v>210000</v>
      </c>
      <c r="F8" s="24">
        <v>700000</v>
      </c>
      <c r="G8" s="24">
        <v>110000</v>
      </c>
      <c r="H8" s="24">
        <v>400000</v>
      </c>
      <c r="I8" s="20"/>
      <c r="J8" s="20"/>
      <c r="K8" s="20"/>
    </row>
    <row r="9" spans="1:11" ht="13.5" customHeight="1" x14ac:dyDescent="0.25">
      <c r="A9" s="20"/>
      <c r="B9" s="170" t="s">
        <v>68</v>
      </c>
      <c r="C9" s="169">
        <v>0.28000000000000003</v>
      </c>
      <c r="D9" s="169">
        <v>0.32</v>
      </c>
      <c r="E9" s="169">
        <v>0.25</v>
      </c>
      <c r="F9" s="169">
        <v>0.2</v>
      </c>
      <c r="G9" s="169">
        <v>0.22</v>
      </c>
      <c r="H9" s="169">
        <v>0.23</v>
      </c>
      <c r="I9" s="20"/>
      <c r="J9" s="20"/>
      <c r="K9" s="20"/>
    </row>
    <row r="10" spans="1:11" ht="13.5" customHeight="1" x14ac:dyDescent="0.25">
      <c r="A10" s="20"/>
      <c r="B10" s="170"/>
      <c r="C10" s="169"/>
      <c r="D10" s="169"/>
      <c r="E10" s="169"/>
      <c r="F10" s="169"/>
      <c r="G10" s="169"/>
      <c r="H10" s="169"/>
      <c r="I10" s="20"/>
      <c r="J10" s="20"/>
      <c r="K10" s="20"/>
    </row>
    <row r="11" spans="1:11" ht="13.5" customHeight="1" x14ac:dyDescent="0.25">
      <c r="A11" s="20"/>
      <c r="B11" s="22" t="s">
        <v>69</v>
      </c>
      <c r="C11" s="24">
        <f>C8*(1-C9)</f>
        <v>410400</v>
      </c>
      <c r="D11" s="24">
        <f t="shared" ref="D11:H11" si="0">D8*(1-D9)</f>
        <v>203999.99999999997</v>
      </c>
      <c r="E11" s="24">
        <f t="shared" si="0"/>
        <v>157500</v>
      </c>
      <c r="F11" s="24">
        <f t="shared" si="0"/>
        <v>560000</v>
      </c>
      <c r="G11" s="24">
        <f t="shared" si="0"/>
        <v>85800</v>
      </c>
      <c r="H11" s="24">
        <f t="shared" si="0"/>
        <v>308000</v>
      </c>
      <c r="I11" s="20"/>
      <c r="J11" s="20"/>
      <c r="K11" s="20"/>
    </row>
    <row r="12" spans="1:11" ht="13.5" customHeight="1" x14ac:dyDescent="0.25">
      <c r="A12" s="20"/>
      <c r="B12" s="170" t="s">
        <v>70</v>
      </c>
      <c r="C12" s="170"/>
      <c r="D12" s="171">
        <f>D11/D6</f>
        <v>4.533333333333333E-2</v>
      </c>
      <c r="E12" s="171">
        <f t="shared" ref="E12:H12" si="1">E11/E6</f>
        <v>5.2499999999999998E-2</v>
      </c>
      <c r="F12" s="171">
        <f t="shared" si="1"/>
        <v>5.6000000000000001E-2</v>
      </c>
      <c r="G12" s="171">
        <f t="shared" si="1"/>
        <v>5.7200000000000001E-2</v>
      </c>
      <c r="H12" s="171">
        <f t="shared" si="1"/>
        <v>6.1600000000000002E-2</v>
      </c>
      <c r="I12" s="20"/>
      <c r="J12" s="20"/>
      <c r="K12" s="20"/>
    </row>
    <row r="13" spans="1:11" ht="13.5" customHeight="1" x14ac:dyDescent="0.25">
      <c r="A13" s="20"/>
      <c r="B13" s="170"/>
      <c r="C13" s="170"/>
      <c r="D13" s="171"/>
      <c r="E13" s="171"/>
      <c r="F13" s="171"/>
      <c r="G13" s="171"/>
      <c r="H13" s="171"/>
      <c r="I13" s="20"/>
      <c r="J13" s="20"/>
      <c r="K13" s="20"/>
    </row>
    <row r="16" spans="1:11" ht="13.5" customHeight="1" x14ac:dyDescent="0.25">
      <c r="B16" s="16" t="s">
        <v>174</v>
      </c>
      <c r="C16" s="26">
        <f>C11</f>
        <v>410400</v>
      </c>
    </row>
    <row r="17" spans="2:3" ht="13.5" customHeight="1" x14ac:dyDescent="0.25">
      <c r="B17" s="16" t="s">
        <v>72</v>
      </c>
      <c r="C17" s="27">
        <f>AVERAGE(D12:H13)</f>
        <v>5.4526666666666668E-2</v>
      </c>
    </row>
    <row r="18" spans="2:3" s="4" customFormat="1" ht="13.5" customHeight="1" x14ac:dyDescent="0.25">
      <c r="B18" s="4" t="s">
        <v>73</v>
      </c>
      <c r="C18" s="28">
        <f>C16/C17</f>
        <v>7526592.4929698007</v>
      </c>
    </row>
  </sheetData>
  <mergeCells count="22">
    <mergeCell ref="D4:H4"/>
    <mergeCell ref="B6:B7"/>
    <mergeCell ref="C6:C7"/>
    <mergeCell ref="D6:D7"/>
    <mergeCell ref="E6:E7"/>
    <mergeCell ref="F6:F7"/>
    <mergeCell ref="G6:G7"/>
    <mergeCell ref="H6:H7"/>
    <mergeCell ref="H9:H10"/>
    <mergeCell ref="B12:B13"/>
    <mergeCell ref="C12:C13"/>
    <mergeCell ref="D12:D13"/>
    <mergeCell ref="E12:E13"/>
    <mergeCell ref="F12:F13"/>
    <mergeCell ref="G12:G13"/>
    <mergeCell ref="H12:H13"/>
    <mergeCell ref="B9:B10"/>
    <mergeCell ref="C9:C10"/>
    <mergeCell ref="D9:D10"/>
    <mergeCell ref="E9:E10"/>
    <mergeCell ref="F9:F10"/>
    <mergeCell ref="G9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Pr 10-1</vt:lpstr>
      <vt:lpstr>Pr 10-2</vt:lpstr>
      <vt:lpstr>PR 10-3</vt:lpstr>
      <vt:lpstr>Pr 10-4</vt:lpstr>
      <vt:lpstr>Pr 10-5</vt:lpstr>
      <vt:lpstr>Pr 10-6</vt:lpstr>
      <vt:lpstr>Pr 10-7</vt:lpstr>
      <vt:lpstr>Pr 10-8</vt:lpstr>
    </vt:vector>
  </TitlesOfParts>
  <Company>HiBu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jonom</dc:creator>
  <cp:lastModifiedBy>Helbæk Morten</cp:lastModifiedBy>
  <dcterms:created xsi:type="dcterms:W3CDTF">2013-05-20T15:02:37Z</dcterms:created>
  <dcterms:modified xsi:type="dcterms:W3CDTF">2013-06-10T08:55:15Z</dcterms:modified>
</cp:coreProperties>
</file>