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ok_Finansmod_Excel\Engelsk_bok\Manus_Routledge\Spreadsheet\"/>
    </mc:Choice>
  </mc:AlternateContent>
  <bookViews>
    <workbookView xWindow="0" yWindow="0" windowWidth="21540" windowHeight="8505" tabRatio="901"/>
  </bookViews>
  <sheets>
    <sheet name="Pr 12-1" sheetId="8" r:id="rId1"/>
    <sheet name="Pr 12-2" sheetId="34" r:id="rId2"/>
    <sheet name="Pr 12-3" sheetId="25" r:id="rId3"/>
    <sheet name="Pr 12-4" sheetId="33" r:id="rId4"/>
    <sheet name="Pr 12-5" sheetId="35" r:id="rId5"/>
    <sheet name="Pr 12-6" sheetId="36" r:id="rId6"/>
    <sheet name="Pr 12-7" sheetId="37" r:id="rId7"/>
    <sheet name="Pr 12-8" sheetId="38" r:id="rId8"/>
    <sheet name="Pr 12-9" sheetId="39" r:id="rId9"/>
    <sheet name="Pr 12-10" sheetId="40" r:id="rId10"/>
  </sheets>
  <externalReferences>
    <externalReference r:id="rId11"/>
  </externalReferences>
  <definedNames>
    <definedName name="d_1">'[1]Løsn kap 5'!$E$164</definedName>
    <definedName name="d_2">'[1]Løsn kap 5'!$E$165</definedName>
    <definedName name="rente">'[1]Løsn kap 5'!$B$166</definedName>
    <definedName name="S">'[1]Løsn kap 5'!$B$164</definedName>
    <definedName name="sigma">'[1]Løsn kap 5'!$B$167</definedName>
    <definedName name="T">'[1]Løsn kap 5'!$B$168</definedName>
    <definedName name="X">'[1]Løsn kap 5'!$B$165</definedName>
  </definedNames>
  <calcPr calcId="152511" iterate="1"/>
</workbook>
</file>

<file path=xl/calcChain.xml><?xml version="1.0" encoding="utf-8"?>
<calcChain xmlns="http://schemas.openxmlformats.org/spreadsheetml/2006/main">
  <c r="B14" i="25" l="1"/>
  <c r="B60" i="35" l="1"/>
  <c r="B56" i="35"/>
  <c r="G51" i="35"/>
  <c r="F51" i="35"/>
  <c r="C51" i="35"/>
  <c r="G49" i="35"/>
  <c r="F49" i="35"/>
  <c r="E49" i="35"/>
  <c r="D49" i="35"/>
  <c r="C49" i="35"/>
  <c r="G39" i="35"/>
  <c r="F39" i="35"/>
  <c r="F25" i="35" s="1"/>
  <c r="E39" i="35"/>
  <c r="E25" i="35" s="1"/>
  <c r="E51" i="35" s="1"/>
  <c r="D39" i="35"/>
  <c r="D25" i="35" s="1"/>
  <c r="D51" i="35" s="1"/>
  <c r="C39" i="35"/>
  <c r="G25" i="35"/>
  <c r="C25" i="35"/>
  <c r="B7" i="35"/>
  <c r="E22" i="35" s="1"/>
  <c r="B5" i="35"/>
  <c r="B4" i="35"/>
  <c r="G21" i="35"/>
  <c r="F21" i="35"/>
  <c r="E21" i="35"/>
  <c r="D21" i="35"/>
  <c r="D45" i="35" s="1"/>
  <c r="C21" i="35"/>
  <c r="C45" i="35" s="1"/>
  <c r="D20" i="35"/>
  <c r="C20" i="35"/>
  <c r="E19" i="35"/>
  <c r="C19" i="35"/>
  <c r="C18" i="35"/>
  <c r="D18" i="35" s="1"/>
  <c r="E18" i="35" s="1"/>
  <c r="F18" i="35" s="1"/>
  <c r="G18" i="35" s="1"/>
  <c r="G20" i="35" s="1"/>
  <c r="F22" i="35" l="1"/>
  <c r="C22" i="35"/>
  <c r="C23" i="35" s="1"/>
  <c r="F19" i="35"/>
  <c r="E20" i="35"/>
  <c r="E23" i="35"/>
  <c r="D22" i="35"/>
  <c r="D19" i="35"/>
  <c r="E45" i="35"/>
  <c r="G45" i="35"/>
  <c r="D23" i="35"/>
  <c r="G22" i="35"/>
  <c r="G19" i="35"/>
  <c r="G23" i="35" s="1"/>
  <c r="F20" i="35"/>
  <c r="F23" i="35" s="1"/>
  <c r="F45" i="35"/>
  <c r="B10" i="40"/>
  <c r="B9" i="40"/>
  <c r="B20" i="39"/>
  <c r="B15" i="39"/>
  <c r="B14" i="39"/>
  <c r="B13" i="39"/>
  <c r="B28" i="38"/>
  <c r="B22" i="38"/>
  <c r="B24" i="38" s="1"/>
  <c r="B14" i="38"/>
  <c r="B13" i="38"/>
  <c r="B29" i="37"/>
  <c r="B19" i="37"/>
  <c r="B21" i="37" s="1"/>
  <c r="B14" i="37"/>
  <c r="B13" i="37"/>
  <c r="B12" i="37"/>
  <c r="B15" i="37" s="1"/>
  <c r="B25" i="36"/>
  <c r="B13" i="36"/>
  <c r="B14" i="36"/>
  <c r="B24" i="36" s="1"/>
  <c r="B12" i="36"/>
  <c r="B11" i="36"/>
  <c r="B11" i="35"/>
  <c r="B10" i="35"/>
  <c r="B9" i="35"/>
  <c r="B8" i="35"/>
  <c r="G40" i="35" l="1"/>
  <c r="C40" i="35"/>
  <c r="C48" i="35" s="1"/>
  <c r="D40" i="35"/>
  <c r="D48" i="35" s="1"/>
  <c r="F40" i="35"/>
  <c r="F48" i="35" s="1"/>
  <c r="E40" i="35"/>
  <c r="B18" i="38"/>
  <c r="E35" i="35"/>
  <c r="F35" i="35"/>
  <c r="G47" i="35" s="1"/>
  <c r="D35" i="35"/>
  <c r="G35" i="35"/>
  <c r="C35" i="35"/>
  <c r="F34" i="35"/>
  <c r="G46" i="35" s="1"/>
  <c r="G34" i="35"/>
  <c r="E34" i="35"/>
  <c r="D34" i="35"/>
  <c r="E46" i="35" s="1"/>
  <c r="C34" i="35"/>
  <c r="B20" i="37"/>
  <c r="C20" i="37" s="1"/>
  <c r="C19" i="37"/>
  <c r="B22" i="37"/>
  <c r="B23" i="37" s="1"/>
  <c r="B25" i="37" s="1"/>
  <c r="B27" i="37" s="1"/>
  <c r="B30" i="37" s="1"/>
  <c r="B31" i="37" s="1"/>
  <c r="B26" i="36"/>
  <c r="B28" i="36" s="1"/>
  <c r="B15" i="36"/>
  <c r="B11" i="40"/>
  <c r="B12" i="40" s="1"/>
  <c r="B22" i="39"/>
  <c r="B16" i="39"/>
  <c r="B17" i="39" s="1"/>
  <c r="C28" i="38"/>
  <c r="C21" i="37"/>
  <c r="B16" i="36"/>
  <c r="B20" i="36" s="1"/>
  <c r="D46" i="35" l="1"/>
  <c r="C46" i="35"/>
  <c r="D47" i="35"/>
  <c r="C47" i="35"/>
  <c r="F47" i="35"/>
  <c r="F46" i="35"/>
  <c r="E47" i="35"/>
  <c r="E48" i="35"/>
  <c r="G48" i="35"/>
  <c r="C22" i="37"/>
  <c r="B21" i="36"/>
  <c r="B7" i="33" l="1"/>
  <c r="B9" i="34"/>
  <c r="B10" i="34" s="1"/>
  <c r="E14" i="8"/>
  <c r="E15" i="8"/>
  <c r="F15" i="8" s="1"/>
  <c r="E16" i="8"/>
  <c r="E17" i="8"/>
  <c r="F17" i="8" s="1"/>
  <c r="E18" i="8"/>
  <c r="D10" i="25"/>
  <c r="E10" i="25"/>
  <c r="F10" i="25" s="1"/>
  <c r="G10" i="25" s="1"/>
  <c r="H10" i="25" s="1"/>
  <c r="I10" i="25" s="1"/>
  <c r="J10" i="25" s="1"/>
  <c r="B12" i="25" s="1"/>
  <c r="C10" i="25"/>
  <c r="B10" i="25"/>
  <c r="F18" i="8" l="1"/>
  <c r="F16" i="8"/>
  <c r="B24" i="8" l="1"/>
  <c r="E13" i="8"/>
  <c r="F14" i="8" s="1"/>
  <c r="E12" i="8"/>
  <c r="E11" i="8"/>
  <c r="E10" i="8"/>
  <c r="E9" i="8"/>
  <c r="E8" i="8"/>
  <c r="E7" i="8"/>
  <c r="E6" i="8"/>
  <c r="E5" i="8"/>
  <c r="E4" i="8"/>
  <c r="F11" i="8" l="1"/>
  <c r="F12" i="8"/>
  <c r="F5" i="8"/>
  <c r="F21" i="8" s="1"/>
  <c r="F22" i="8" s="1"/>
  <c r="F6" i="8"/>
  <c r="F7" i="8"/>
  <c r="F10" i="8"/>
  <c r="F9" i="8"/>
  <c r="F8" i="8"/>
  <c r="F13" i="8"/>
  <c r="B12" i="38" l="1"/>
  <c r="C24" i="38" l="1"/>
  <c r="B16" i="38"/>
  <c r="C24" i="35" l="1"/>
  <c r="D24" i="35"/>
  <c r="E24" i="35"/>
  <c r="F24" i="35"/>
  <c r="G24" i="35"/>
  <c r="C26" i="35"/>
  <c r="D26" i="35"/>
  <c r="E26" i="35"/>
  <c r="F26" i="35"/>
  <c r="G26" i="35"/>
  <c r="C27" i="35"/>
  <c r="D27" i="35"/>
  <c r="E27" i="35"/>
  <c r="F27" i="35"/>
  <c r="G27" i="35"/>
  <c r="C28" i="35"/>
  <c r="D28" i="35"/>
  <c r="E28" i="35"/>
  <c r="F28" i="35"/>
  <c r="G28" i="35"/>
  <c r="C29" i="35"/>
  <c r="D29" i="35"/>
  <c r="E29" i="35"/>
  <c r="F29" i="35"/>
  <c r="G29" i="35"/>
  <c r="C30" i="35"/>
  <c r="D30" i="35"/>
  <c r="E30" i="35"/>
  <c r="F30" i="35"/>
  <c r="G30" i="35"/>
  <c r="C36" i="35"/>
  <c r="D36" i="35"/>
  <c r="E36" i="35"/>
  <c r="F36" i="35"/>
  <c r="G36" i="35"/>
  <c r="C38" i="35"/>
  <c r="D38" i="35"/>
  <c r="E38" i="35"/>
  <c r="F38" i="35"/>
  <c r="G38" i="35"/>
  <c r="C44" i="35"/>
  <c r="D44" i="35"/>
  <c r="E44" i="35"/>
  <c r="F44" i="35"/>
  <c r="G44" i="35"/>
  <c r="C50" i="35"/>
  <c r="D50" i="35"/>
  <c r="E50" i="35"/>
  <c r="F50" i="35"/>
  <c r="G50" i="35"/>
  <c r="C52" i="35"/>
  <c r="D52" i="35"/>
  <c r="E52" i="35"/>
  <c r="F52" i="35"/>
  <c r="G52" i="35"/>
  <c r="G53" i="35"/>
  <c r="C54" i="35"/>
  <c r="D54" i="35"/>
  <c r="E54" i="35"/>
  <c r="F54" i="35"/>
  <c r="G54" i="35"/>
  <c r="B59" i="35"/>
  <c r="B61" i="35"/>
</calcChain>
</file>

<file path=xl/sharedStrings.xml><?xml version="1.0" encoding="utf-8"?>
<sst xmlns="http://schemas.openxmlformats.org/spreadsheetml/2006/main" count="221" uniqueCount="184">
  <si>
    <t xml:space="preserve"> . . . </t>
  </si>
  <si>
    <t>Year</t>
  </si>
  <si>
    <t>Dividend</t>
  </si>
  <si>
    <t>Share buy back</t>
  </si>
  <si>
    <t>New share issue</t>
  </si>
  <si>
    <t>Cash flow out of company</t>
  </si>
  <si>
    <t>End of year 15:</t>
  </si>
  <si>
    <t>Share price</t>
  </si>
  <si>
    <t>No of shares</t>
  </si>
  <si>
    <t>Equity</t>
  </si>
  <si>
    <r>
      <t xml:space="preserve">Estimated growth factor, </t>
    </r>
    <r>
      <rPr>
        <i/>
        <sz val="11"/>
        <color theme="1"/>
        <rFont val="Calibri"/>
        <family val="2"/>
        <scheme val="minor"/>
      </rPr>
      <t>g</t>
    </r>
  </si>
  <si>
    <t>Return on equity</t>
  </si>
  <si>
    <r>
      <t xml:space="preserve"> (</t>
    </r>
    <r>
      <rPr>
        <i/>
        <sz val="11"/>
        <color theme="1"/>
        <rFont val="Calibri"/>
        <family val="2"/>
        <scheme val="minor"/>
      </rPr>
      <t>r</t>
    </r>
    <r>
      <rPr>
        <i/>
        <vertAlign val="subscript"/>
        <sz val="11"/>
        <color theme="1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 xml:space="preserve">= </t>
    </r>
    <r>
      <rPr>
        <i/>
        <sz val="11"/>
        <color theme="1"/>
        <rFont val="Calibri"/>
        <family val="2"/>
        <scheme val="minor"/>
      </rPr>
      <t>DIV(1+g)</t>
    </r>
    <r>
      <rPr>
        <sz val="11"/>
        <color theme="1"/>
        <rFont val="Calibri"/>
        <family val="2"/>
        <scheme val="minor"/>
      </rPr>
      <t>/</t>
    </r>
    <r>
      <rPr>
        <i/>
        <sz val="11"/>
        <color theme="1"/>
        <rFont val="Calibri"/>
        <family val="2"/>
        <scheme val="minor"/>
      </rPr>
      <t>P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+ </t>
    </r>
    <r>
      <rPr>
        <i/>
        <sz val="11"/>
        <color theme="1"/>
        <rFont val="Calibri"/>
        <family val="2"/>
        <scheme val="minor"/>
      </rPr>
      <t>g</t>
    </r>
    <r>
      <rPr>
        <sz val="11"/>
        <color theme="1"/>
        <rFont val="Calibri"/>
        <family val="2"/>
        <scheme val="minor"/>
      </rPr>
      <t>)</t>
    </r>
  </si>
  <si>
    <t xml:space="preserve">Dividend </t>
  </si>
  <si>
    <t>Growth in dividend from year 5</t>
  </si>
  <si>
    <t>Cost of equity</t>
  </si>
  <si>
    <t>Market price = Net Present Value</t>
  </si>
  <si>
    <t>Net profit</t>
  </si>
  <si>
    <t xml:space="preserve">Net profit </t>
  </si>
  <si>
    <t>Growth year 4 - 7</t>
  </si>
  <si>
    <t>Growth  after year 7</t>
  </si>
  <si>
    <t>Price</t>
  </si>
  <si>
    <t>Fair value = Net Present Value</t>
  </si>
  <si>
    <r>
      <t xml:space="preserve"> </t>
    </r>
    <r>
      <rPr>
        <sz val="11"/>
        <color theme="1"/>
        <rFont val="Calibri"/>
        <family val="2"/>
      </rPr>
      <t>↑  Net Present Value of all future cash flows (Terminal Value)</t>
    </r>
  </si>
  <si>
    <t>No. of years with constant dividend</t>
  </si>
  <si>
    <t xml:space="preserve">Growth in dividend </t>
  </si>
  <si>
    <t>Growth rate</t>
  </si>
  <si>
    <t>Solution</t>
  </si>
  <si>
    <t>Risk free rate</t>
  </si>
  <si>
    <t>Risk premium</t>
  </si>
  <si>
    <t>Long term assets</t>
  </si>
  <si>
    <t>Accounts receivable</t>
  </si>
  <si>
    <t>Bank deposits</t>
  </si>
  <si>
    <t>Long term debt</t>
  </si>
  <si>
    <t>Short term debt</t>
  </si>
  <si>
    <t>Sales</t>
  </si>
  <si>
    <t>Cost of goods sold</t>
  </si>
  <si>
    <t>Selling, adminstrative costs</t>
  </si>
  <si>
    <t>Depreciation</t>
  </si>
  <si>
    <t>Other costs</t>
  </si>
  <si>
    <t>Interest income</t>
  </si>
  <si>
    <t>Interest costs</t>
  </si>
  <si>
    <t>Operating income</t>
  </si>
  <si>
    <t>Sales growth (given)</t>
  </si>
  <si>
    <t>Cost of goods sold/Sales</t>
  </si>
  <si>
    <t>Wages/Sales</t>
  </si>
  <si>
    <t>Depreciation (given)</t>
  </si>
  <si>
    <t>Other costs/sales</t>
  </si>
  <si>
    <t>Accounts receivable/sales</t>
  </si>
  <si>
    <t>Inventory/sales</t>
  </si>
  <si>
    <t>Short term debt/sales</t>
  </si>
  <si>
    <t>Long term assets/sales</t>
  </si>
  <si>
    <t>Deposit rate (given)</t>
  </si>
  <si>
    <t>Long term borrowing rate (given)</t>
  </si>
  <si>
    <t>Tax rate (given)</t>
  </si>
  <si>
    <t>Goods (Inventory)</t>
  </si>
  <si>
    <t>Retention rate</t>
  </si>
  <si>
    <t>Return on market portfolio</t>
  </si>
  <si>
    <t>Stock beta</t>
  </si>
  <si>
    <t>a)</t>
  </si>
  <si>
    <t>Value of stock (DDM)</t>
  </si>
  <si>
    <t>&lt;= =B7+B6*(B5-B7)</t>
  </si>
  <si>
    <t>Retained earnings</t>
  </si>
  <si>
    <t>Pay out rate</t>
  </si>
  <si>
    <t>Nest year's dividend</t>
  </si>
  <si>
    <t>&lt;==B4*B3</t>
  </si>
  <si>
    <t>&lt;==B2*B3</t>
  </si>
  <si>
    <t>&lt;==1-B3</t>
  </si>
  <si>
    <t>&lt;==B4*(1+B14)*B15</t>
  </si>
  <si>
    <t>b) Price earning</t>
  </si>
  <si>
    <t>Trailing</t>
  </si>
  <si>
    <t>Leading</t>
  </si>
  <si>
    <t>Growth falls to</t>
  </si>
  <si>
    <t>Dividend increases to</t>
  </si>
  <si>
    <t>Earnings year 0</t>
  </si>
  <si>
    <t>Stock price</t>
  </si>
  <si>
    <t>Divident growth first 3 years</t>
  </si>
  <si>
    <t>Divident growth after year 3</t>
  </si>
  <si>
    <t>Current dividend</t>
  </si>
  <si>
    <t>a) Cost of equity</t>
  </si>
  <si>
    <t>Beta</t>
  </si>
  <si>
    <t>Fair price end of year 3</t>
  </si>
  <si>
    <t>&lt;==B23/(B15-B4); next year's divendend, year 4 divided by (cost of equity minus growth rate)'</t>
  </si>
  <si>
    <t>Present value of stock</t>
  </si>
  <si>
    <t>&lt;= =B25/(1+B15)^3; today's value of stock discounted at the cost of equity</t>
  </si>
  <si>
    <t>Current market price</t>
  </si>
  <si>
    <t>Fair value</t>
  </si>
  <si>
    <t>Difference</t>
  </si>
  <si>
    <t>The stock is overpriced, you should avoid owning it or short it.</t>
  </si>
  <si>
    <t>Present value of dividend</t>
  </si>
  <si>
    <t>b) Fair value</t>
  </si>
  <si>
    <t xml:space="preserve">Earning per share </t>
  </si>
  <si>
    <t>Current share price</t>
  </si>
  <si>
    <t xml:space="preserve">Growth </t>
  </si>
  <si>
    <t xml:space="preserve">Risk free rate </t>
  </si>
  <si>
    <t>Solution:</t>
  </si>
  <si>
    <t>Book value per share</t>
  </si>
  <si>
    <t>&lt;=B6/B4</t>
  </si>
  <si>
    <t>&lt;=B4/B3</t>
  </si>
  <si>
    <t>Expected market return</t>
  </si>
  <si>
    <t>Equity beta</t>
  </si>
  <si>
    <t>Price/Book</t>
  </si>
  <si>
    <t>&lt; =B13*B12*(1+B5)/(B14-B5)</t>
  </si>
  <si>
    <t>&lt;=B7+B9*(B8-B7)</t>
  </si>
  <si>
    <t>or easier</t>
  </si>
  <si>
    <t>Pay-out ratio (1-b)</t>
  </si>
  <si>
    <t>Return on equity (ROE)</t>
  </si>
  <si>
    <t>(here g = b*ROE)</t>
  </si>
  <si>
    <t>Reurn on equity</t>
  </si>
  <si>
    <t>Market price/book value</t>
  </si>
  <si>
    <t>&lt;=B2/B3</t>
  </si>
  <si>
    <t>Solving for ROE</t>
  </si>
  <si>
    <t>ROE</t>
  </si>
  <si>
    <t>or easy approach</t>
  </si>
  <si>
    <t>For goal seek</t>
  </si>
  <si>
    <t>&lt;=(E13-B5)/(B14 -B5)</t>
  </si>
  <si>
    <t>Sales per share</t>
  </si>
  <si>
    <t>Dividend pay out ratio</t>
  </si>
  <si>
    <t>Profit margin</t>
  </si>
  <si>
    <t>Price /sales ratio</t>
  </si>
  <si>
    <t>Price based on P/S</t>
  </si>
  <si>
    <t>P/S ratio to defend current market price</t>
  </si>
  <si>
    <t>Necessary profit margin</t>
  </si>
  <si>
    <t>Market price of stock</t>
  </si>
  <si>
    <t>Growth in dividend</t>
  </si>
  <si>
    <t>Pay-put ratio</t>
  </si>
  <si>
    <t>Required rate of return</t>
  </si>
  <si>
    <t>&lt; =(1-B9)*B10</t>
  </si>
  <si>
    <t>&lt;=(B6*(1+B11)/B3)+B11</t>
  </si>
  <si>
    <t>&lt;=B5/B4</t>
  </si>
  <si>
    <t>&lt;=B6/B5</t>
  </si>
  <si>
    <t xml:space="preserve">Earnings per share </t>
  </si>
  <si>
    <t>Growth cash flow to owners</t>
  </si>
  <si>
    <t>&lt;=AVERAGE(F5:F18)</t>
  </si>
  <si>
    <t>&lt;=E18*(1+F21)/B24+F21</t>
  </si>
  <si>
    <t>&lt;=B22*B23</t>
  </si>
  <si>
    <t>Balance  sheet (in '000 kr)</t>
  </si>
  <si>
    <t>Profit and loss projections (in '000)</t>
  </si>
  <si>
    <t>Pre-tax profit</t>
  </si>
  <si>
    <t>Tax</t>
  </si>
  <si>
    <t>Retained profit</t>
  </si>
  <si>
    <t>Cash flow projections</t>
  </si>
  <si>
    <t>Add depreciation</t>
  </si>
  <si>
    <t>Change in inventory</t>
  </si>
  <si>
    <t>Change in accounts receivable</t>
  </si>
  <si>
    <t>Change in short term debt</t>
  </si>
  <si>
    <t>Change in long term assets</t>
  </si>
  <si>
    <t>Adjusting interest rate income</t>
  </si>
  <si>
    <t>Adjusting interest rate costs</t>
  </si>
  <si>
    <t>Net cash flow</t>
  </si>
  <si>
    <t>Sale of company</t>
  </si>
  <si>
    <t>Net cash flow after sale</t>
  </si>
  <si>
    <t>Annual growth</t>
  </si>
  <si>
    <t>Cost of capital</t>
  </si>
  <si>
    <t>Present value of cash flows</t>
  </si>
  <si>
    <t>Debt</t>
  </si>
  <si>
    <t>Net Asset Value</t>
  </si>
  <si>
    <t xml:space="preserve">Yearly dividend in % of net profit </t>
  </si>
  <si>
    <t>&lt;=B17/B4</t>
  </si>
  <si>
    <t>&lt;=B17/(B4*(1+B14))</t>
  </si>
  <si>
    <t>&lt;=B2*(1-B3)</t>
  </si>
  <si>
    <t>&lt;=((B4*(1+B26))*B25)</t>
  </si>
  <si>
    <t>&lt;=B27/(B11-B26)</t>
  </si>
  <si>
    <t>&lt;=B8</t>
  </si>
  <si>
    <t>&lt;=B7</t>
  </si>
  <si>
    <t>&lt;=B6-B8</t>
  </si>
  <si>
    <t>&lt;=B12+B13*(B14)</t>
  </si>
  <si>
    <t>&lt;=B19/(1+$B$15)^A19</t>
  </si>
  <si>
    <t>&lt;=B20/(1+$B$15)^A20</t>
  </si>
  <si>
    <t>&lt;=B21/(1+$B$15)^A21</t>
  </si>
  <si>
    <t>&lt;=B22/(1+$B$15)^A22</t>
  </si>
  <si>
    <t>c) Pay out ratio increased</t>
  </si>
  <si>
    <t>Value of stock increases because retained equity returns less (12%) than the cost of equity (14%)</t>
  </si>
  <si>
    <t>Problem 12.1</t>
  </si>
  <si>
    <t>Problem 12.10</t>
  </si>
  <si>
    <t>Problem 12.2</t>
  </si>
  <si>
    <t>Problem 12.3</t>
  </si>
  <si>
    <t>Problem 12.4</t>
  </si>
  <si>
    <t>Problem 12.5</t>
  </si>
  <si>
    <t>Problem 12.6</t>
  </si>
  <si>
    <t>Problem 12.7</t>
  </si>
  <si>
    <t>Problem 12.8</t>
  </si>
  <si>
    <t>Problem 12.9</t>
  </si>
  <si>
    <t>IRR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</si>
</sst>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3" formatCode="_ * #,##0.00_ ;_ * \-#,##0.00_ ;_ * &quot;-&quot;??_ ;_ @_ "/>
    <numFmt numFmtId="164" formatCode="0.0\ %"/>
    <numFmt numFmtId="165" formatCode="#,##0.000000"/>
    <numFmt numFmtId="166" formatCode="#,##0_ ;[Red]\-#,##0\ "/>
    <numFmt numFmtId="167" formatCode="#,##0.00000"/>
    <numFmt numFmtId="168" formatCode="#,##0.00_ ;[Red]\-#,##0.00\ "/>
    <numFmt numFmtId="169" formatCode="#,##0.000_ ;[Red]\-#,##0.000\ "/>
    <numFmt numFmtId="170" formatCode="0.000"/>
    <numFmt numFmtId="171" formatCode="#,##0.0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i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i/>
      <vertAlign val="subscript"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0" fontId="2" fillId="0" borderId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</cellStyleXfs>
  <cellXfs count="56">
    <xf numFmtId="0" fontId="0" fillId="0" borderId="0" xfId="0"/>
    <xf numFmtId="0" fontId="0" fillId="0" borderId="0" xfId="0" applyAlignment="1">
      <alignment horizontal="center"/>
    </xf>
    <xf numFmtId="3" fontId="0" fillId="0" borderId="0" xfId="0" applyNumberFormat="1"/>
    <xf numFmtId="0" fontId="5" fillId="0" borderId="0" xfId="0" applyFont="1"/>
    <xf numFmtId="164" fontId="0" fillId="0" borderId="0" xfId="8" applyNumberFormat="1" applyFont="1"/>
    <xf numFmtId="164" fontId="0" fillId="0" borderId="0" xfId="0" applyNumberFormat="1"/>
    <xf numFmtId="10" fontId="0" fillId="0" borderId="0" xfId="0" applyNumberFormat="1"/>
    <xf numFmtId="0" fontId="6" fillId="0" borderId="0" xfId="0" applyFont="1" applyAlignment="1">
      <alignment horizontal="center" wrapText="1"/>
    </xf>
    <xf numFmtId="0" fontId="6" fillId="0" borderId="0" xfId="0" applyFont="1" applyAlignment="1">
      <alignment horizontal="center"/>
    </xf>
    <xf numFmtId="9" fontId="0" fillId="0" borderId="0" xfId="8" applyFont="1"/>
    <xf numFmtId="0" fontId="0" fillId="0" borderId="0" xfId="0" applyAlignment="1">
      <alignment horizontal="center"/>
    </xf>
    <xf numFmtId="0" fontId="0" fillId="2" borderId="3" xfId="0" applyFill="1" applyBorder="1"/>
    <xf numFmtId="9" fontId="0" fillId="2" borderId="3" xfId="8" applyFont="1" applyFill="1" applyBorder="1"/>
    <xf numFmtId="10" fontId="0" fillId="2" borderId="3" xfId="8" applyNumberFormat="1" applyFont="1" applyFill="1" applyBorder="1"/>
    <xf numFmtId="2" fontId="0" fillId="0" borderId="0" xfId="0" applyNumberFormat="1"/>
    <xf numFmtId="168" fontId="0" fillId="0" borderId="0" xfId="0" applyNumberFormat="1"/>
    <xf numFmtId="169" fontId="0" fillId="0" borderId="0" xfId="0" applyNumberFormat="1"/>
    <xf numFmtId="0" fontId="0" fillId="0" borderId="0" xfId="0" applyAlignment="1">
      <alignment horizontal="center"/>
    </xf>
    <xf numFmtId="10" fontId="5" fillId="0" borderId="0" xfId="0" applyNumberFormat="1" applyFont="1"/>
    <xf numFmtId="9" fontId="0" fillId="0" borderId="0" xfId="0" applyNumberFormat="1"/>
    <xf numFmtId="0" fontId="0" fillId="0" borderId="0" xfId="0" quotePrefix="1"/>
    <xf numFmtId="170" fontId="0" fillId="0" borderId="0" xfId="0" applyNumberFormat="1"/>
    <xf numFmtId="171" fontId="0" fillId="0" borderId="0" xfId="0" applyNumberFormat="1"/>
    <xf numFmtId="4" fontId="0" fillId="0" borderId="0" xfId="0" applyNumberFormat="1"/>
    <xf numFmtId="2" fontId="5" fillId="0" borderId="0" xfId="0" applyNumberFormat="1" applyFont="1"/>
    <xf numFmtId="0" fontId="0" fillId="0" borderId="0" xfId="0"/>
    <xf numFmtId="0" fontId="0" fillId="0" borderId="0" xfId="0" applyAlignment="1">
      <alignment horizontal="center"/>
    </xf>
    <xf numFmtId="3" fontId="0" fillId="0" borderId="0" xfId="0" applyNumberFormat="1"/>
    <xf numFmtId="0" fontId="5" fillId="0" borderId="0" xfId="0" applyFont="1"/>
    <xf numFmtId="164" fontId="0" fillId="0" borderId="0" xfId="8" applyNumberFormat="1" applyFont="1"/>
    <xf numFmtId="10" fontId="0" fillId="0" borderId="0" xfId="8" applyNumberFormat="1" applyFont="1"/>
    <xf numFmtId="164" fontId="0" fillId="0" borderId="0" xfId="0" applyNumberFormat="1"/>
    <xf numFmtId="10" fontId="0" fillId="0" borderId="0" xfId="0" applyNumberFormat="1"/>
    <xf numFmtId="0" fontId="0" fillId="0" borderId="2" xfId="0" applyBorder="1"/>
    <xf numFmtId="0" fontId="0" fillId="0" borderId="0" xfId="0" applyFill="1" applyBorder="1"/>
    <xf numFmtId="9" fontId="0" fillId="0" borderId="0" xfId="8" applyFont="1"/>
    <xf numFmtId="0" fontId="0" fillId="0" borderId="0" xfId="0" applyBorder="1"/>
    <xf numFmtId="3" fontId="0" fillId="0" borderId="1" xfId="0" applyNumberFormat="1" applyBorder="1"/>
    <xf numFmtId="3" fontId="0" fillId="0" borderId="2" xfId="0" applyNumberFormat="1" applyBorder="1"/>
    <xf numFmtId="165" fontId="0" fillId="0" borderId="0" xfId="0" applyNumberFormat="1"/>
    <xf numFmtId="3" fontId="0" fillId="0" borderId="0" xfId="0" applyNumberFormat="1" applyBorder="1"/>
    <xf numFmtId="0" fontId="5" fillId="0" borderId="0" xfId="0" applyFont="1" applyAlignment="1">
      <alignment horizontal="center"/>
    </xf>
    <xf numFmtId="9" fontId="0" fillId="0" borderId="0" xfId="8" applyFont="1" applyAlignment="1">
      <alignment horizontal="left"/>
    </xf>
    <xf numFmtId="3" fontId="9" fillId="0" borderId="0" xfId="0" applyNumberFormat="1" applyFont="1" applyAlignment="1">
      <alignment horizontal="left"/>
    </xf>
    <xf numFmtId="3" fontId="5" fillId="0" borderId="0" xfId="0" applyNumberFormat="1" applyFont="1"/>
    <xf numFmtId="166" fontId="0" fillId="0" borderId="0" xfId="0" applyNumberFormat="1"/>
    <xf numFmtId="166" fontId="5" fillId="0" borderId="0" xfId="0" applyNumberFormat="1" applyFont="1"/>
    <xf numFmtId="167" fontId="0" fillId="0" borderId="0" xfId="0" applyNumberFormat="1"/>
    <xf numFmtId="2" fontId="0" fillId="0" borderId="0" xfId="0" applyNumberFormat="1"/>
    <xf numFmtId="10" fontId="5" fillId="0" borderId="0" xfId="0" applyNumberFormat="1" applyFont="1"/>
    <xf numFmtId="43" fontId="0" fillId="0" borderId="0" xfId="9" applyFont="1"/>
    <xf numFmtId="2" fontId="0" fillId="0" borderId="0" xfId="0" quotePrefix="1" applyNumberFormat="1"/>
    <xf numFmtId="10" fontId="5" fillId="0" borderId="0" xfId="8" applyNumberFormat="1" applyFont="1"/>
    <xf numFmtId="164" fontId="5" fillId="0" borderId="0" xfId="8" applyNumberFormat="1" applyFont="1"/>
    <xf numFmtId="0" fontId="0" fillId="0" borderId="0" xfId="0" applyAlignment="1">
      <alignment horizontal="center"/>
    </xf>
    <xf numFmtId="1" fontId="5" fillId="0" borderId="0" xfId="0" applyNumberFormat="1" applyFont="1"/>
  </cellXfs>
  <cellStyles count="12">
    <cellStyle name="Komma" xfId="9" builtinId="3"/>
    <cellStyle name="Normal" xfId="0" builtinId="0"/>
    <cellStyle name="Normal 2" xfId="1"/>
    <cellStyle name="Normal 2 2" xfId="4"/>
    <cellStyle name="Normal 3" xfId="6"/>
    <cellStyle name="Normal 3 2" xfId="10"/>
    <cellStyle name="Prosent" xfId="8" builtinId="5"/>
    <cellStyle name="Prosent 2" xfId="2"/>
    <cellStyle name="Prosent 2 2" xfId="5"/>
    <cellStyle name="Prosent 3" xfId="7"/>
    <cellStyle name="Prosent 3 2" xfId="11"/>
    <cellStyle name="Tusenskille 2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200025</xdr:colOff>
      <xdr:row>10</xdr:row>
      <xdr:rowOff>171450</xdr:rowOff>
    </xdr:from>
    <xdr:to>
      <xdr:col>10</xdr:col>
      <xdr:colOff>485511</xdr:colOff>
      <xdr:row>18</xdr:row>
      <xdr:rowOff>95069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43525" y="2076450"/>
          <a:ext cx="2114286" cy="1447619"/>
        </a:xfrm>
        <a:prstGeom prst="rect">
          <a:avLst/>
        </a:prstGeom>
      </xdr:spPr>
    </xdr:pic>
    <xdr:clientData/>
  </xdr:twoCellAnchor>
  <xdr:twoCellAnchor editAs="oneCell">
    <xdr:from>
      <xdr:col>3</xdr:col>
      <xdr:colOff>28575</xdr:colOff>
      <xdr:row>29</xdr:row>
      <xdr:rowOff>114300</xdr:rowOff>
    </xdr:from>
    <xdr:to>
      <xdr:col>6</xdr:col>
      <xdr:colOff>333108</xdr:colOff>
      <xdr:row>37</xdr:row>
      <xdr:rowOff>114110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33675" y="5638800"/>
          <a:ext cx="2133333" cy="152381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Bok_finansmodeller_221206/Regneark/LosningerPaaOppgaver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øsn kap 1"/>
      <sheetName val="Løsn kap 2"/>
      <sheetName val="Løsn kap 3"/>
      <sheetName val="Løsn kap 4"/>
      <sheetName val="Løsn kap 5"/>
    </sheetNames>
    <sheetDataSet>
      <sheetData sheetId="0" refreshError="1"/>
      <sheetData sheetId="1" refreshError="1"/>
      <sheetData sheetId="2" refreshError="1"/>
      <sheetData sheetId="3" refreshError="1"/>
      <sheetData sheetId="4">
        <row r="164">
          <cell r="B164">
            <v>100</v>
          </cell>
          <cell r="E164">
            <v>0.15833333333333335</v>
          </cell>
        </row>
        <row r="165">
          <cell r="B165">
            <v>100</v>
          </cell>
          <cell r="E165">
            <v>8.3333333333333592E-3</v>
          </cell>
        </row>
        <row r="166">
          <cell r="B166">
            <v>0.05</v>
          </cell>
        </row>
        <row r="167">
          <cell r="B167">
            <v>0.3</v>
          </cell>
        </row>
        <row r="168">
          <cell r="B168">
            <v>0.25</v>
          </cell>
        </row>
      </sheetData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tabSelected="1" zoomScaleNormal="100" workbookViewId="0">
      <selection activeCell="A2" sqref="A2"/>
    </sheetView>
  </sheetViews>
  <sheetFormatPr baseColWidth="10" defaultColWidth="11.42578125" defaultRowHeight="15" x14ac:dyDescent="0.25"/>
  <cols>
    <col min="1" max="1" width="12.5703125" customWidth="1"/>
    <col min="2" max="2" width="10.140625" customWidth="1"/>
    <col min="3" max="3" width="13.140625" customWidth="1"/>
    <col min="4" max="4" width="12.5703125" customWidth="1"/>
    <col min="5" max="5" width="15.7109375" customWidth="1"/>
    <col min="6" max="6" width="11.7109375" customWidth="1"/>
  </cols>
  <sheetData>
    <row r="1" spans="1:13" x14ac:dyDescent="0.25">
      <c r="A1" s="3" t="s">
        <v>173</v>
      </c>
    </row>
    <row r="2" spans="1:13" ht="15" customHeight="1" x14ac:dyDescent="0.25"/>
    <row r="3" spans="1:13" ht="39" x14ac:dyDescent="0.25">
      <c r="A3" s="8" t="s">
        <v>1</v>
      </c>
      <c r="B3" s="7" t="s">
        <v>2</v>
      </c>
      <c r="C3" s="7" t="s">
        <v>3</v>
      </c>
      <c r="D3" s="7" t="s">
        <v>4</v>
      </c>
      <c r="E3" s="7" t="s">
        <v>5</v>
      </c>
      <c r="F3" s="7" t="s">
        <v>132</v>
      </c>
      <c r="H3" s="8"/>
      <c r="I3" s="7"/>
      <c r="J3" s="7"/>
      <c r="K3" s="7"/>
      <c r="L3" s="7"/>
      <c r="M3" s="7"/>
    </row>
    <row r="4" spans="1:13" x14ac:dyDescent="0.25">
      <c r="A4" s="1">
        <v>1</v>
      </c>
      <c r="B4" s="2">
        <v>8000</v>
      </c>
      <c r="C4" s="2">
        <v>3000</v>
      </c>
      <c r="D4" s="2">
        <v>2000</v>
      </c>
      <c r="E4" s="2">
        <f>B4+C4-D4</f>
        <v>9000</v>
      </c>
      <c r="H4" s="17"/>
      <c r="I4" s="2"/>
      <c r="J4" s="2"/>
      <c r="K4" s="2"/>
      <c r="L4" s="2"/>
    </row>
    <row r="5" spans="1:13" x14ac:dyDescent="0.25">
      <c r="A5" s="1">
        <v>2</v>
      </c>
      <c r="B5" s="2">
        <v>8000</v>
      </c>
      <c r="C5" s="2">
        <v>3000</v>
      </c>
      <c r="D5" s="2">
        <v>1000</v>
      </c>
      <c r="E5" s="2">
        <f t="shared" ref="E5:E13" si="0">B5+C5-D5</f>
        <v>10000</v>
      </c>
      <c r="F5" s="4">
        <f>E5/E4-1</f>
        <v>0.11111111111111116</v>
      </c>
      <c r="H5" s="17"/>
      <c r="I5" s="2"/>
      <c r="J5" s="2"/>
      <c r="K5" s="2"/>
      <c r="L5" s="2"/>
      <c r="M5" s="4"/>
    </row>
    <row r="6" spans="1:13" x14ac:dyDescent="0.25">
      <c r="A6" s="17">
        <v>3</v>
      </c>
      <c r="B6" s="2">
        <v>8000</v>
      </c>
      <c r="C6" s="2">
        <v>1000</v>
      </c>
      <c r="D6" s="2"/>
      <c r="E6" s="2">
        <f t="shared" si="0"/>
        <v>9000</v>
      </c>
      <c r="F6" s="4">
        <f t="shared" ref="F6:F13" si="1">E6/E5-1</f>
        <v>-9.9999999999999978E-2</v>
      </c>
      <c r="H6" s="17"/>
      <c r="I6" s="2"/>
      <c r="J6" s="2"/>
      <c r="K6" s="2"/>
      <c r="L6" s="2"/>
      <c r="M6" s="4"/>
    </row>
    <row r="7" spans="1:13" x14ac:dyDescent="0.25">
      <c r="A7" s="17">
        <v>4</v>
      </c>
      <c r="B7" s="2">
        <v>9000</v>
      </c>
      <c r="C7" s="2"/>
      <c r="D7" s="2"/>
      <c r="E7" s="2">
        <f t="shared" si="0"/>
        <v>9000</v>
      </c>
      <c r="F7" s="4">
        <f t="shared" si="1"/>
        <v>0</v>
      </c>
      <c r="H7" s="17"/>
      <c r="I7" s="2"/>
      <c r="J7" s="2"/>
      <c r="K7" s="2"/>
      <c r="L7" s="2"/>
      <c r="M7" s="4"/>
    </row>
    <row r="8" spans="1:13" x14ac:dyDescent="0.25">
      <c r="A8" s="17">
        <v>5</v>
      </c>
      <c r="B8" s="2">
        <v>10000</v>
      </c>
      <c r="C8" s="2">
        <v>2500</v>
      </c>
      <c r="D8" s="2">
        <v>3000</v>
      </c>
      <c r="E8" s="2">
        <f t="shared" si="0"/>
        <v>9500</v>
      </c>
      <c r="F8" s="4">
        <f t="shared" si="1"/>
        <v>5.555555555555558E-2</v>
      </c>
      <c r="H8" s="17"/>
      <c r="I8" s="2"/>
      <c r="J8" s="2"/>
      <c r="K8" s="2"/>
      <c r="L8" s="2"/>
      <c r="M8" s="4"/>
    </row>
    <row r="9" spans="1:13" x14ac:dyDescent="0.25">
      <c r="A9" s="17">
        <v>6</v>
      </c>
      <c r="B9" s="2">
        <v>10000</v>
      </c>
      <c r="C9" s="2">
        <v>1500</v>
      </c>
      <c r="D9" s="2">
        <v>1500</v>
      </c>
      <c r="E9" s="2">
        <f t="shared" si="0"/>
        <v>10000</v>
      </c>
      <c r="F9" s="4">
        <f t="shared" si="1"/>
        <v>5.2631578947368363E-2</v>
      </c>
      <c r="H9" s="17"/>
      <c r="I9" s="2"/>
      <c r="J9" s="2"/>
      <c r="K9" s="2"/>
      <c r="L9" s="2"/>
      <c r="M9" s="4"/>
    </row>
    <row r="10" spans="1:13" x14ac:dyDescent="0.25">
      <c r="A10" s="17">
        <v>7</v>
      </c>
      <c r="B10" s="2">
        <v>10000</v>
      </c>
      <c r="C10" s="2">
        <v>500</v>
      </c>
      <c r="D10" s="2"/>
      <c r="E10" s="2">
        <f t="shared" si="0"/>
        <v>10500</v>
      </c>
      <c r="F10" s="4">
        <f t="shared" si="1"/>
        <v>5.0000000000000044E-2</v>
      </c>
      <c r="H10" s="17"/>
      <c r="I10" s="2"/>
      <c r="J10" s="2"/>
      <c r="K10" s="2"/>
      <c r="L10" s="2"/>
      <c r="M10" s="4"/>
    </row>
    <row r="11" spans="1:13" x14ac:dyDescent="0.25">
      <c r="A11" s="17">
        <v>8</v>
      </c>
      <c r="B11" s="2">
        <v>10000</v>
      </c>
      <c r="C11" s="2">
        <v>1700</v>
      </c>
      <c r="D11" s="2">
        <v>500</v>
      </c>
      <c r="E11" s="2">
        <f t="shared" si="0"/>
        <v>11200</v>
      </c>
      <c r="F11" s="4">
        <f t="shared" si="1"/>
        <v>6.6666666666666652E-2</v>
      </c>
      <c r="H11" s="17"/>
      <c r="I11" s="2"/>
      <c r="J11" s="2"/>
      <c r="K11" s="2"/>
      <c r="L11" s="2"/>
      <c r="M11" s="4"/>
    </row>
    <row r="12" spans="1:13" x14ac:dyDescent="0.25">
      <c r="A12" s="17">
        <v>9</v>
      </c>
      <c r="B12" s="2">
        <v>10000</v>
      </c>
      <c r="C12" s="2">
        <v>2000</v>
      </c>
      <c r="D12" s="2">
        <v>500</v>
      </c>
      <c r="E12" s="2">
        <f t="shared" si="0"/>
        <v>11500</v>
      </c>
      <c r="F12" s="4">
        <f t="shared" si="1"/>
        <v>2.6785714285714191E-2</v>
      </c>
      <c r="H12" s="17"/>
      <c r="I12" s="2"/>
      <c r="J12" s="2"/>
      <c r="K12" s="2"/>
      <c r="L12" s="2"/>
      <c r="M12" s="4"/>
    </row>
    <row r="13" spans="1:13" x14ac:dyDescent="0.25">
      <c r="A13" s="17">
        <v>10</v>
      </c>
      <c r="B13" s="2">
        <v>10000</v>
      </c>
      <c r="C13" s="2">
        <v>1500</v>
      </c>
      <c r="D13" s="2"/>
      <c r="E13" s="2">
        <f t="shared" si="0"/>
        <v>11500</v>
      </c>
      <c r="F13" s="4">
        <f t="shared" si="1"/>
        <v>0</v>
      </c>
      <c r="H13" s="17"/>
      <c r="I13" s="2"/>
      <c r="J13" s="2"/>
      <c r="K13" s="2"/>
      <c r="L13" s="2"/>
      <c r="M13" s="4"/>
    </row>
    <row r="14" spans="1:13" x14ac:dyDescent="0.25">
      <c r="A14" s="17">
        <v>11</v>
      </c>
      <c r="B14" s="2">
        <v>11000</v>
      </c>
      <c r="C14" s="2">
        <v>1000</v>
      </c>
      <c r="E14" s="2">
        <f t="shared" ref="E14:E18" si="2">B14+C14-D14</f>
        <v>12000</v>
      </c>
      <c r="F14" s="4">
        <f t="shared" ref="F14:F18" si="3">E14/E13-1</f>
        <v>4.3478260869565188E-2</v>
      </c>
    </row>
    <row r="15" spans="1:13" x14ac:dyDescent="0.25">
      <c r="A15" s="17">
        <v>12</v>
      </c>
      <c r="B15" s="2">
        <v>11000</v>
      </c>
      <c r="C15" s="2">
        <v>3000</v>
      </c>
      <c r="D15">
        <v>1500</v>
      </c>
      <c r="E15" s="2">
        <f t="shared" si="2"/>
        <v>12500</v>
      </c>
      <c r="F15" s="4">
        <f t="shared" si="3"/>
        <v>4.1666666666666741E-2</v>
      </c>
    </row>
    <row r="16" spans="1:13" x14ac:dyDescent="0.25">
      <c r="A16" s="17">
        <v>13</v>
      </c>
      <c r="B16" s="2">
        <v>12000</v>
      </c>
      <c r="C16" s="2">
        <v>1500</v>
      </c>
      <c r="D16" s="2">
        <v>500</v>
      </c>
      <c r="E16" s="2">
        <f t="shared" si="2"/>
        <v>13000</v>
      </c>
      <c r="F16" s="4">
        <f t="shared" si="3"/>
        <v>4.0000000000000036E-2</v>
      </c>
      <c r="H16" s="3"/>
      <c r="K16" s="54"/>
      <c r="L16" s="54"/>
      <c r="M16" s="5"/>
    </row>
    <row r="17" spans="1:13" x14ac:dyDescent="0.25">
      <c r="A17" s="17">
        <v>14</v>
      </c>
      <c r="B17" s="2">
        <v>12000</v>
      </c>
      <c r="C17" s="2">
        <v>3000</v>
      </c>
      <c r="D17" s="2">
        <v>1500</v>
      </c>
      <c r="E17" s="2">
        <f t="shared" si="2"/>
        <v>13500</v>
      </c>
      <c r="F17" s="4">
        <f t="shared" si="3"/>
        <v>3.8461538461538547E-2</v>
      </c>
      <c r="K17" s="54"/>
      <c r="L17" s="54"/>
      <c r="M17" s="6"/>
    </row>
    <row r="18" spans="1:13" x14ac:dyDescent="0.25">
      <c r="A18" s="17">
        <v>15</v>
      </c>
      <c r="B18" s="2">
        <v>12000</v>
      </c>
      <c r="C18" s="2">
        <v>3000</v>
      </c>
      <c r="D18" s="2">
        <v>500</v>
      </c>
      <c r="E18" s="2">
        <f t="shared" si="2"/>
        <v>14500</v>
      </c>
      <c r="F18" s="4">
        <f t="shared" si="3"/>
        <v>7.4074074074074181E-2</v>
      </c>
      <c r="I18" s="2"/>
      <c r="K18" s="54"/>
      <c r="L18" s="54"/>
    </row>
    <row r="19" spans="1:13" x14ac:dyDescent="0.25">
      <c r="I19" s="2"/>
    </row>
    <row r="21" spans="1:13" x14ac:dyDescent="0.25">
      <c r="A21" s="3" t="s">
        <v>6</v>
      </c>
      <c r="D21" s="17" t="s">
        <v>10</v>
      </c>
      <c r="E21" s="17"/>
      <c r="F21" s="5">
        <f>AVERAGE(F5:F18)</f>
        <v>3.5745083331304335E-2</v>
      </c>
      <c r="G21" s="20" t="s">
        <v>133</v>
      </c>
    </row>
    <row r="22" spans="1:13" x14ac:dyDescent="0.25">
      <c r="A22" t="s">
        <v>7</v>
      </c>
      <c r="B22">
        <v>35</v>
      </c>
      <c r="D22" s="17" t="s">
        <v>11</v>
      </c>
      <c r="E22" s="17"/>
      <c r="F22" s="18">
        <f>E18*(1+F21)/B24+F21</f>
        <v>5.3765173691871532E-2</v>
      </c>
      <c r="G22" s="20" t="s">
        <v>134</v>
      </c>
    </row>
    <row r="23" spans="1:13" ht="18" x14ac:dyDescent="0.35">
      <c r="A23" t="s">
        <v>8</v>
      </c>
      <c r="B23" s="2">
        <v>23812</v>
      </c>
      <c r="D23" s="17" t="s">
        <v>12</v>
      </c>
      <c r="E23" s="17"/>
    </row>
    <row r="24" spans="1:13" x14ac:dyDescent="0.25">
      <c r="A24" t="s">
        <v>9</v>
      </c>
      <c r="B24" s="2">
        <f>B22*B23</f>
        <v>833420</v>
      </c>
      <c r="C24" s="20" t="s">
        <v>135</v>
      </c>
    </row>
  </sheetData>
  <mergeCells count="3">
    <mergeCell ref="K16:L16"/>
    <mergeCell ref="K17:L17"/>
    <mergeCell ref="K18:L18"/>
  </mergeCells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A2" sqref="A2"/>
    </sheetView>
  </sheetViews>
  <sheetFormatPr baseColWidth="10" defaultColWidth="9.140625" defaultRowHeight="15" x14ac:dyDescent="0.25"/>
  <cols>
    <col min="1" max="1" width="22.28515625" bestFit="1" customWidth="1"/>
  </cols>
  <sheetData>
    <row r="1" spans="1:3" x14ac:dyDescent="0.25">
      <c r="A1" s="28" t="s">
        <v>174</v>
      </c>
    </row>
    <row r="3" spans="1:3" x14ac:dyDescent="0.25">
      <c r="A3" s="25" t="s">
        <v>123</v>
      </c>
      <c r="B3" s="25">
        <v>60</v>
      </c>
    </row>
    <row r="4" spans="1:3" s="25" customFormat="1" x14ac:dyDescent="0.25">
      <c r="A4" s="25" t="s">
        <v>96</v>
      </c>
      <c r="B4" s="25">
        <v>40</v>
      </c>
    </row>
    <row r="5" spans="1:3" x14ac:dyDescent="0.25">
      <c r="A5" s="25" t="s">
        <v>131</v>
      </c>
      <c r="B5" s="25">
        <v>6</v>
      </c>
    </row>
    <row r="6" spans="1:3" x14ac:dyDescent="0.25">
      <c r="A6" s="25" t="s">
        <v>2</v>
      </c>
      <c r="B6" s="25">
        <v>3</v>
      </c>
    </row>
    <row r="7" spans="1:3" x14ac:dyDescent="0.25">
      <c r="A7" s="25"/>
      <c r="B7" s="32"/>
    </row>
    <row r="8" spans="1:3" x14ac:dyDescent="0.25">
      <c r="A8" s="28" t="s">
        <v>27</v>
      </c>
      <c r="B8" s="25"/>
    </row>
    <row r="9" spans="1:3" s="25" customFormat="1" x14ac:dyDescent="0.25">
      <c r="A9" s="28" t="s">
        <v>125</v>
      </c>
      <c r="B9" s="25">
        <f>B6/B5</f>
        <v>0.5</v>
      </c>
      <c r="C9" s="20" t="s">
        <v>130</v>
      </c>
    </row>
    <row r="10" spans="1:3" x14ac:dyDescent="0.25">
      <c r="A10" t="s">
        <v>11</v>
      </c>
      <c r="B10" s="29">
        <f>B5/B4</f>
        <v>0.15</v>
      </c>
      <c r="C10" s="20" t="s">
        <v>129</v>
      </c>
    </row>
    <row r="11" spans="1:3" x14ac:dyDescent="0.25">
      <c r="A11" t="s">
        <v>124</v>
      </c>
      <c r="B11" s="29">
        <f>(1-B9)*B10</f>
        <v>7.4999999999999997E-2</v>
      </c>
      <c r="C11" s="20" t="s">
        <v>127</v>
      </c>
    </row>
    <row r="12" spans="1:3" x14ac:dyDescent="0.25">
      <c r="A12" s="28" t="s">
        <v>126</v>
      </c>
      <c r="B12" s="53">
        <f>(B6*(1+B11)/B3)+B11</f>
        <v>0.12874999999999998</v>
      </c>
      <c r="C12" s="20" t="s">
        <v>128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B1" sqref="B1"/>
    </sheetView>
  </sheetViews>
  <sheetFormatPr baseColWidth="10" defaultColWidth="9.140625" defaultRowHeight="15" x14ac:dyDescent="0.25"/>
  <cols>
    <col min="1" max="1" width="33" bestFit="1" customWidth="1"/>
  </cols>
  <sheetData>
    <row r="1" spans="1:2" s="25" customFormat="1" x14ac:dyDescent="0.25">
      <c r="A1" s="28" t="s">
        <v>175</v>
      </c>
    </row>
    <row r="2" spans="1:2" x14ac:dyDescent="0.25">
      <c r="A2" t="s">
        <v>13</v>
      </c>
      <c r="B2" s="11">
        <v>80</v>
      </c>
    </row>
    <row r="3" spans="1:2" x14ac:dyDescent="0.25">
      <c r="A3" t="s">
        <v>24</v>
      </c>
      <c r="B3" s="11">
        <v>5</v>
      </c>
    </row>
    <row r="4" spans="1:2" x14ac:dyDescent="0.25">
      <c r="A4" t="s">
        <v>14</v>
      </c>
      <c r="B4" s="12">
        <v>0.04</v>
      </c>
    </row>
    <row r="5" spans="1:2" x14ac:dyDescent="0.25">
      <c r="A5" t="s">
        <v>7</v>
      </c>
      <c r="B5" s="11">
        <v>600</v>
      </c>
    </row>
    <row r="7" spans="1:2" x14ac:dyDescent="0.25">
      <c r="A7" t="s">
        <v>15</v>
      </c>
      <c r="B7" s="13">
        <v>0.13</v>
      </c>
    </row>
    <row r="9" spans="1:2" x14ac:dyDescent="0.25">
      <c r="A9" t="s">
        <v>16</v>
      </c>
      <c r="B9" s="14">
        <f>B2*(((1+B7)^(B3-1)-1)/(B7*(1+B7)^(B3-1))+(1/(1+B7)^(B3-1))*(1/(B7-B4)))</f>
        <v>783.12990842512863</v>
      </c>
    </row>
    <row r="10" spans="1:2" x14ac:dyDescent="0.25">
      <c r="A10" t="s">
        <v>18</v>
      </c>
      <c r="B10" s="14">
        <f>-B5+B9</f>
        <v>183.12990842512863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>
      <selection activeCell="A2" sqref="A2"/>
    </sheetView>
  </sheetViews>
  <sheetFormatPr baseColWidth="10" defaultColWidth="11.42578125" defaultRowHeight="15" x14ac:dyDescent="0.25"/>
  <cols>
    <col min="1" max="1" width="27.85546875" bestFit="1" customWidth="1"/>
    <col min="2" max="2" width="14.140625" customWidth="1"/>
    <col min="3" max="21" width="7.7109375" customWidth="1"/>
  </cols>
  <sheetData>
    <row r="1" spans="1:11" x14ac:dyDescent="0.25">
      <c r="A1" s="28" t="s">
        <v>176</v>
      </c>
    </row>
    <row r="3" spans="1:11" x14ac:dyDescent="0.25">
      <c r="A3" t="s">
        <v>2</v>
      </c>
      <c r="B3">
        <v>250</v>
      </c>
    </row>
    <row r="4" spans="1:11" x14ac:dyDescent="0.25">
      <c r="A4" t="s">
        <v>19</v>
      </c>
      <c r="B4" s="9">
        <v>7.0000000000000007E-2</v>
      </c>
    </row>
    <row r="5" spans="1:11" x14ac:dyDescent="0.25">
      <c r="A5" t="s">
        <v>20</v>
      </c>
      <c r="B5" s="9">
        <v>0.05</v>
      </c>
    </row>
    <row r="6" spans="1:11" x14ac:dyDescent="0.25">
      <c r="A6" t="s">
        <v>21</v>
      </c>
      <c r="B6" s="2">
        <v>2200</v>
      </c>
    </row>
    <row r="7" spans="1:11" x14ac:dyDescent="0.25">
      <c r="A7" t="s">
        <v>15</v>
      </c>
      <c r="B7" s="4">
        <v>0.15</v>
      </c>
    </row>
    <row r="9" spans="1:11" x14ac:dyDescent="0.25">
      <c r="A9" t="s">
        <v>1</v>
      </c>
      <c r="B9">
        <v>0</v>
      </c>
      <c r="C9">
        <v>1</v>
      </c>
      <c r="D9">
        <v>2</v>
      </c>
      <c r="E9">
        <v>3</v>
      </c>
      <c r="F9">
        <v>4</v>
      </c>
      <c r="G9">
        <v>5</v>
      </c>
      <c r="H9">
        <v>6</v>
      </c>
      <c r="I9">
        <v>7</v>
      </c>
      <c r="J9">
        <v>8</v>
      </c>
      <c r="K9" s="10" t="s">
        <v>0</v>
      </c>
    </row>
    <row r="10" spans="1:11" x14ac:dyDescent="0.25">
      <c r="B10" s="2">
        <f>-B6</f>
        <v>-2200</v>
      </c>
      <c r="C10">
        <f>$B$3</f>
        <v>250</v>
      </c>
      <c r="D10">
        <f t="shared" ref="D10:E10" si="0">$B$3</f>
        <v>250</v>
      </c>
      <c r="E10">
        <f t="shared" si="0"/>
        <v>250</v>
      </c>
      <c r="F10">
        <f>E10*(1+$B$4)</f>
        <v>267.5</v>
      </c>
      <c r="G10">
        <f t="shared" ref="G10:I10" si="1">F10*(1+$B$4)</f>
        <v>286.22500000000002</v>
      </c>
      <c r="H10">
        <f t="shared" si="1"/>
        <v>306.26075000000003</v>
      </c>
      <c r="I10">
        <f t="shared" si="1"/>
        <v>327.69900250000006</v>
      </c>
      <c r="J10">
        <f>I10*(1+$B$5)+(I10*(1+$B$5)^2)/($B$7-$B$5)</f>
        <v>3956.9654551875014</v>
      </c>
    </row>
    <row r="11" spans="1:11" x14ac:dyDescent="0.25">
      <c r="J11" t="s">
        <v>23</v>
      </c>
    </row>
    <row r="12" spans="1:11" x14ac:dyDescent="0.25">
      <c r="A12" t="s">
        <v>22</v>
      </c>
      <c r="B12" s="15">
        <f>NPV($B$7,C10:J10)</f>
        <v>2415.1928766408819</v>
      </c>
    </row>
    <row r="14" spans="1:11" x14ac:dyDescent="0.25">
      <c r="A14" t="s">
        <v>183</v>
      </c>
      <c r="B14" s="30">
        <f>IRR(B10:J10)</f>
        <v>0.16828283885302175</v>
      </c>
    </row>
    <row r="16" spans="1:11" x14ac:dyDescent="0.25">
      <c r="B16" s="16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A2" sqref="A2"/>
    </sheetView>
  </sheetViews>
  <sheetFormatPr baseColWidth="10" defaultColWidth="11.42578125" defaultRowHeight="15" x14ac:dyDescent="0.25"/>
  <cols>
    <col min="1" max="1" width="33" bestFit="1" customWidth="1"/>
  </cols>
  <sheetData>
    <row r="1" spans="1:3" x14ac:dyDescent="0.25">
      <c r="A1" s="28" t="s">
        <v>177</v>
      </c>
    </row>
    <row r="3" spans="1:3" x14ac:dyDescent="0.25">
      <c r="A3" t="s">
        <v>13</v>
      </c>
      <c r="B3" s="11">
        <v>2</v>
      </c>
    </row>
    <row r="4" spans="1:3" x14ac:dyDescent="0.25">
      <c r="A4" t="s">
        <v>25</v>
      </c>
      <c r="B4" s="12">
        <v>0.04</v>
      </c>
    </row>
    <row r="5" spans="1:3" x14ac:dyDescent="0.25">
      <c r="A5" t="s">
        <v>7</v>
      </c>
      <c r="B5" s="11">
        <v>20</v>
      </c>
    </row>
    <row r="7" spans="1:3" x14ac:dyDescent="0.25">
      <c r="A7" t="s">
        <v>15</v>
      </c>
      <c r="B7" s="13">
        <f>((B3/B5) + B4)</f>
        <v>0.14000000000000001</v>
      </c>
    </row>
    <row r="9" spans="1:3" x14ac:dyDescent="0.25">
      <c r="B9" s="14"/>
    </row>
    <row r="10" spans="1:3" x14ac:dyDescent="0.25">
      <c r="B10" s="14"/>
    </row>
    <row r="15" spans="1:3" x14ac:dyDescent="0.25">
      <c r="C15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6"/>
  <sheetViews>
    <sheetView workbookViewId="0">
      <selection activeCell="A2" sqref="A2"/>
    </sheetView>
  </sheetViews>
  <sheetFormatPr baseColWidth="10" defaultColWidth="9.140625" defaultRowHeight="15" x14ac:dyDescent="0.25"/>
  <cols>
    <col min="1" max="1" width="87.85546875" bestFit="1" customWidth="1"/>
  </cols>
  <sheetData>
    <row r="1" spans="1:6" x14ac:dyDescent="0.25">
      <c r="A1" s="28" t="s">
        <v>178</v>
      </c>
      <c r="B1" s="25"/>
      <c r="C1" s="25"/>
      <c r="D1" s="25"/>
      <c r="E1" s="25"/>
      <c r="F1" s="25"/>
    </row>
    <row r="2" spans="1:6" x14ac:dyDescent="0.25">
      <c r="A2" s="25"/>
      <c r="B2" s="25"/>
      <c r="C2" s="25"/>
      <c r="D2" s="25"/>
      <c r="E2" s="28"/>
      <c r="F2" s="25"/>
    </row>
    <row r="3" spans="1:6" x14ac:dyDescent="0.25">
      <c r="A3" s="25" t="s">
        <v>43</v>
      </c>
      <c r="B3" s="35">
        <v>0.1</v>
      </c>
      <c r="C3" s="25"/>
      <c r="D3" s="25"/>
      <c r="E3" s="25"/>
    </row>
    <row r="4" spans="1:6" x14ac:dyDescent="0.25">
      <c r="A4" s="25" t="s">
        <v>44</v>
      </c>
      <c r="B4" s="35">
        <f>-B19/B18</f>
        <v>0.42755276668568171</v>
      </c>
      <c r="C4" s="25"/>
      <c r="D4" s="25"/>
      <c r="E4" s="25"/>
    </row>
    <row r="5" spans="1:6" x14ac:dyDescent="0.25">
      <c r="A5" s="25" t="s">
        <v>45</v>
      </c>
      <c r="B5" s="35">
        <f>-B20/B18</f>
        <v>0.27880775812892183</v>
      </c>
      <c r="C5" s="25"/>
      <c r="D5" s="25"/>
      <c r="E5" s="25"/>
    </row>
    <row r="6" spans="1:6" x14ac:dyDescent="0.25">
      <c r="A6" s="25" t="s">
        <v>46</v>
      </c>
      <c r="B6" s="19">
        <v>0.2</v>
      </c>
      <c r="C6" s="25"/>
      <c r="D6" s="42"/>
      <c r="E6" s="25"/>
    </row>
    <row r="7" spans="1:6" x14ac:dyDescent="0.25">
      <c r="A7" s="36" t="s">
        <v>47</v>
      </c>
      <c r="B7" s="35">
        <f>-B22/B18</f>
        <v>0.16928123217341701</v>
      </c>
      <c r="C7" s="25"/>
      <c r="D7" s="25"/>
      <c r="E7" s="25"/>
    </row>
    <row r="8" spans="1:6" x14ac:dyDescent="0.25">
      <c r="A8" s="25" t="s">
        <v>48</v>
      </c>
      <c r="B8" s="35">
        <f>B35/B18</f>
        <v>0.18839132915002851</v>
      </c>
      <c r="C8" s="25"/>
      <c r="D8" s="36"/>
      <c r="E8" s="36"/>
    </row>
    <row r="9" spans="1:6" x14ac:dyDescent="0.25">
      <c r="A9" s="25" t="s">
        <v>49</v>
      </c>
      <c r="B9" s="35">
        <f>B34/B18</f>
        <v>0.11109526525955504</v>
      </c>
      <c r="C9" s="25"/>
      <c r="D9" s="36"/>
      <c r="E9" s="36"/>
    </row>
    <row r="10" spans="1:6" x14ac:dyDescent="0.25">
      <c r="A10" s="25" t="s">
        <v>50</v>
      </c>
      <c r="B10" s="35">
        <f>B40/B18</f>
        <v>0.26996577296063889</v>
      </c>
      <c r="C10" s="25"/>
      <c r="D10" s="36"/>
      <c r="E10" s="36"/>
    </row>
    <row r="11" spans="1:6" x14ac:dyDescent="0.25">
      <c r="A11" s="25" t="s">
        <v>51</v>
      </c>
      <c r="B11" s="35">
        <f>B39/B18</f>
        <v>0.32087849401026813</v>
      </c>
      <c r="C11" s="25"/>
      <c r="D11" s="36"/>
      <c r="E11" s="36"/>
    </row>
    <row r="12" spans="1:6" x14ac:dyDescent="0.25">
      <c r="A12" s="25" t="s">
        <v>52</v>
      </c>
      <c r="B12" s="29">
        <v>4.4999999999999998E-2</v>
      </c>
      <c r="C12" s="25"/>
      <c r="D12" s="36"/>
      <c r="E12" s="36"/>
    </row>
    <row r="13" spans="1:6" x14ac:dyDescent="0.25">
      <c r="A13" s="25" t="s">
        <v>53</v>
      </c>
      <c r="B13" s="29">
        <v>8.5000000000000006E-2</v>
      </c>
      <c r="C13" s="25"/>
      <c r="D13" s="36"/>
      <c r="E13" s="36"/>
    </row>
    <row r="14" spans="1:6" x14ac:dyDescent="0.25">
      <c r="A14" s="25" t="s">
        <v>54</v>
      </c>
      <c r="B14" s="35">
        <v>0.28000000000000003</v>
      </c>
      <c r="C14" s="25"/>
      <c r="D14" s="34"/>
      <c r="E14" s="36"/>
    </row>
    <row r="15" spans="1:6" x14ac:dyDescent="0.25">
      <c r="A15" s="25" t="s">
        <v>157</v>
      </c>
      <c r="B15" s="35">
        <v>0.05</v>
      </c>
      <c r="C15" s="25"/>
      <c r="D15" s="36"/>
      <c r="E15" s="36"/>
    </row>
    <row r="16" spans="1:6" x14ac:dyDescent="0.25">
      <c r="A16" s="25"/>
      <c r="B16" s="25"/>
      <c r="C16" s="25"/>
      <c r="D16" s="25"/>
      <c r="E16" s="36"/>
      <c r="F16" s="36"/>
    </row>
    <row r="17" spans="1:15" x14ac:dyDescent="0.25">
      <c r="A17" s="28" t="s">
        <v>137</v>
      </c>
      <c r="B17" s="41">
        <v>1</v>
      </c>
      <c r="C17" s="41">
        <v>2</v>
      </c>
      <c r="D17" s="41">
        <v>3</v>
      </c>
      <c r="E17" s="41">
        <v>4</v>
      </c>
      <c r="F17" s="41">
        <v>5</v>
      </c>
      <c r="G17" s="41">
        <v>6</v>
      </c>
      <c r="H17" s="41"/>
      <c r="I17" s="41"/>
      <c r="J17" s="25"/>
      <c r="K17" s="25"/>
      <c r="L17" s="25"/>
      <c r="M17" s="25"/>
      <c r="N17" s="25"/>
      <c r="O17" s="25"/>
    </row>
    <row r="18" spans="1:15" x14ac:dyDescent="0.25">
      <c r="A18" t="s">
        <v>35</v>
      </c>
      <c r="B18" s="27">
        <v>7012</v>
      </c>
      <c r="C18" s="27">
        <f>B18*(1+$B$3)</f>
        <v>7713.2000000000007</v>
      </c>
      <c r="D18" s="27">
        <f t="shared" ref="D18:G18" si="0">C18*(1+$B$3)</f>
        <v>8484.5200000000023</v>
      </c>
      <c r="E18" s="27">
        <f t="shared" si="0"/>
        <v>9332.9720000000034</v>
      </c>
      <c r="F18" s="27">
        <f t="shared" si="0"/>
        <v>10266.269200000004</v>
      </c>
      <c r="G18" s="27">
        <f t="shared" si="0"/>
        <v>11292.896120000005</v>
      </c>
      <c r="H18" s="25"/>
      <c r="I18" s="27"/>
      <c r="J18" s="27"/>
      <c r="K18" s="27"/>
      <c r="L18" s="27"/>
      <c r="M18" s="27"/>
      <c r="N18" s="27"/>
      <c r="O18" s="27"/>
    </row>
    <row r="19" spans="1:15" x14ac:dyDescent="0.25">
      <c r="A19" t="s">
        <v>36</v>
      </c>
      <c r="B19" s="27">
        <v>-2998</v>
      </c>
      <c r="C19" s="27">
        <f>-$B$4*C18</f>
        <v>-3297.8000000000006</v>
      </c>
      <c r="D19" s="27">
        <f t="shared" ref="D19:G19" si="1">-$B$4*D18</f>
        <v>-3627.5800000000013</v>
      </c>
      <c r="E19" s="27">
        <f t="shared" si="1"/>
        <v>-3990.3380000000016</v>
      </c>
      <c r="F19" s="27">
        <f t="shared" si="1"/>
        <v>-4389.3718000000017</v>
      </c>
      <c r="G19" s="27">
        <f t="shared" si="1"/>
        <v>-4828.3089800000025</v>
      </c>
      <c r="H19" s="25"/>
      <c r="I19" s="27"/>
      <c r="J19" s="27"/>
      <c r="K19" s="27"/>
      <c r="L19" s="27"/>
      <c r="M19" s="27"/>
      <c r="N19" s="27"/>
      <c r="O19" s="25"/>
    </row>
    <row r="20" spans="1:15" x14ac:dyDescent="0.25">
      <c r="A20" t="s">
        <v>37</v>
      </c>
      <c r="B20" s="27">
        <v>-1955</v>
      </c>
      <c r="C20" s="27">
        <f>-$B$5*C18</f>
        <v>-2150.5</v>
      </c>
      <c r="D20" s="27">
        <f t="shared" ref="D20:G20" si="2">-$B$5*D18</f>
        <v>-2365.5500000000006</v>
      </c>
      <c r="E20" s="27">
        <f t="shared" si="2"/>
        <v>-2602.1050000000009</v>
      </c>
      <c r="F20" s="27">
        <f t="shared" si="2"/>
        <v>-2862.3155000000011</v>
      </c>
      <c r="G20" s="27">
        <f t="shared" si="2"/>
        <v>-3148.547050000001</v>
      </c>
      <c r="H20" s="25"/>
      <c r="I20" s="27"/>
      <c r="J20" s="27"/>
      <c r="K20" s="27"/>
      <c r="L20" s="27"/>
      <c r="M20" s="27"/>
      <c r="N20" s="27"/>
      <c r="O20" s="25"/>
    </row>
    <row r="21" spans="1:15" x14ac:dyDescent="0.25">
      <c r="A21" t="s">
        <v>38</v>
      </c>
      <c r="B21" s="27">
        <v>-540</v>
      </c>
      <c r="C21" s="27">
        <f>-$B$6*B33</f>
        <v>-537.4</v>
      </c>
      <c r="D21" s="27">
        <f t="shared" ref="D21:G21" si="3">-$B$6*C33</f>
        <v>-591.1400000000001</v>
      </c>
      <c r="E21" s="27">
        <f t="shared" si="3"/>
        <v>-650.25400000000025</v>
      </c>
      <c r="F21" s="27">
        <f t="shared" si="3"/>
        <v>-715.27940000000035</v>
      </c>
      <c r="G21" s="27">
        <f t="shared" si="3"/>
        <v>-786.80734000000029</v>
      </c>
      <c r="H21" s="25"/>
      <c r="I21" s="27"/>
      <c r="J21" s="27"/>
      <c r="K21" s="27"/>
      <c r="L21" s="27"/>
      <c r="M21" s="27"/>
      <c r="N21" s="27"/>
      <c r="O21" s="25"/>
    </row>
    <row r="22" spans="1:15" x14ac:dyDescent="0.25">
      <c r="A22" t="s">
        <v>39</v>
      </c>
      <c r="B22" s="37">
        <v>-1187</v>
      </c>
      <c r="C22" s="37">
        <f>-$B$7*C18</f>
        <v>-1305.7000000000003</v>
      </c>
      <c r="D22" s="37">
        <f t="shared" ref="D22:G22" si="4">-$B$7*D18</f>
        <v>-1436.2700000000004</v>
      </c>
      <c r="E22" s="37">
        <f t="shared" si="4"/>
        <v>-1579.8970000000006</v>
      </c>
      <c r="F22" s="37">
        <f t="shared" si="4"/>
        <v>-1737.8867000000007</v>
      </c>
      <c r="G22" s="37">
        <f t="shared" si="4"/>
        <v>-1911.6753700000008</v>
      </c>
      <c r="H22" s="25"/>
      <c r="I22" s="27"/>
      <c r="J22" s="27"/>
      <c r="K22" s="27"/>
      <c r="L22" s="27"/>
      <c r="M22" s="27"/>
      <c r="N22" s="27"/>
      <c r="O22" s="25"/>
    </row>
    <row r="23" spans="1:15" x14ac:dyDescent="0.25">
      <c r="A23" s="33" t="s">
        <v>42</v>
      </c>
      <c r="B23" s="38">
        <v>333</v>
      </c>
      <c r="C23" s="38">
        <f>SUM(C18:C22)</f>
        <v>421.79999999999927</v>
      </c>
      <c r="D23" s="38">
        <f t="shared" ref="D23:G23" si="5">SUM(D18:D22)</f>
        <v>463.97999999999934</v>
      </c>
      <c r="E23" s="38">
        <f t="shared" si="5"/>
        <v>510.37799999999993</v>
      </c>
      <c r="F23" s="38">
        <f t="shared" si="5"/>
        <v>561.41580000000044</v>
      </c>
      <c r="G23" s="38">
        <f t="shared" si="5"/>
        <v>617.55738000000019</v>
      </c>
      <c r="H23" s="27"/>
      <c r="I23" s="27"/>
      <c r="J23" s="27"/>
      <c r="K23" s="27"/>
      <c r="L23" s="27"/>
      <c r="M23" s="27"/>
      <c r="N23" s="27"/>
      <c r="O23" s="25"/>
    </row>
    <row r="24" spans="1:15" x14ac:dyDescent="0.25">
      <c r="A24" t="s">
        <v>40</v>
      </c>
      <c r="B24" s="27">
        <v>11</v>
      </c>
      <c r="C24" s="27">
        <f ca="1">$B$12*AVERAGE(B36:C36)</f>
        <v>38.877489056580764</v>
      </c>
      <c r="D24" s="27">
        <f ca="1">$B$12*AVERAGE(C36:D36)</f>
        <v>64.121472271418668</v>
      </c>
      <c r="E24" s="27">
        <f ca="1">$B$12*AVERAGE(D36:E36)</f>
        <v>60.100376138446457</v>
      </c>
      <c r="F24" s="27">
        <f ca="1">$B$12*AVERAGE(E36:F36)</f>
        <v>55.948884339197349</v>
      </c>
      <c r="G24" s="27">
        <f ca="1">$B$12*AVERAGE(F36:G36)</f>
        <v>51.662451386211366</v>
      </c>
      <c r="H24" s="27"/>
      <c r="I24" s="27"/>
      <c r="J24" s="27"/>
      <c r="K24" s="27"/>
      <c r="L24" s="27"/>
      <c r="M24" s="27"/>
      <c r="N24" s="27"/>
      <c r="O24" s="25"/>
    </row>
    <row r="25" spans="1:15" x14ac:dyDescent="0.25">
      <c r="A25" t="s">
        <v>41</v>
      </c>
      <c r="B25" s="37">
        <v>-123</v>
      </c>
      <c r="C25" s="37">
        <f>-$B$13*C39</f>
        <v>-191.25</v>
      </c>
      <c r="D25" s="37">
        <f t="shared" ref="D25:G25" si="6">-$B$13*D39</f>
        <v>-191.25</v>
      </c>
      <c r="E25" s="37">
        <f t="shared" si="6"/>
        <v>-191.25</v>
      </c>
      <c r="F25" s="37">
        <f t="shared" si="6"/>
        <v>-191.25</v>
      </c>
      <c r="G25" s="37">
        <f t="shared" si="6"/>
        <v>-191.25</v>
      </c>
      <c r="H25" s="27"/>
      <c r="I25" s="27"/>
      <c r="J25" s="27"/>
      <c r="K25" s="27"/>
      <c r="L25" s="27"/>
      <c r="M25" s="27"/>
      <c r="N25" s="27"/>
      <c r="O25" s="25"/>
    </row>
    <row r="26" spans="1:15" x14ac:dyDescent="0.25">
      <c r="A26" s="33" t="s">
        <v>138</v>
      </c>
      <c r="B26" s="38">
        <v>221</v>
      </c>
      <c r="C26" s="38">
        <f ca="1">SUM(C23:C25)</f>
        <v>269.42748905658004</v>
      </c>
      <c r="D26" s="38">
        <f t="shared" ref="D26:G26" ca="1" si="7">SUM(D23:D25)</f>
        <v>336.85147227141806</v>
      </c>
      <c r="E26" s="38">
        <f t="shared" ca="1" si="7"/>
        <v>379.22837613844638</v>
      </c>
      <c r="F26" s="38">
        <f t="shared" ca="1" si="7"/>
        <v>426.11468433919777</v>
      </c>
      <c r="G26" s="38">
        <f t="shared" ca="1" si="7"/>
        <v>477.96983138621158</v>
      </c>
      <c r="H26" s="27"/>
      <c r="I26" s="27"/>
      <c r="J26" s="27"/>
      <c r="K26" s="27"/>
      <c r="L26" s="27"/>
      <c r="M26" s="27"/>
      <c r="N26" s="27"/>
      <c r="O26" s="25"/>
    </row>
    <row r="27" spans="1:15" x14ac:dyDescent="0.25">
      <c r="A27" s="34" t="s">
        <v>139</v>
      </c>
      <c r="B27" s="27">
        <v>-61.88</v>
      </c>
      <c r="C27" s="27">
        <f ca="1">-$B$14*C26</f>
        <v>-75.43969693584242</v>
      </c>
      <c r="D27" s="27">
        <f ca="1">-$B$14*D26</f>
        <v>-94.318412235997073</v>
      </c>
      <c r="E27" s="27">
        <f ca="1">-$B$14*E26</f>
        <v>-106.183945318765</v>
      </c>
      <c r="F27" s="27">
        <f ca="1">-$B$14*F26</f>
        <v>-119.31211161497538</v>
      </c>
      <c r="G27" s="27">
        <f ca="1">-$B$14*G26</f>
        <v>-133.83155278813925</v>
      </c>
      <c r="H27" s="27"/>
      <c r="I27" s="27"/>
      <c r="J27" s="27"/>
      <c r="K27" s="27"/>
      <c r="L27" s="27"/>
      <c r="M27" s="27"/>
      <c r="N27" s="27"/>
      <c r="O27" s="25"/>
    </row>
    <row r="28" spans="1:15" x14ac:dyDescent="0.25">
      <c r="A28" s="33" t="s">
        <v>17</v>
      </c>
      <c r="B28" s="38">
        <v>159.12</v>
      </c>
      <c r="C28" s="38">
        <f ca="1">SUM(C26:C27)</f>
        <v>193.98779212073762</v>
      </c>
      <c r="D28" s="38">
        <f t="shared" ref="D28:G28" ca="1" si="8">SUM(D26:D27)</f>
        <v>242.53306003542099</v>
      </c>
      <c r="E28" s="38">
        <f t="shared" ca="1" si="8"/>
        <v>273.04443081968139</v>
      </c>
      <c r="F28" s="38">
        <f t="shared" ca="1" si="8"/>
        <v>306.80257272422239</v>
      </c>
      <c r="G28" s="38">
        <f t="shared" ca="1" si="8"/>
        <v>344.13827859807236</v>
      </c>
      <c r="H28" s="27"/>
      <c r="I28" s="27"/>
      <c r="J28" s="27"/>
      <c r="K28" s="27"/>
      <c r="L28" s="27"/>
      <c r="M28" s="27"/>
      <c r="N28" s="27"/>
      <c r="O28" s="25"/>
    </row>
    <row r="29" spans="1:15" x14ac:dyDescent="0.25">
      <c r="A29" s="25" t="s">
        <v>2</v>
      </c>
      <c r="B29" s="27">
        <v>-7.9560000000000004</v>
      </c>
      <c r="C29" s="27">
        <f ca="1">-$B$15*C28</f>
        <v>-9.6993896060368812</v>
      </c>
      <c r="D29" s="27">
        <f ca="1">-$B$15*D28</f>
        <v>-12.12665300177105</v>
      </c>
      <c r="E29" s="27">
        <f ca="1">-$B$15*E28</f>
        <v>-13.652221540984071</v>
      </c>
      <c r="F29" s="27">
        <f ca="1">-$B$15*F28</f>
        <v>-15.340128636211119</v>
      </c>
      <c r="G29" s="27">
        <f ca="1">-$B$15*G28</f>
        <v>-17.206913929903617</v>
      </c>
      <c r="H29" s="27"/>
      <c r="I29" s="27"/>
      <c r="J29" s="27"/>
      <c r="K29" s="27"/>
      <c r="L29" s="27"/>
      <c r="M29" s="27"/>
      <c r="N29" s="27"/>
      <c r="O29" s="25"/>
    </row>
    <row r="30" spans="1:15" x14ac:dyDescent="0.25">
      <c r="A30" s="25" t="s">
        <v>140</v>
      </c>
      <c r="B30" s="40">
        <v>151.16400000000002</v>
      </c>
      <c r="C30" s="27">
        <f ca="1">SUM(C28:C29)</f>
        <v>184.28840251470075</v>
      </c>
      <c r="D30" s="27">
        <f t="shared" ref="D30:G30" ca="1" si="9">SUM(D28:D29)</f>
        <v>230.40640703364994</v>
      </c>
      <c r="E30" s="27">
        <f t="shared" ca="1" si="9"/>
        <v>259.39220927869735</v>
      </c>
      <c r="F30" s="27">
        <f t="shared" ca="1" si="9"/>
        <v>291.46244408801124</v>
      </c>
      <c r="G30" s="27">
        <f t="shared" ca="1" si="9"/>
        <v>326.93136466816873</v>
      </c>
      <c r="H30" s="27"/>
      <c r="I30" s="27"/>
      <c r="J30" s="27"/>
      <c r="K30" s="27"/>
      <c r="L30" s="27"/>
      <c r="M30" s="27"/>
      <c r="N30" s="27"/>
      <c r="O30" s="25"/>
    </row>
    <row r="31" spans="1:15" x14ac:dyDescent="0.25">
      <c r="A31" s="25"/>
      <c r="B31" s="27"/>
      <c r="C31" s="27"/>
      <c r="D31" s="43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5"/>
    </row>
    <row r="32" spans="1:15" x14ac:dyDescent="0.25">
      <c r="A32" s="28" t="s">
        <v>136</v>
      </c>
      <c r="B32" s="27"/>
      <c r="C32" s="47"/>
      <c r="D32" s="47"/>
      <c r="E32" s="47"/>
      <c r="F32" s="47"/>
      <c r="G32" s="47"/>
      <c r="H32" s="27"/>
      <c r="I32" s="27"/>
      <c r="J32" s="27"/>
      <c r="K32" s="27"/>
      <c r="L32" s="27"/>
      <c r="M32" s="27"/>
      <c r="N32" s="27"/>
      <c r="O32" s="25"/>
    </row>
    <row r="33" spans="1:14" x14ac:dyDescent="0.25">
      <c r="A33" t="s">
        <v>30</v>
      </c>
      <c r="B33" s="27">
        <v>2687</v>
      </c>
      <c r="C33" s="27">
        <v>2955.7000000000003</v>
      </c>
      <c r="D33" s="27">
        <v>3251.2700000000009</v>
      </c>
      <c r="E33" s="27">
        <v>3576.3970000000013</v>
      </c>
      <c r="F33" s="27">
        <v>3934.0367000000015</v>
      </c>
      <c r="G33" s="27">
        <v>4327.4403700000021</v>
      </c>
      <c r="H33" s="27"/>
      <c r="I33" s="27"/>
      <c r="J33" s="27"/>
      <c r="K33" s="27"/>
      <c r="L33" s="27"/>
      <c r="M33" s="27"/>
      <c r="N33" s="27"/>
    </row>
    <row r="34" spans="1:14" x14ac:dyDescent="0.25">
      <c r="A34" t="s">
        <v>55</v>
      </c>
      <c r="B34" s="27">
        <v>779</v>
      </c>
      <c r="C34" s="27">
        <f>$B$9*C18</f>
        <v>856.90000000000009</v>
      </c>
      <c r="D34" s="27">
        <f t="shared" ref="D34:G34" si="10">$B$9*D18</f>
        <v>942.59000000000015</v>
      </c>
      <c r="E34" s="27">
        <f t="shared" si="10"/>
        <v>1036.8490000000004</v>
      </c>
      <c r="F34" s="27">
        <f t="shared" si="10"/>
        <v>1140.5339000000004</v>
      </c>
      <c r="G34" s="27">
        <f t="shared" si="10"/>
        <v>1254.5872900000004</v>
      </c>
      <c r="H34" s="27"/>
      <c r="I34" s="27"/>
      <c r="J34" s="27"/>
      <c r="K34" s="27"/>
      <c r="L34" s="27"/>
      <c r="M34" s="27"/>
      <c r="N34" s="27"/>
    </row>
    <row r="35" spans="1:14" x14ac:dyDescent="0.25">
      <c r="A35" t="s">
        <v>31</v>
      </c>
      <c r="B35" s="27">
        <v>1321</v>
      </c>
      <c r="C35" s="27">
        <f>$B$8*C18</f>
        <v>1453.1000000000001</v>
      </c>
      <c r="D35" s="27">
        <f t="shared" ref="D35:G35" si="11">$B$8*D18</f>
        <v>1598.4100000000003</v>
      </c>
      <c r="E35" s="27">
        <f t="shared" si="11"/>
        <v>1758.2510000000007</v>
      </c>
      <c r="F35" s="27">
        <f t="shared" si="11"/>
        <v>1934.0761000000007</v>
      </c>
      <c r="G35" s="27">
        <f t="shared" si="11"/>
        <v>2127.4837100000009</v>
      </c>
      <c r="H35" s="27"/>
      <c r="I35" s="27"/>
      <c r="J35" s="27"/>
      <c r="K35" s="27"/>
      <c r="L35" s="27"/>
      <c r="M35" s="27"/>
      <c r="N35" s="27"/>
    </row>
    <row r="36" spans="1:14" x14ac:dyDescent="0.25">
      <c r="A36" t="s">
        <v>32</v>
      </c>
      <c r="B36" s="27">
        <v>259</v>
      </c>
      <c r="C36" s="27">
        <f ca="1">SUM(C38:C40)-SUM(C33:C35)</f>
        <v>1468.8884025147008</v>
      </c>
      <c r="D36" s="27">
        <f t="shared" ref="D36:G36" ca="1" si="12">SUM(D38:D40)-SUM(D33:D35)</f>
        <v>1380.9548095483515</v>
      </c>
      <c r="E36" s="27">
        <f t="shared" ca="1" si="12"/>
        <v>1290.1730188270467</v>
      </c>
      <c r="F36" s="27">
        <f t="shared" ca="1" si="12"/>
        <v>1196.4440629150577</v>
      </c>
      <c r="G36" s="27">
        <f t="shared" ca="1" si="12"/>
        <v>1099.6648875832252</v>
      </c>
      <c r="H36" s="27"/>
      <c r="I36" s="27"/>
      <c r="J36" s="27"/>
      <c r="K36" s="27"/>
      <c r="L36" s="27"/>
      <c r="M36" s="27"/>
      <c r="N36" s="27"/>
    </row>
    <row r="37" spans="1:14" x14ac:dyDescent="0.25">
      <c r="A37" s="25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</row>
    <row r="38" spans="1:14" x14ac:dyDescent="0.25">
      <c r="A38" t="s">
        <v>9</v>
      </c>
      <c r="B38" s="27">
        <v>2218</v>
      </c>
      <c r="C38" s="27">
        <f ca="1">B38+C30</f>
        <v>2402.2884025147009</v>
      </c>
      <c r="D38" s="27">
        <f t="shared" ref="D38:G38" ca="1" si="13">C38+D30</f>
        <v>2632.6948095483508</v>
      </c>
      <c r="E38" s="27">
        <f t="shared" ca="1" si="13"/>
        <v>2892.0870188270483</v>
      </c>
      <c r="F38" s="27">
        <f t="shared" ca="1" si="13"/>
        <v>3183.5494629150594</v>
      </c>
      <c r="G38" s="27">
        <f t="shared" ca="1" si="13"/>
        <v>3510.4808275832283</v>
      </c>
      <c r="H38" s="27"/>
      <c r="I38" s="27"/>
      <c r="J38" s="27"/>
      <c r="K38" s="27"/>
      <c r="L38" s="27"/>
      <c r="M38" s="27"/>
      <c r="N38" s="27"/>
    </row>
    <row r="39" spans="1:14" x14ac:dyDescent="0.25">
      <c r="A39" t="s">
        <v>33</v>
      </c>
      <c r="B39" s="27">
        <v>2250</v>
      </c>
      <c r="C39" s="27">
        <f>$B$39</f>
        <v>2250</v>
      </c>
      <c r="D39" s="27">
        <f>$B$39</f>
        <v>2250</v>
      </c>
      <c r="E39" s="27">
        <f>$B$39</f>
        <v>2250</v>
      </c>
      <c r="F39" s="27">
        <f>$B$39</f>
        <v>2250</v>
      </c>
      <c r="G39" s="27">
        <f>$B$39</f>
        <v>2250</v>
      </c>
      <c r="H39" s="27"/>
      <c r="I39" s="27"/>
      <c r="J39" s="27"/>
      <c r="K39" s="27"/>
      <c r="L39" s="27"/>
      <c r="M39" s="27"/>
      <c r="N39" s="27"/>
    </row>
    <row r="40" spans="1:14" x14ac:dyDescent="0.25">
      <c r="A40" t="s">
        <v>34</v>
      </c>
      <c r="B40" s="27">
        <v>1893</v>
      </c>
      <c r="C40" s="27">
        <f>$B$10*C18</f>
        <v>2082.3000000000002</v>
      </c>
      <c r="D40" s="27">
        <f t="shared" ref="D40:G40" si="14">$B$10*D18</f>
        <v>2290.5300000000007</v>
      </c>
      <c r="E40" s="27">
        <f t="shared" si="14"/>
        <v>2519.583000000001</v>
      </c>
      <c r="F40" s="27">
        <f t="shared" si="14"/>
        <v>2771.5413000000012</v>
      </c>
      <c r="G40" s="27">
        <f t="shared" si="14"/>
        <v>3048.6954300000011</v>
      </c>
      <c r="H40" s="27"/>
      <c r="I40" s="27"/>
      <c r="J40" s="27"/>
      <c r="K40" s="27"/>
      <c r="L40" s="27"/>
      <c r="M40" s="27"/>
      <c r="N40" s="27"/>
    </row>
    <row r="41" spans="1:14" x14ac:dyDescent="0.25">
      <c r="A41" s="25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</row>
    <row r="42" spans="1:14" x14ac:dyDescent="0.25">
      <c r="A42" s="25"/>
      <c r="B42" s="27"/>
      <c r="C42" s="39"/>
      <c r="D42" s="39"/>
      <c r="E42" s="39"/>
      <c r="F42" s="39"/>
      <c r="G42" s="39"/>
      <c r="H42" s="27"/>
      <c r="I42" s="27"/>
      <c r="J42" s="27"/>
      <c r="K42" s="27"/>
      <c r="L42" s="27"/>
      <c r="M42" s="27"/>
      <c r="N42" s="27"/>
    </row>
    <row r="43" spans="1:14" x14ac:dyDescent="0.25">
      <c r="A43" s="28" t="s">
        <v>141</v>
      </c>
      <c r="B43" s="41">
        <v>2010</v>
      </c>
      <c r="C43" s="41">
        <v>2011</v>
      </c>
      <c r="D43" s="41">
        <v>2012</v>
      </c>
      <c r="E43" s="41">
        <v>2013</v>
      </c>
      <c r="F43" s="41">
        <v>2014</v>
      </c>
      <c r="G43" s="41">
        <v>2015</v>
      </c>
      <c r="H43" s="27"/>
      <c r="I43" s="27"/>
      <c r="J43" s="27"/>
      <c r="K43" s="27"/>
      <c r="L43" s="27"/>
      <c r="M43" s="27"/>
      <c r="N43" s="27"/>
    </row>
    <row r="44" spans="1:14" x14ac:dyDescent="0.25">
      <c r="A44" s="25" t="s">
        <v>17</v>
      </c>
      <c r="B44" s="27"/>
      <c r="C44" s="27">
        <f t="shared" ref="C44:G44" ca="1" si="15">C28</f>
        <v>193.98779212073762</v>
      </c>
      <c r="D44" s="27">
        <f t="shared" ca="1" si="15"/>
        <v>242.53306003542099</v>
      </c>
      <c r="E44" s="27">
        <f t="shared" ca="1" si="15"/>
        <v>273.04443081968139</v>
      </c>
      <c r="F44" s="27">
        <f t="shared" ca="1" si="15"/>
        <v>306.80257272422239</v>
      </c>
      <c r="G44" s="27">
        <f t="shared" ca="1" si="15"/>
        <v>344.13827859807236</v>
      </c>
      <c r="H44" s="27"/>
      <c r="I44" s="27"/>
      <c r="J44" s="27"/>
      <c r="K44" s="27"/>
      <c r="L44" s="27"/>
      <c r="M44" s="27"/>
      <c r="N44" s="27"/>
    </row>
    <row r="45" spans="1:14" x14ac:dyDescent="0.25">
      <c r="A45" s="25" t="s">
        <v>142</v>
      </c>
      <c r="B45" s="25"/>
      <c r="C45" s="27">
        <f>-C21</f>
        <v>537.4</v>
      </c>
      <c r="D45" s="27">
        <f t="shared" ref="D45:G45" si="16">-D21</f>
        <v>591.1400000000001</v>
      </c>
      <c r="E45" s="27">
        <f t="shared" si="16"/>
        <v>650.25400000000025</v>
      </c>
      <c r="F45" s="27">
        <f t="shared" si="16"/>
        <v>715.27940000000035</v>
      </c>
      <c r="G45" s="27">
        <f t="shared" si="16"/>
        <v>786.80734000000029</v>
      </c>
      <c r="H45" s="27"/>
      <c r="I45" s="27"/>
      <c r="J45" s="27"/>
      <c r="K45" s="27"/>
      <c r="L45" s="27"/>
      <c r="M45" s="27"/>
      <c r="N45" s="27"/>
    </row>
    <row r="46" spans="1:14" x14ac:dyDescent="0.25">
      <c r="A46" s="25" t="s">
        <v>143</v>
      </c>
      <c r="B46" s="27"/>
      <c r="C46" s="27">
        <f>B34-C34</f>
        <v>-77.900000000000091</v>
      </c>
      <c r="D46" s="27">
        <f t="shared" ref="D46:G47" si="17">C34-D34</f>
        <v>-85.690000000000055</v>
      </c>
      <c r="E46" s="27">
        <f t="shared" si="17"/>
        <v>-94.259000000000242</v>
      </c>
      <c r="F46" s="27">
        <f t="shared" si="17"/>
        <v>-103.68489999999997</v>
      </c>
      <c r="G46" s="27">
        <f t="shared" si="17"/>
        <v>-114.05339000000004</v>
      </c>
      <c r="H46" s="27"/>
      <c r="I46" s="27"/>
      <c r="J46" s="27"/>
      <c r="K46" s="27"/>
      <c r="L46" s="27"/>
      <c r="M46" s="27"/>
      <c r="N46" s="27"/>
    </row>
    <row r="47" spans="1:14" x14ac:dyDescent="0.25">
      <c r="A47" s="25" t="s">
        <v>144</v>
      </c>
      <c r="B47" s="27"/>
      <c r="C47" s="27">
        <f>B35-C35</f>
        <v>-132.10000000000014</v>
      </c>
      <c r="D47" s="27">
        <f t="shared" si="17"/>
        <v>-145.31000000000017</v>
      </c>
      <c r="E47" s="27">
        <f t="shared" si="17"/>
        <v>-159.84100000000035</v>
      </c>
      <c r="F47" s="27">
        <f t="shared" si="17"/>
        <v>-175.82510000000002</v>
      </c>
      <c r="G47" s="27">
        <f t="shared" si="17"/>
        <v>-193.4076100000002</v>
      </c>
      <c r="H47" s="27"/>
      <c r="I47" s="27"/>
      <c r="J47" s="27"/>
      <c r="K47" s="27"/>
      <c r="L47" s="27"/>
      <c r="M47" s="27"/>
      <c r="N47" s="27"/>
    </row>
    <row r="48" spans="1:14" x14ac:dyDescent="0.25">
      <c r="A48" s="25" t="s">
        <v>145</v>
      </c>
      <c r="B48" s="27"/>
      <c r="C48" s="27">
        <f>C40-B40</f>
        <v>189.30000000000018</v>
      </c>
      <c r="D48" s="27">
        <f t="shared" ref="D48:G48" si="18">D40-C40</f>
        <v>208.23000000000047</v>
      </c>
      <c r="E48" s="27">
        <f t="shared" si="18"/>
        <v>229.05300000000034</v>
      </c>
      <c r="F48" s="27">
        <f t="shared" si="18"/>
        <v>251.95830000000024</v>
      </c>
      <c r="G48" s="27">
        <f t="shared" si="18"/>
        <v>277.1541299999999</v>
      </c>
      <c r="H48" s="27"/>
      <c r="I48" s="27"/>
      <c r="J48" s="27"/>
      <c r="K48" s="27"/>
      <c r="L48" s="27"/>
      <c r="M48" s="27"/>
      <c r="N48" s="27"/>
    </row>
    <row r="49" spans="1:14" x14ac:dyDescent="0.25">
      <c r="A49" s="25" t="s">
        <v>146</v>
      </c>
      <c r="B49" s="27"/>
      <c r="C49" s="27">
        <f>B33-C33</f>
        <v>-268.70000000000027</v>
      </c>
      <c r="D49" s="27">
        <f t="shared" ref="D49:G49" si="19">C33-D33</f>
        <v>-295.57000000000062</v>
      </c>
      <c r="E49" s="27">
        <f t="shared" si="19"/>
        <v>-325.12700000000041</v>
      </c>
      <c r="F49" s="27">
        <f t="shared" si="19"/>
        <v>-357.63970000000018</v>
      </c>
      <c r="G49" s="27">
        <f t="shared" si="19"/>
        <v>-393.4036700000006</v>
      </c>
      <c r="H49" s="27"/>
      <c r="I49" s="27"/>
      <c r="J49" s="27"/>
      <c r="K49" s="27"/>
      <c r="L49" s="27"/>
      <c r="M49" s="27"/>
      <c r="N49" s="27"/>
    </row>
    <row r="50" spans="1:14" x14ac:dyDescent="0.25">
      <c r="A50" s="25" t="s">
        <v>147</v>
      </c>
      <c r="B50" s="27"/>
      <c r="C50" s="27">
        <f t="shared" ref="C50:G51" ca="1" si="20">-C24*(1-$B$14)</f>
        <v>-27.99179212073815</v>
      </c>
      <c r="D50" s="27">
        <f t="shared" ca="1" si="20"/>
        <v>-46.167460035421442</v>
      </c>
      <c r="E50" s="27">
        <f t="shared" ca="1" si="20"/>
        <v>-43.272270819681445</v>
      </c>
      <c r="F50" s="27">
        <f t="shared" ca="1" si="20"/>
        <v>-40.283196724222087</v>
      </c>
      <c r="G50" s="27">
        <f t="shared" ca="1" si="20"/>
        <v>-37.196964998072183</v>
      </c>
      <c r="H50" s="27"/>
      <c r="I50" s="27"/>
      <c r="J50" s="27"/>
      <c r="K50" s="27"/>
      <c r="L50" s="27"/>
      <c r="M50" s="27"/>
      <c r="N50" s="27"/>
    </row>
    <row r="51" spans="1:14" x14ac:dyDescent="0.25">
      <c r="A51" s="25" t="s">
        <v>148</v>
      </c>
      <c r="B51" s="27"/>
      <c r="C51" s="27">
        <f t="shared" si="20"/>
        <v>137.69999999999999</v>
      </c>
      <c r="D51" s="27">
        <f t="shared" si="20"/>
        <v>137.69999999999999</v>
      </c>
      <c r="E51" s="27">
        <f t="shared" si="20"/>
        <v>137.69999999999999</v>
      </c>
      <c r="F51" s="27">
        <f t="shared" si="20"/>
        <v>137.69999999999999</v>
      </c>
      <c r="G51" s="27">
        <f t="shared" si="20"/>
        <v>137.69999999999999</v>
      </c>
      <c r="H51" s="27"/>
      <c r="I51" s="27"/>
      <c r="J51" s="27"/>
      <c r="K51" s="27"/>
      <c r="L51" s="27"/>
      <c r="M51" s="27"/>
      <c r="N51" s="27"/>
    </row>
    <row r="52" spans="1:14" x14ac:dyDescent="0.25">
      <c r="A52" s="28" t="s">
        <v>149</v>
      </c>
      <c r="B52" s="27"/>
      <c r="C52" s="44">
        <f ca="1">SUM(C44:C51)</f>
        <v>551.69599999999912</v>
      </c>
      <c r="D52" s="44">
        <f ca="1">SUM(D44:D51)</f>
        <v>606.86559999999918</v>
      </c>
      <c r="E52" s="44">
        <f ca="1">SUM(E44:E51)</f>
        <v>667.5521599999995</v>
      </c>
      <c r="F52" s="44">
        <f ca="1">SUM(F44:F51)</f>
        <v>734.30737600000066</v>
      </c>
      <c r="G52" s="44">
        <f ca="1">SUM(G44:G51)</f>
        <v>807.73811359999945</v>
      </c>
      <c r="H52" s="27"/>
      <c r="I52" s="27"/>
      <c r="J52" s="27"/>
      <c r="K52" s="27"/>
      <c r="L52" s="27"/>
      <c r="M52" s="27"/>
      <c r="N52" s="27"/>
    </row>
    <row r="53" spans="1:14" x14ac:dyDescent="0.25">
      <c r="A53" s="25" t="s">
        <v>150</v>
      </c>
      <c r="B53" s="27"/>
      <c r="C53" s="27"/>
      <c r="D53" s="27"/>
      <c r="E53" s="27"/>
      <c r="F53" s="27"/>
      <c r="G53" s="27">
        <f ca="1">G52*(1+B56)/(B57-B56)</f>
        <v>17770.238499199993</v>
      </c>
      <c r="H53" s="27"/>
      <c r="I53" s="27"/>
      <c r="J53" s="27"/>
      <c r="K53" s="27"/>
      <c r="L53" s="27"/>
      <c r="M53" s="27"/>
      <c r="N53" s="27"/>
    </row>
    <row r="54" spans="1:14" x14ac:dyDescent="0.25">
      <c r="A54" s="28" t="s">
        <v>151</v>
      </c>
      <c r="B54" s="27"/>
      <c r="C54" s="44">
        <f ca="1">SUM(C52:C53)</f>
        <v>551.69599999999912</v>
      </c>
      <c r="D54" s="44">
        <f t="shared" ref="D54:G54" ca="1" si="21">SUM(D52:D53)</f>
        <v>606.86559999999918</v>
      </c>
      <c r="E54" s="44">
        <f t="shared" ca="1" si="21"/>
        <v>667.5521599999995</v>
      </c>
      <c r="F54" s="44">
        <f t="shared" ca="1" si="21"/>
        <v>734.30737600000066</v>
      </c>
      <c r="G54" s="44">
        <f t="shared" ca="1" si="21"/>
        <v>18577.976612799994</v>
      </c>
      <c r="H54" s="27"/>
      <c r="I54" s="27"/>
      <c r="J54" s="27"/>
      <c r="K54" s="27"/>
      <c r="L54" s="27"/>
      <c r="M54" s="27"/>
      <c r="N54" s="27"/>
    </row>
    <row r="55" spans="1:14" x14ac:dyDescent="0.25">
      <c r="A55" s="25"/>
      <c r="B55" s="25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</row>
    <row r="56" spans="1:14" x14ac:dyDescent="0.25">
      <c r="A56" s="25" t="s">
        <v>152</v>
      </c>
      <c r="B56" s="35">
        <f>B3</f>
        <v>0.1</v>
      </c>
      <c r="C56" s="27"/>
      <c r="D56" s="47"/>
      <c r="E56" s="47"/>
      <c r="F56" s="47"/>
      <c r="G56" s="47"/>
      <c r="H56" s="47"/>
      <c r="I56" s="27"/>
      <c r="J56" s="27"/>
      <c r="K56" s="27"/>
      <c r="L56" s="27"/>
      <c r="M56" s="27"/>
      <c r="N56" s="27"/>
    </row>
    <row r="57" spans="1:14" x14ac:dyDescent="0.25">
      <c r="A57" s="25" t="s">
        <v>153</v>
      </c>
      <c r="B57" s="35">
        <v>0.15</v>
      </c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</row>
    <row r="58" spans="1:14" x14ac:dyDescent="0.25">
      <c r="A58" s="25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</row>
    <row r="59" spans="1:14" x14ac:dyDescent="0.25">
      <c r="A59" s="25" t="s">
        <v>154</v>
      </c>
      <c r="B59" s="45">
        <f ca="1">NPV(B57,C54:G54)</f>
        <v>11033.919999999998</v>
      </c>
      <c r="C59" s="25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</row>
    <row r="60" spans="1:14" x14ac:dyDescent="0.25">
      <c r="A60" s="25" t="s">
        <v>155</v>
      </c>
      <c r="B60" s="27">
        <f>-B39-B40</f>
        <v>-4143</v>
      </c>
      <c r="C60" s="25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</row>
    <row r="61" spans="1:14" x14ac:dyDescent="0.25">
      <c r="A61" s="28" t="s">
        <v>156</v>
      </c>
      <c r="B61" s="46">
        <f ca="1">B59+B60</f>
        <v>6890.9199999999983</v>
      </c>
      <c r="C61" s="25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</row>
    <row r="62" spans="1:14" x14ac:dyDescent="0.25">
      <c r="A62" s="25"/>
      <c r="B62" s="25"/>
      <c r="C62" s="25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</row>
    <row r="63" spans="1:14" x14ac:dyDescent="0.25">
      <c r="A63" s="25"/>
      <c r="B63" s="25"/>
      <c r="C63" s="25"/>
      <c r="D63" s="25"/>
      <c r="E63" s="25"/>
      <c r="F63" s="25"/>
      <c r="G63" s="25"/>
      <c r="H63" s="27"/>
      <c r="I63" s="27"/>
      <c r="J63" s="27"/>
      <c r="K63" s="27"/>
      <c r="L63" s="27"/>
      <c r="M63" s="27"/>
      <c r="N63" s="27"/>
    </row>
    <row r="64" spans="1:14" x14ac:dyDescent="0.25">
      <c r="B64" s="35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</row>
    <row r="65" spans="2:14" x14ac:dyDescent="0.25">
      <c r="B65" s="35"/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</row>
    <row r="66" spans="2:14" x14ac:dyDescent="0.25">
      <c r="B66" s="35"/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</row>
    <row r="67" spans="2:14" x14ac:dyDescent="0.25">
      <c r="B67" s="35"/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</row>
    <row r="68" spans="2:14" x14ac:dyDescent="0.25"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</row>
    <row r="69" spans="2:14" x14ac:dyDescent="0.25">
      <c r="B69" s="27"/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</row>
    <row r="70" spans="2:14" x14ac:dyDescent="0.25">
      <c r="B70" s="27"/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</row>
    <row r="71" spans="2:14" x14ac:dyDescent="0.25"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</row>
    <row r="72" spans="2:14" x14ac:dyDescent="0.25"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</row>
    <row r="73" spans="2:14" x14ac:dyDescent="0.25">
      <c r="B73" s="27"/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</row>
    <row r="74" spans="2:14" x14ac:dyDescent="0.25">
      <c r="B74" s="27"/>
      <c r="C74" s="27"/>
      <c r="D74" s="27"/>
      <c r="E74" s="27"/>
      <c r="F74" s="27"/>
      <c r="G74" s="27"/>
      <c r="H74" s="27"/>
      <c r="I74" s="27"/>
      <c r="J74" s="25"/>
      <c r="K74" s="25"/>
      <c r="L74" s="25"/>
      <c r="M74" s="25"/>
      <c r="N74" s="25"/>
    </row>
    <row r="75" spans="2:14" x14ac:dyDescent="0.25">
      <c r="B75" s="27"/>
      <c r="C75" s="27"/>
      <c r="D75" s="27"/>
      <c r="E75" s="27"/>
      <c r="F75" s="27"/>
      <c r="G75" s="27"/>
      <c r="H75" s="27"/>
      <c r="I75" s="27"/>
      <c r="J75" s="25"/>
      <c r="K75" s="25"/>
      <c r="L75" s="25"/>
      <c r="M75" s="25"/>
      <c r="N75" s="25"/>
    </row>
    <row r="76" spans="2:14" x14ac:dyDescent="0.25">
      <c r="B76" s="27"/>
      <c r="C76" s="27"/>
      <c r="D76" s="27"/>
      <c r="E76" s="27"/>
      <c r="F76" s="27"/>
      <c r="G76" s="27"/>
      <c r="H76" s="27"/>
      <c r="I76" s="27"/>
      <c r="J76" s="25"/>
      <c r="K76" s="25"/>
      <c r="L76" s="25"/>
      <c r="M76" s="25"/>
      <c r="N76" s="25"/>
    </row>
    <row r="77" spans="2:14" x14ac:dyDescent="0.25">
      <c r="B77" s="27"/>
      <c r="C77" s="27"/>
      <c r="D77" s="27"/>
      <c r="E77" s="27"/>
      <c r="F77" s="27"/>
      <c r="G77" s="27"/>
      <c r="H77" s="27"/>
      <c r="I77" s="27"/>
    </row>
    <row r="78" spans="2:14" x14ac:dyDescent="0.25">
      <c r="B78" s="27"/>
      <c r="C78" s="27"/>
      <c r="D78" s="27"/>
      <c r="E78" s="27"/>
      <c r="F78" s="27"/>
      <c r="G78" s="27"/>
      <c r="H78" s="27"/>
      <c r="I78" s="27"/>
    </row>
    <row r="79" spans="2:14" x14ac:dyDescent="0.25">
      <c r="B79" s="27"/>
      <c r="C79" s="27"/>
      <c r="D79" s="27"/>
      <c r="E79" s="27"/>
      <c r="F79" s="27"/>
      <c r="G79" s="27"/>
      <c r="H79" s="27"/>
      <c r="I79" s="27"/>
    </row>
    <row r="80" spans="2:14" x14ac:dyDescent="0.25">
      <c r="B80" s="27"/>
      <c r="C80" s="27"/>
      <c r="D80" s="27"/>
      <c r="E80" s="27"/>
      <c r="F80" s="27"/>
      <c r="G80" s="27"/>
      <c r="H80" s="27"/>
      <c r="I80" s="27"/>
    </row>
    <row r="81" spans="2:9" x14ac:dyDescent="0.25">
      <c r="B81" s="27"/>
      <c r="C81" s="27"/>
      <c r="D81" s="27"/>
      <c r="E81" s="27"/>
      <c r="F81" s="27"/>
      <c r="G81" s="27"/>
      <c r="H81" s="27"/>
      <c r="I81" s="27"/>
    </row>
    <row r="82" spans="2:9" x14ac:dyDescent="0.25">
      <c r="B82" s="27"/>
      <c r="C82" s="27"/>
      <c r="D82" s="27"/>
      <c r="E82" s="27"/>
      <c r="F82" s="27"/>
      <c r="G82" s="27"/>
      <c r="H82" s="27"/>
      <c r="I82" s="27"/>
    </row>
    <row r="83" spans="2:9" x14ac:dyDescent="0.25">
      <c r="B83" s="27"/>
      <c r="C83" s="27"/>
      <c r="D83" s="27"/>
      <c r="E83" s="27"/>
      <c r="F83" s="27"/>
      <c r="G83" s="27"/>
      <c r="H83" s="27"/>
      <c r="I83" s="27"/>
    </row>
    <row r="84" spans="2:9" x14ac:dyDescent="0.25">
      <c r="B84" s="27"/>
      <c r="C84" s="27"/>
      <c r="D84" s="27"/>
      <c r="E84" s="27"/>
      <c r="F84" s="27"/>
      <c r="G84" s="27"/>
      <c r="H84" s="27"/>
      <c r="I84" s="27"/>
    </row>
    <row r="85" spans="2:9" x14ac:dyDescent="0.25">
      <c r="B85" s="27"/>
      <c r="C85" s="27"/>
      <c r="D85" s="27"/>
      <c r="E85" s="27"/>
      <c r="F85" s="27"/>
      <c r="G85" s="27"/>
      <c r="H85" s="27"/>
      <c r="I85" s="27"/>
    </row>
    <row r="86" spans="2:9" x14ac:dyDescent="0.25">
      <c r="B86" s="27"/>
      <c r="C86" s="27"/>
      <c r="D86" s="27"/>
      <c r="E86" s="27"/>
      <c r="F86" s="27"/>
      <c r="G86" s="27"/>
      <c r="H86" s="27"/>
      <c r="I86" s="27"/>
    </row>
    <row r="87" spans="2:9" x14ac:dyDescent="0.25">
      <c r="B87" s="27"/>
      <c r="C87" s="27"/>
      <c r="D87" s="27"/>
      <c r="E87" s="27"/>
      <c r="F87" s="27"/>
      <c r="G87" s="27"/>
      <c r="H87" s="27"/>
      <c r="I87" s="27"/>
    </row>
    <row r="88" spans="2:9" x14ac:dyDescent="0.25">
      <c r="B88" s="27"/>
      <c r="C88" s="27"/>
      <c r="D88" s="27"/>
      <c r="E88" s="27"/>
      <c r="F88" s="27"/>
      <c r="G88" s="27"/>
      <c r="H88" s="27"/>
      <c r="I88" s="27"/>
    </row>
    <row r="89" spans="2:9" x14ac:dyDescent="0.25">
      <c r="B89" s="27"/>
      <c r="C89" s="27"/>
      <c r="D89" s="27"/>
      <c r="E89" s="27"/>
      <c r="F89" s="27"/>
      <c r="G89" s="27"/>
      <c r="H89" s="27"/>
      <c r="I89" s="27"/>
    </row>
    <row r="90" spans="2:9" x14ac:dyDescent="0.25">
      <c r="B90" s="27"/>
      <c r="C90" s="27"/>
      <c r="D90" s="27"/>
      <c r="E90" s="27"/>
      <c r="F90" s="27"/>
      <c r="G90" s="27"/>
      <c r="H90" s="27"/>
      <c r="I90" s="27"/>
    </row>
    <row r="91" spans="2:9" x14ac:dyDescent="0.25">
      <c r="B91" s="27"/>
      <c r="C91" s="27"/>
      <c r="D91" s="27"/>
      <c r="E91" s="27"/>
      <c r="F91" s="27"/>
      <c r="G91" s="27"/>
      <c r="H91" s="27"/>
      <c r="I91" s="27"/>
    </row>
    <row r="92" spans="2:9" x14ac:dyDescent="0.25">
      <c r="B92" s="27"/>
      <c r="C92" s="27"/>
      <c r="D92" s="27"/>
      <c r="E92" s="27"/>
      <c r="F92" s="27"/>
      <c r="G92" s="27"/>
      <c r="H92" s="27"/>
      <c r="I92" s="27"/>
    </row>
    <row r="93" spans="2:9" x14ac:dyDescent="0.25">
      <c r="B93" s="27"/>
      <c r="C93" s="27"/>
      <c r="D93" s="27"/>
      <c r="E93" s="27"/>
      <c r="F93" s="27"/>
      <c r="G93" s="27"/>
      <c r="H93" s="27"/>
      <c r="I93" s="27"/>
    </row>
    <row r="94" spans="2:9" x14ac:dyDescent="0.25">
      <c r="B94" s="27"/>
      <c r="C94" s="27"/>
      <c r="D94" s="27"/>
      <c r="E94" s="27"/>
      <c r="F94" s="27"/>
      <c r="G94" s="27"/>
      <c r="H94" s="27"/>
      <c r="I94" s="27"/>
    </row>
    <row r="95" spans="2:9" x14ac:dyDescent="0.25">
      <c r="B95" s="27"/>
      <c r="C95" s="27"/>
      <c r="D95" s="27"/>
      <c r="E95" s="27"/>
      <c r="F95" s="27"/>
      <c r="G95" s="27"/>
      <c r="H95" s="27"/>
      <c r="I95" s="27"/>
    </row>
    <row r="96" spans="2:9" x14ac:dyDescent="0.25">
      <c r="B96" s="27"/>
      <c r="C96" s="27"/>
      <c r="D96" s="27"/>
      <c r="E96" s="27"/>
      <c r="F96" s="27"/>
      <c r="G96" s="27"/>
      <c r="H96" s="27"/>
      <c r="I96" s="27"/>
    </row>
    <row r="97" spans="2:9" x14ac:dyDescent="0.25">
      <c r="B97" s="27"/>
      <c r="C97" s="27"/>
      <c r="D97" s="27"/>
      <c r="E97" s="27"/>
      <c r="F97" s="27"/>
      <c r="G97" s="27"/>
      <c r="H97" s="27"/>
      <c r="I97" s="27"/>
    </row>
    <row r="98" spans="2:9" x14ac:dyDescent="0.25">
      <c r="B98" s="27"/>
      <c r="C98" s="27"/>
      <c r="D98" s="27"/>
      <c r="E98" s="27"/>
      <c r="F98" s="27"/>
      <c r="G98" s="27"/>
      <c r="H98" s="27"/>
      <c r="I98" s="27"/>
    </row>
    <row r="99" spans="2:9" x14ac:dyDescent="0.25">
      <c r="B99" s="27"/>
      <c r="C99" s="27"/>
      <c r="D99" s="27"/>
      <c r="E99" s="27"/>
      <c r="F99" s="27"/>
      <c r="G99" s="27"/>
      <c r="H99" s="27"/>
      <c r="I99" s="27"/>
    </row>
    <row r="100" spans="2:9" x14ac:dyDescent="0.25">
      <c r="B100" s="27"/>
      <c r="C100" s="27"/>
      <c r="D100" s="27"/>
      <c r="E100" s="27"/>
      <c r="F100" s="27"/>
      <c r="G100" s="27"/>
      <c r="H100" s="27"/>
      <c r="I100" s="27"/>
    </row>
    <row r="101" spans="2:9" x14ac:dyDescent="0.25">
      <c r="B101" s="27"/>
      <c r="C101" s="27"/>
      <c r="D101" s="27"/>
      <c r="E101" s="27"/>
      <c r="F101" s="27"/>
      <c r="G101" s="27"/>
      <c r="H101" s="27"/>
      <c r="I101" s="27"/>
    </row>
    <row r="102" spans="2:9" x14ac:dyDescent="0.25">
      <c r="B102" s="27"/>
      <c r="C102" s="27"/>
      <c r="D102" s="27"/>
      <c r="E102" s="27"/>
      <c r="F102" s="27"/>
      <c r="G102" s="27"/>
      <c r="H102" s="27"/>
      <c r="I102" s="27"/>
    </row>
    <row r="103" spans="2:9" x14ac:dyDescent="0.25">
      <c r="B103" s="27"/>
      <c r="C103" s="27"/>
      <c r="D103" s="27"/>
      <c r="E103" s="27"/>
      <c r="F103" s="27"/>
      <c r="G103" s="27"/>
      <c r="H103" s="27"/>
      <c r="I103" s="27"/>
    </row>
    <row r="104" spans="2:9" x14ac:dyDescent="0.25">
      <c r="B104" s="27"/>
      <c r="C104" s="27"/>
      <c r="D104" s="27"/>
      <c r="E104" s="27"/>
      <c r="F104" s="27"/>
      <c r="G104" s="27"/>
      <c r="H104" s="27"/>
      <c r="I104" s="27"/>
    </row>
    <row r="105" spans="2:9" x14ac:dyDescent="0.25">
      <c r="B105" s="27"/>
      <c r="C105" s="27"/>
      <c r="D105" s="27"/>
      <c r="E105" s="27"/>
      <c r="F105" s="27"/>
      <c r="G105" s="27"/>
      <c r="H105" s="27"/>
      <c r="I105" s="27"/>
    </row>
    <row r="106" spans="2:9" x14ac:dyDescent="0.25">
      <c r="B106" s="27"/>
      <c r="C106" s="27"/>
      <c r="D106" s="27"/>
      <c r="E106" s="27"/>
      <c r="F106" s="27"/>
      <c r="G106" s="27"/>
      <c r="H106" s="27"/>
      <c r="I106" s="27"/>
    </row>
    <row r="107" spans="2:9" x14ac:dyDescent="0.25">
      <c r="B107" s="27"/>
      <c r="C107" s="27"/>
      <c r="D107" s="27"/>
      <c r="E107" s="27"/>
      <c r="F107" s="27"/>
      <c r="G107" s="27"/>
      <c r="H107" s="27"/>
      <c r="I107" s="27"/>
    </row>
    <row r="108" spans="2:9" x14ac:dyDescent="0.25">
      <c r="B108" s="27"/>
      <c r="C108" s="27"/>
      <c r="D108" s="27"/>
      <c r="E108" s="27"/>
      <c r="F108" s="27"/>
      <c r="G108" s="27"/>
      <c r="H108" s="27"/>
      <c r="I108" s="27"/>
    </row>
    <row r="109" spans="2:9" x14ac:dyDescent="0.25">
      <c r="B109" s="27"/>
      <c r="C109" s="27"/>
      <c r="D109" s="27"/>
      <c r="E109" s="27"/>
      <c r="F109" s="27"/>
      <c r="G109" s="27"/>
      <c r="H109" s="27"/>
      <c r="I109" s="27"/>
    </row>
    <row r="110" spans="2:9" x14ac:dyDescent="0.25">
      <c r="B110" s="27"/>
      <c r="C110" s="27"/>
      <c r="D110" s="27"/>
      <c r="E110" s="27"/>
      <c r="F110" s="27"/>
      <c r="G110" s="27"/>
      <c r="H110" s="27"/>
      <c r="I110" s="27"/>
    </row>
    <row r="111" spans="2:9" x14ac:dyDescent="0.25">
      <c r="B111" s="27"/>
      <c r="C111" s="27"/>
      <c r="D111" s="27"/>
      <c r="E111" s="27"/>
      <c r="F111" s="27"/>
      <c r="G111" s="27"/>
      <c r="H111" s="27"/>
      <c r="I111" s="27"/>
    </row>
    <row r="112" spans="2:9" x14ac:dyDescent="0.25">
      <c r="B112" s="27"/>
      <c r="C112" s="27"/>
      <c r="D112" s="27"/>
      <c r="E112" s="27"/>
      <c r="F112" s="27"/>
      <c r="G112" s="27"/>
      <c r="H112" s="27"/>
      <c r="I112" s="27"/>
    </row>
    <row r="113" spans="2:9" x14ac:dyDescent="0.25">
      <c r="B113" s="27"/>
      <c r="C113" s="27"/>
      <c r="D113" s="27"/>
      <c r="E113" s="27"/>
      <c r="F113" s="27"/>
      <c r="G113" s="27"/>
      <c r="H113" s="27"/>
      <c r="I113" s="27"/>
    </row>
    <row r="114" spans="2:9" x14ac:dyDescent="0.25">
      <c r="B114" s="27"/>
      <c r="C114" s="27"/>
      <c r="D114" s="27"/>
      <c r="E114" s="27"/>
      <c r="F114" s="27"/>
      <c r="G114" s="27"/>
      <c r="H114" s="27"/>
      <c r="I114" s="27"/>
    </row>
    <row r="115" spans="2:9" x14ac:dyDescent="0.25">
      <c r="B115" s="27"/>
      <c r="C115" s="27"/>
      <c r="D115" s="27"/>
      <c r="E115" s="27"/>
      <c r="F115" s="27"/>
      <c r="G115" s="27"/>
      <c r="H115" s="27"/>
      <c r="I115" s="27"/>
    </row>
    <row r="116" spans="2:9" x14ac:dyDescent="0.25">
      <c r="B116" s="27"/>
      <c r="C116" s="27"/>
      <c r="D116" s="27"/>
      <c r="E116" s="27"/>
      <c r="F116" s="27"/>
      <c r="G116" s="27"/>
      <c r="H116" s="27"/>
      <c r="I116" s="27"/>
    </row>
    <row r="117" spans="2:9" x14ac:dyDescent="0.25">
      <c r="B117" s="27"/>
      <c r="C117" s="27"/>
      <c r="D117" s="27"/>
      <c r="E117" s="27"/>
      <c r="F117" s="27"/>
      <c r="G117" s="27"/>
      <c r="H117" s="27"/>
      <c r="I117" s="27"/>
    </row>
    <row r="118" spans="2:9" x14ac:dyDescent="0.25">
      <c r="B118" s="27"/>
      <c r="C118" s="27"/>
      <c r="D118" s="27"/>
      <c r="E118" s="27"/>
      <c r="F118" s="27"/>
      <c r="G118" s="27"/>
      <c r="H118" s="27"/>
      <c r="I118" s="27"/>
    </row>
    <row r="119" spans="2:9" x14ac:dyDescent="0.25">
      <c r="B119" s="27"/>
      <c r="C119" s="27"/>
      <c r="D119" s="27"/>
      <c r="E119" s="27"/>
      <c r="F119" s="27"/>
      <c r="G119" s="27"/>
      <c r="H119" s="27"/>
      <c r="I119" s="27"/>
    </row>
    <row r="120" spans="2:9" x14ac:dyDescent="0.25">
      <c r="B120" s="27"/>
      <c r="C120" s="27"/>
      <c r="D120" s="27"/>
      <c r="E120" s="27"/>
      <c r="F120" s="27"/>
      <c r="G120" s="27"/>
      <c r="H120" s="27"/>
      <c r="I120" s="27"/>
    </row>
    <row r="121" spans="2:9" x14ac:dyDescent="0.25">
      <c r="B121" s="27"/>
      <c r="C121" s="27"/>
      <c r="D121" s="27"/>
      <c r="E121" s="27"/>
      <c r="F121" s="27"/>
      <c r="G121" s="27"/>
      <c r="H121" s="27"/>
      <c r="I121" s="27"/>
    </row>
    <row r="122" spans="2:9" x14ac:dyDescent="0.25">
      <c r="B122" s="27"/>
      <c r="C122" s="27"/>
      <c r="D122" s="27"/>
      <c r="E122" s="27"/>
      <c r="F122" s="27"/>
      <c r="G122" s="27"/>
      <c r="H122" s="27"/>
      <c r="I122" s="27"/>
    </row>
    <row r="123" spans="2:9" x14ac:dyDescent="0.25">
      <c r="B123" s="27"/>
      <c r="C123" s="27"/>
      <c r="D123" s="27"/>
      <c r="E123" s="27"/>
      <c r="F123" s="27"/>
      <c r="G123" s="27"/>
      <c r="H123" s="27"/>
      <c r="I123" s="27"/>
    </row>
    <row r="124" spans="2:9" x14ac:dyDescent="0.25">
      <c r="B124" s="27"/>
      <c r="C124" s="27"/>
      <c r="D124" s="27"/>
      <c r="E124" s="27"/>
      <c r="F124" s="27"/>
      <c r="G124" s="27"/>
      <c r="H124" s="27"/>
      <c r="I124" s="27"/>
    </row>
    <row r="125" spans="2:9" x14ac:dyDescent="0.25">
      <c r="B125" s="27"/>
      <c r="C125" s="27"/>
      <c r="D125" s="27"/>
      <c r="E125" s="27"/>
      <c r="F125" s="27"/>
      <c r="G125" s="27"/>
      <c r="H125" s="27"/>
      <c r="I125" s="27"/>
    </row>
    <row r="126" spans="2:9" x14ac:dyDescent="0.25">
      <c r="B126" s="27"/>
      <c r="C126" s="27"/>
      <c r="D126" s="27"/>
      <c r="E126" s="27"/>
      <c r="F126" s="27"/>
      <c r="G126" s="27"/>
      <c r="H126" s="27"/>
      <c r="I126" s="27"/>
    </row>
    <row r="127" spans="2:9" x14ac:dyDescent="0.25">
      <c r="B127" s="27"/>
      <c r="C127" s="27"/>
      <c r="D127" s="27"/>
      <c r="E127" s="27"/>
      <c r="F127" s="27"/>
      <c r="G127" s="27"/>
      <c r="H127" s="27"/>
      <c r="I127" s="27"/>
    </row>
    <row r="128" spans="2:9" x14ac:dyDescent="0.25">
      <c r="B128" s="27"/>
      <c r="C128" s="27"/>
      <c r="D128" s="27"/>
      <c r="E128" s="27"/>
      <c r="F128" s="27"/>
      <c r="G128" s="27"/>
      <c r="H128" s="27"/>
      <c r="I128" s="27"/>
    </row>
    <row r="129" spans="2:9" x14ac:dyDescent="0.25">
      <c r="B129" s="27"/>
      <c r="C129" s="27"/>
      <c r="D129" s="27"/>
      <c r="E129" s="27"/>
      <c r="F129" s="27"/>
      <c r="G129" s="27"/>
      <c r="H129" s="27"/>
      <c r="I129" s="27"/>
    </row>
    <row r="130" spans="2:9" x14ac:dyDescent="0.25">
      <c r="B130" s="27"/>
      <c r="C130" s="27"/>
      <c r="D130" s="27"/>
      <c r="E130" s="27"/>
      <c r="F130" s="27"/>
      <c r="G130" s="27"/>
      <c r="H130" s="27"/>
      <c r="I130" s="27"/>
    </row>
    <row r="131" spans="2:9" x14ac:dyDescent="0.25">
      <c r="B131" s="27"/>
      <c r="C131" s="27"/>
      <c r="D131" s="27"/>
      <c r="E131" s="27"/>
      <c r="F131" s="27"/>
      <c r="G131" s="27"/>
      <c r="H131" s="27"/>
      <c r="I131" s="27"/>
    </row>
    <row r="132" spans="2:9" x14ac:dyDescent="0.25">
      <c r="B132" s="27"/>
      <c r="C132" s="27"/>
      <c r="D132" s="27"/>
      <c r="E132" s="27"/>
      <c r="F132" s="27"/>
      <c r="G132" s="27"/>
      <c r="H132" s="27"/>
      <c r="I132" s="27"/>
    </row>
    <row r="133" spans="2:9" x14ac:dyDescent="0.25">
      <c r="B133" s="27"/>
      <c r="C133" s="27"/>
      <c r="D133" s="27"/>
      <c r="E133" s="27"/>
      <c r="F133" s="27"/>
      <c r="G133" s="27"/>
      <c r="H133" s="27"/>
      <c r="I133" s="27"/>
    </row>
    <row r="135" spans="2:9" x14ac:dyDescent="0.25">
      <c r="B135" s="27"/>
      <c r="C135" s="27"/>
      <c r="D135" s="27"/>
      <c r="E135" s="27"/>
      <c r="F135" s="27"/>
      <c r="G135" s="27"/>
      <c r="H135" s="27"/>
      <c r="I135" s="27"/>
    </row>
    <row r="136" spans="2:9" x14ac:dyDescent="0.25">
      <c r="B136" s="27"/>
      <c r="C136" s="27"/>
      <c r="D136" s="27"/>
      <c r="E136" s="27"/>
      <c r="F136" s="27"/>
      <c r="G136" s="27"/>
      <c r="H136" s="27"/>
      <c r="I136" s="27"/>
    </row>
    <row r="137" spans="2:9" x14ac:dyDescent="0.25">
      <c r="B137" s="27"/>
      <c r="C137" s="27"/>
      <c r="D137" s="27"/>
      <c r="E137" s="27"/>
      <c r="F137" s="27"/>
      <c r="G137" s="27"/>
      <c r="H137" s="27"/>
      <c r="I137" s="27"/>
    </row>
    <row r="138" spans="2:9" x14ac:dyDescent="0.25">
      <c r="B138" s="27"/>
      <c r="C138" s="27"/>
      <c r="D138" s="27"/>
      <c r="E138" s="27"/>
      <c r="F138" s="27"/>
      <c r="G138" s="27"/>
      <c r="H138" s="27"/>
      <c r="I138" s="27"/>
    </row>
    <row r="139" spans="2:9" x14ac:dyDescent="0.25">
      <c r="B139" s="27"/>
      <c r="C139" s="27"/>
      <c r="D139" s="27"/>
      <c r="E139" s="27"/>
      <c r="F139" s="27"/>
      <c r="G139" s="27"/>
      <c r="H139" s="27"/>
      <c r="I139" s="27"/>
    </row>
    <row r="140" spans="2:9" x14ac:dyDescent="0.25">
      <c r="B140" s="27"/>
      <c r="C140" s="27"/>
      <c r="D140" s="27"/>
      <c r="E140" s="27"/>
      <c r="F140" s="27"/>
      <c r="G140" s="27"/>
      <c r="H140" s="27"/>
      <c r="I140" s="27"/>
    </row>
    <row r="141" spans="2:9" x14ac:dyDescent="0.25">
      <c r="B141" s="27"/>
      <c r="C141" s="27"/>
      <c r="D141" s="27"/>
      <c r="E141" s="27"/>
      <c r="F141" s="27"/>
      <c r="G141" s="27"/>
      <c r="H141" s="27"/>
      <c r="I141" s="27"/>
    </row>
    <row r="142" spans="2:9" x14ac:dyDescent="0.25">
      <c r="B142" s="27"/>
      <c r="C142" s="27"/>
      <c r="D142" s="27"/>
      <c r="E142" s="27"/>
      <c r="F142" s="27"/>
      <c r="G142" s="27"/>
      <c r="H142" s="27"/>
      <c r="I142" s="27"/>
    </row>
    <row r="143" spans="2:9" x14ac:dyDescent="0.25">
      <c r="B143" s="27"/>
      <c r="C143" s="27"/>
      <c r="D143" s="27"/>
      <c r="E143" s="27"/>
      <c r="F143" s="27"/>
      <c r="G143" s="27"/>
      <c r="H143" s="27"/>
      <c r="I143" s="27"/>
    </row>
    <row r="144" spans="2:9" x14ac:dyDescent="0.25">
      <c r="B144" s="27"/>
      <c r="C144" s="27"/>
      <c r="D144" s="27"/>
      <c r="E144" s="27"/>
      <c r="F144" s="27"/>
      <c r="G144" s="27"/>
      <c r="H144" s="27"/>
      <c r="I144" s="27"/>
    </row>
    <row r="145" spans="2:9" x14ac:dyDescent="0.25">
      <c r="B145" s="27"/>
      <c r="C145" s="27"/>
      <c r="D145" s="27"/>
      <c r="E145" s="27"/>
      <c r="F145" s="27"/>
      <c r="G145" s="27"/>
      <c r="H145" s="27"/>
      <c r="I145" s="27"/>
    </row>
    <row r="146" spans="2:9" x14ac:dyDescent="0.25">
      <c r="B146" s="27"/>
      <c r="C146" s="27"/>
      <c r="D146" s="27"/>
      <c r="E146" s="27"/>
      <c r="F146" s="27"/>
      <c r="G146" s="27"/>
      <c r="H146" s="27"/>
      <c r="I146" s="27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4"/>
  <sheetViews>
    <sheetView workbookViewId="0">
      <selection activeCell="B1" sqref="B1"/>
    </sheetView>
  </sheetViews>
  <sheetFormatPr baseColWidth="10" defaultColWidth="9" defaultRowHeight="15" x14ac:dyDescent="0.25"/>
  <cols>
    <col min="1" max="1" width="25.140625" style="25" bestFit="1" customWidth="1"/>
    <col min="2" max="2" width="9.5703125" style="25" bestFit="1" customWidth="1"/>
    <col min="3" max="16384" width="9" style="25"/>
  </cols>
  <sheetData>
    <row r="1" spans="1:18" x14ac:dyDescent="0.25">
      <c r="A1" s="28" t="s">
        <v>179</v>
      </c>
      <c r="G1" s="35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</row>
    <row r="2" spans="1:18" x14ac:dyDescent="0.25">
      <c r="A2" s="25" t="s">
        <v>11</v>
      </c>
      <c r="B2" s="32">
        <v>0.12</v>
      </c>
      <c r="G2" s="35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</row>
    <row r="3" spans="1:18" x14ac:dyDescent="0.25">
      <c r="A3" s="25" t="s">
        <v>56</v>
      </c>
      <c r="B3" s="31">
        <v>0.66666665999999997</v>
      </c>
      <c r="G3" s="35"/>
      <c r="H3" s="27"/>
      <c r="I3" s="27"/>
      <c r="J3" s="27"/>
      <c r="K3" s="27"/>
      <c r="L3" s="23"/>
      <c r="M3" s="27"/>
      <c r="N3" s="27"/>
      <c r="O3" s="27"/>
      <c r="P3" s="27"/>
      <c r="Q3" s="27"/>
      <c r="R3" s="27"/>
    </row>
    <row r="4" spans="1:18" x14ac:dyDescent="0.25">
      <c r="A4" s="25" t="s">
        <v>74</v>
      </c>
      <c r="B4" s="25">
        <v>4</v>
      </c>
      <c r="G4" s="35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</row>
    <row r="5" spans="1:18" x14ac:dyDescent="0.25">
      <c r="A5" s="25" t="s">
        <v>57</v>
      </c>
      <c r="B5" s="19">
        <v>0.14000000000000001</v>
      </c>
      <c r="G5" s="35"/>
      <c r="H5" s="27"/>
      <c r="I5" s="27"/>
      <c r="J5" s="27"/>
      <c r="K5" s="29"/>
      <c r="L5" s="27"/>
      <c r="M5" s="27"/>
      <c r="N5" s="27"/>
      <c r="O5" s="27"/>
      <c r="P5" s="27"/>
      <c r="Q5" s="27"/>
      <c r="R5" s="27"/>
    </row>
    <row r="6" spans="1:18" x14ac:dyDescent="0.25">
      <c r="A6" s="25" t="s">
        <v>58</v>
      </c>
      <c r="B6" s="25">
        <v>1.25</v>
      </c>
      <c r="G6" s="35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</row>
    <row r="7" spans="1:18" x14ac:dyDescent="0.25">
      <c r="A7" s="25" t="s">
        <v>28</v>
      </c>
      <c r="B7" s="19">
        <v>0.06</v>
      </c>
      <c r="G7" s="35"/>
      <c r="H7" s="29"/>
      <c r="I7" s="27"/>
      <c r="J7" s="27"/>
      <c r="K7" s="27"/>
      <c r="L7" s="27"/>
      <c r="M7" s="27"/>
      <c r="N7" s="27"/>
      <c r="O7" s="27"/>
      <c r="P7" s="27"/>
      <c r="Q7" s="27"/>
      <c r="R7" s="27"/>
    </row>
    <row r="8" spans="1:18" x14ac:dyDescent="0.25">
      <c r="G8" s="35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</row>
    <row r="9" spans="1:18" x14ac:dyDescent="0.25">
      <c r="A9" s="25" t="s">
        <v>59</v>
      </c>
      <c r="F9" s="35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</row>
    <row r="10" spans="1:18" x14ac:dyDescent="0.25">
      <c r="F10" s="35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</row>
    <row r="11" spans="1:18" x14ac:dyDescent="0.25">
      <c r="A11" s="25" t="s">
        <v>15</v>
      </c>
      <c r="B11" s="19">
        <f>B7+B6*(B5-B7)</f>
        <v>0.16000000000000003</v>
      </c>
      <c r="C11" s="25" t="s">
        <v>61</v>
      </c>
      <c r="F11" s="35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</row>
    <row r="12" spans="1:18" x14ac:dyDescent="0.25">
      <c r="A12" s="25" t="s">
        <v>62</v>
      </c>
      <c r="B12" s="21">
        <f>B4*B3</f>
        <v>2.6666666399999999</v>
      </c>
      <c r="C12" s="25" t="s">
        <v>65</v>
      </c>
      <c r="D12" s="20"/>
      <c r="F12" s="35"/>
      <c r="G12" s="27"/>
      <c r="H12" s="23"/>
      <c r="I12" s="27"/>
      <c r="J12" s="27"/>
      <c r="K12" s="27"/>
      <c r="L12" s="27"/>
      <c r="M12" s="27"/>
      <c r="N12" s="27"/>
      <c r="O12" s="27"/>
      <c r="P12" s="27"/>
      <c r="Q12" s="27"/>
      <c r="R12" s="27"/>
    </row>
    <row r="13" spans="1:18" x14ac:dyDescent="0.25">
      <c r="A13" s="25" t="s">
        <v>26</v>
      </c>
      <c r="B13" s="32">
        <f>B2*B3</f>
        <v>7.9999999199999991E-2</v>
      </c>
      <c r="C13" s="25" t="s">
        <v>66</v>
      </c>
      <c r="F13" s="35"/>
      <c r="G13" s="27"/>
      <c r="H13" s="23"/>
      <c r="I13" s="27"/>
      <c r="J13" s="27"/>
      <c r="K13" s="27"/>
      <c r="L13" s="27"/>
      <c r="M13" s="27"/>
      <c r="N13" s="27"/>
      <c r="O13" s="27"/>
      <c r="P13" s="27"/>
      <c r="Q13" s="27"/>
      <c r="R13" s="27"/>
    </row>
    <row r="14" spans="1:18" x14ac:dyDescent="0.25">
      <c r="A14" s="25" t="s">
        <v>63</v>
      </c>
      <c r="B14" s="19">
        <f>1-B3</f>
        <v>0.33333334000000003</v>
      </c>
      <c r="C14" s="25" t="s">
        <v>67</v>
      </c>
      <c r="F14" s="35"/>
      <c r="G14" s="27"/>
      <c r="H14" s="23"/>
      <c r="I14" s="27"/>
      <c r="J14" s="27"/>
      <c r="K14" s="27"/>
      <c r="L14" s="27"/>
      <c r="M14" s="27"/>
      <c r="N14" s="27"/>
      <c r="O14" s="27"/>
      <c r="P14" s="27"/>
      <c r="Q14" s="27"/>
      <c r="R14" s="27"/>
    </row>
    <row r="15" spans="1:18" x14ac:dyDescent="0.25">
      <c r="A15" s="25" t="s">
        <v>64</v>
      </c>
      <c r="B15" s="25">
        <f>B4*(1+B13)*B14</f>
        <v>1.4400000277333334</v>
      </c>
      <c r="C15" s="20" t="s">
        <v>68</v>
      </c>
      <c r="F15" s="35"/>
      <c r="G15" s="27"/>
      <c r="H15" s="23"/>
      <c r="I15" s="27"/>
      <c r="J15" s="27"/>
      <c r="K15" s="27"/>
      <c r="L15" s="27"/>
      <c r="M15" s="27"/>
      <c r="N15" s="27"/>
      <c r="O15" s="27"/>
      <c r="P15" s="27"/>
      <c r="Q15" s="27"/>
      <c r="R15" s="27"/>
    </row>
    <row r="16" spans="1:18" x14ac:dyDescent="0.25">
      <c r="A16" s="28" t="s">
        <v>60</v>
      </c>
      <c r="B16" s="55">
        <f>B15/(B11-B13)</f>
        <v>18.000000166666656</v>
      </c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</row>
    <row r="17" spans="1:18" x14ac:dyDescent="0.25"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</row>
    <row r="18" spans="1:18" x14ac:dyDescent="0.25"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</row>
    <row r="19" spans="1:18" x14ac:dyDescent="0.25">
      <c r="A19" s="25" t="s">
        <v>69</v>
      </c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</row>
    <row r="20" spans="1:18" x14ac:dyDescent="0.25">
      <c r="A20" s="28" t="s">
        <v>70</v>
      </c>
      <c r="B20" s="24">
        <f>B16/B4</f>
        <v>4.5000000416666639</v>
      </c>
      <c r="C20" s="20" t="s">
        <v>158</v>
      </c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</row>
    <row r="21" spans="1:18" x14ac:dyDescent="0.25">
      <c r="A21" s="28" t="s">
        <v>71</v>
      </c>
      <c r="B21" s="24">
        <f>B16/(B4*(1+B13))</f>
        <v>4.1666667083333309</v>
      </c>
      <c r="C21" s="20" t="s">
        <v>159</v>
      </c>
      <c r="F21" s="27"/>
      <c r="G21" s="22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</row>
    <row r="22" spans="1:18" x14ac:dyDescent="0.25">
      <c r="C22" s="20"/>
      <c r="F22" s="27"/>
      <c r="G22" s="22"/>
      <c r="H22" s="27"/>
      <c r="I22" s="27"/>
      <c r="J22" s="27"/>
      <c r="K22" s="27"/>
      <c r="L22" s="27"/>
      <c r="M22" s="27"/>
    </row>
    <row r="23" spans="1:18" x14ac:dyDescent="0.25">
      <c r="C23" s="20"/>
      <c r="F23" s="27"/>
      <c r="G23" s="22"/>
      <c r="H23" s="27"/>
      <c r="I23" s="27"/>
      <c r="J23" s="27"/>
      <c r="K23" s="27"/>
      <c r="L23" s="27"/>
      <c r="M23" s="27"/>
    </row>
    <row r="24" spans="1:18" x14ac:dyDescent="0.25">
      <c r="A24" s="25" t="s">
        <v>171</v>
      </c>
      <c r="B24" s="19">
        <f>(1-B14)</f>
        <v>0.66666665999999997</v>
      </c>
      <c r="C24" s="20" t="s">
        <v>159</v>
      </c>
      <c r="F24" s="27"/>
      <c r="G24" s="22"/>
      <c r="H24" s="27"/>
      <c r="I24" s="27"/>
      <c r="J24" s="27"/>
      <c r="K24" s="27"/>
      <c r="L24" s="27"/>
      <c r="M24" s="27"/>
    </row>
    <row r="25" spans="1:18" x14ac:dyDescent="0.25">
      <c r="A25" s="25" t="s">
        <v>72</v>
      </c>
      <c r="B25" s="30">
        <f>B2*(1-B3)</f>
        <v>4.0000000800000005E-2</v>
      </c>
      <c r="C25" s="20" t="s">
        <v>160</v>
      </c>
      <c r="F25" s="27"/>
      <c r="G25" s="22"/>
      <c r="H25" s="27"/>
      <c r="I25" s="27"/>
      <c r="J25" s="27"/>
      <c r="K25" s="27"/>
      <c r="L25" s="27"/>
      <c r="M25" s="27"/>
    </row>
    <row r="26" spans="1:18" x14ac:dyDescent="0.25">
      <c r="A26" s="25" t="s">
        <v>73</v>
      </c>
      <c r="B26" s="25">
        <f>((B4*(1+B25))*B24)</f>
        <v>2.7733333077333335</v>
      </c>
      <c r="C26" s="20" t="s">
        <v>161</v>
      </c>
      <c r="F26" s="27"/>
      <c r="G26" s="27"/>
      <c r="H26" s="27"/>
      <c r="I26" s="27"/>
      <c r="J26" s="27"/>
      <c r="K26" s="27"/>
      <c r="L26" s="27"/>
      <c r="M26" s="27"/>
    </row>
    <row r="27" spans="1:18" x14ac:dyDescent="0.25">
      <c r="C27" s="20"/>
      <c r="F27" s="27"/>
      <c r="G27" s="27"/>
      <c r="H27" s="27"/>
      <c r="I27" s="27"/>
      <c r="J27" s="27"/>
      <c r="K27" s="27"/>
      <c r="L27" s="27"/>
      <c r="M27" s="27"/>
    </row>
    <row r="28" spans="1:18" x14ac:dyDescent="0.25">
      <c r="A28" s="28" t="s">
        <v>60</v>
      </c>
      <c r="B28" s="28">
        <f>B26/(B11-B25)</f>
        <v>23.111111051851847</v>
      </c>
      <c r="C28" s="20" t="s">
        <v>162</v>
      </c>
      <c r="F28" s="27"/>
      <c r="G28" s="27"/>
      <c r="H28" s="27"/>
      <c r="I28" s="27"/>
      <c r="J28" s="27"/>
      <c r="K28" s="27"/>
      <c r="L28" s="27"/>
      <c r="M28" s="27"/>
    </row>
    <row r="29" spans="1:18" x14ac:dyDescent="0.25">
      <c r="F29" s="27"/>
      <c r="G29" s="27"/>
      <c r="H29" s="27"/>
      <c r="I29" s="27"/>
      <c r="J29" s="27"/>
      <c r="K29" s="27"/>
      <c r="L29" s="27"/>
      <c r="M29" s="27"/>
    </row>
    <row r="30" spans="1:18" x14ac:dyDescent="0.25">
      <c r="A30" s="25" t="s">
        <v>172</v>
      </c>
      <c r="F30" s="27"/>
      <c r="G30" s="27"/>
      <c r="H30" s="27"/>
      <c r="I30" s="27"/>
      <c r="J30" s="27"/>
      <c r="K30" s="27"/>
      <c r="L30" s="27"/>
      <c r="M30" s="27"/>
    </row>
    <row r="31" spans="1:18" x14ac:dyDescent="0.25">
      <c r="F31" s="27"/>
      <c r="G31" s="27"/>
      <c r="H31" s="27"/>
      <c r="I31" s="27"/>
      <c r="J31" s="27"/>
      <c r="K31" s="27"/>
      <c r="L31" s="27"/>
      <c r="M31" s="27"/>
    </row>
    <row r="32" spans="1:18" x14ac:dyDescent="0.25">
      <c r="F32" s="27"/>
      <c r="G32" s="27"/>
      <c r="H32" s="27"/>
      <c r="I32" s="27"/>
      <c r="J32" s="27"/>
      <c r="K32" s="27"/>
      <c r="L32" s="27"/>
      <c r="M32" s="27"/>
    </row>
    <row r="33" spans="6:13" x14ac:dyDescent="0.25">
      <c r="F33" s="27"/>
      <c r="G33" s="27"/>
      <c r="H33" s="27"/>
      <c r="I33" s="27"/>
      <c r="J33" s="27"/>
      <c r="K33" s="27"/>
      <c r="L33" s="27"/>
      <c r="M33" s="27"/>
    </row>
    <row r="34" spans="6:13" x14ac:dyDescent="0.25">
      <c r="F34" s="27"/>
      <c r="G34" s="27"/>
      <c r="H34" s="27"/>
      <c r="I34" s="27"/>
      <c r="J34" s="27"/>
      <c r="K34" s="27"/>
      <c r="L34" s="27"/>
      <c r="M34" s="27"/>
    </row>
    <row r="35" spans="6:13" x14ac:dyDescent="0.25">
      <c r="F35" s="27"/>
      <c r="G35" s="27"/>
      <c r="H35" s="27"/>
      <c r="I35" s="27"/>
      <c r="J35" s="27"/>
      <c r="K35" s="27"/>
      <c r="L35" s="27"/>
      <c r="M35" s="27"/>
    </row>
    <row r="36" spans="6:13" x14ac:dyDescent="0.25">
      <c r="F36" s="27"/>
      <c r="G36" s="27"/>
      <c r="H36" s="27"/>
      <c r="I36" s="27"/>
      <c r="J36" s="27"/>
      <c r="K36" s="27"/>
      <c r="L36" s="27"/>
      <c r="M36" s="27"/>
    </row>
    <row r="37" spans="6:13" x14ac:dyDescent="0.25">
      <c r="F37" s="27"/>
      <c r="G37" s="27"/>
      <c r="H37" s="27"/>
      <c r="I37" s="27"/>
      <c r="J37" s="27"/>
      <c r="K37" s="27"/>
      <c r="L37" s="27"/>
      <c r="M37" s="27"/>
    </row>
    <row r="38" spans="6:13" x14ac:dyDescent="0.25">
      <c r="F38" s="27"/>
      <c r="G38" s="27"/>
      <c r="H38" s="27"/>
      <c r="I38" s="27"/>
      <c r="J38" s="27"/>
      <c r="K38" s="27"/>
      <c r="L38" s="27"/>
      <c r="M38" s="27"/>
    </row>
    <row r="39" spans="6:13" x14ac:dyDescent="0.25">
      <c r="F39" s="27"/>
      <c r="G39" s="27"/>
      <c r="H39" s="27"/>
      <c r="I39" s="27"/>
      <c r="J39" s="27"/>
      <c r="K39" s="27"/>
      <c r="L39" s="27"/>
      <c r="M39" s="27"/>
    </row>
    <row r="40" spans="6:13" x14ac:dyDescent="0.25">
      <c r="F40" s="27"/>
      <c r="G40" s="27"/>
      <c r="H40" s="27"/>
      <c r="I40" s="27"/>
      <c r="J40" s="27"/>
      <c r="K40" s="27"/>
      <c r="L40" s="27"/>
      <c r="M40" s="27"/>
    </row>
    <row r="41" spans="6:13" x14ac:dyDescent="0.25">
      <c r="F41" s="27"/>
      <c r="G41" s="27"/>
      <c r="H41" s="27"/>
      <c r="I41" s="27"/>
      <c r="J41" s="27"/>
      <c r="K41" s="27"/>
      <c r="L41" s="27"/>
      <c r="M41" s="27"/>
    </row>
    <row r="42" spans="6:13" x14ac:dyDescent="0.25">
      <c r="F42" s="27"/>
      <c r="G42" s="27"/>
      <c r="H42" s="27"/>
      <c r="I42" s="27"/>
      <c r="J42" s="27"/>
      <c r="K42" s="27"/>
      <c r="L42" s="27"/>
      <c r="M42" s="27"/>
    </row>
    <row r="43" spans="6:13" x14ac:dyDescent="0.25">
      <c r="F43" s="27"/>
      <c r="G43" s="27"/>
      <c r="H43" s="27"/>
      <c r="I43" s="27"/>
      <c r="J43" s="27"/>
      <c r="K43" s="27"/>
      <c r="L43" s="27"/>
      <c r="M43" s="27"/>
    </row>
    <row r="44" spans="6:13" x14ac:dyDescent="0.25">
      <c r="F44" s="27"/>
      <c r="G44" s="27"/>
      <c r="H44" s="27"/>
      <c r="I44" s="27"/>
      <c r="J44" s="27"/>
      <c r="K44" s="27"/>
      <c r="L44" s="27"/>
      <c r="M44" s="27"/>
    </row>
    <row r="45" spans="6:13" x14ac:dyDescent="0.25">
      <c r="F45" s="27"/>
      <c r="G45" s="27"/>
      <c r="H45" s="27"/>
      <c r="I45" s="27"/>
      <c r="J45" s="27"/>
      <c r="K45" s="27"/>
      <c r="L45" s="27"/>
      <c r="M45" s="27"/>
    </row>
    <row r="46" spans="6:13" x14ac:dyDescent="0.25">
      <c r="F46" s="27"/>
      <c r="G46" s="27"/>
      <c r="H46" s="27"/>
      <c r="I46" s="27"/>
      <c r="J46" s="27"/>
      <c r="K46" s="27"/>
      <c r="L46" s="27"/>
      <c r="M46" s="27"/>
    </row>
    <row r="47" spans="6:13" x14ac:dyDescent="0.25">
      <c r="F47" s="27"/>
      <c r="G47" s="27"/>
      <c r="H47" s="27"/>
      <c r="I47" s="27"/>
      <c r="J47" s="27"/>
      <c r="K47" s="27"/>
      <c r="L47" s="27"/>
      <c r="M47" s="27"/>
    </row>
    <row r="48" spans="6:13" x14ac:dyDescent="0.25">
      <c r="F48" s="27"/>
      <c r="G48" s="27"/>
      <c r="H48" s="27"/>
      <c r="I48" s="27"/>
      <c r="J48" s="27"/>
      <c r="K48" s="27"/>
      <c r="L48" s="27"/>
      <c r="M48" s="27"/>
    </row>
    <row r="49" spans="6:13" x14ac:dyDescent="0.25">
      <c r="F49" s="27"/>
      <c r="G49" s="27"/>
      <c r="H49" s="27"/>
      <c r="I49" s="27"/>
      <c r="J49" s="27"/>
      <c r="K49" s="27"/>
      <c r="L49" s="27"/>
      <c r="M49" s="27"/>
    </row>
    <row r="50" spans="6:13" x14ac:dyDescent="0.25">
      <c r="F50" s="27"/>
      <c r="G50" s="27"/>
      <c r="H50" s="27"/>
      <c r="I50" s="27"/>
      <c r="J50" s="27"/>
      <c r="K50" s="27"/>
      <c r="L50" s="27"/>
      <c r="M50" s="27"/>
    </row>
    <row r="51" spans="6:13" x14ac:dyDescent="0.25">
      <c r="F51" s="27"/>
      <c r="G51" s="27"/>
      <c r="H51" s="27"/>
      <c r="I51" s="27"/>
      <c r="J51" s="27"/>
      <c r="K51" s="27"/>
      <c r="L51" s="27"/>
      <c r="M51" s="27"/>
    </row>
    <row r="52" spans="6:13" x14ac:dyDescent="0.25">
      <c r="F52" s="27"/>
      <c r="G52" s="27"/>
      <c r="H52" s="27"/>
      <c r="I52" s="27"/>
      <c r="J52" s="27"/>
      <c r="K52" s="27"/>
      <c r="L52" s="27"/>
      <c r="M52" s="27"/>
    </row>
    <row r="53" spans="6:13" x14ac:dyDescent="0.25">
      <c r="F53" s="27"/>
      <c r="G53" s="27"/>
      <c r="H53" s="27"/>
      <c r="I53" s="27"/>
      <c r="J53" s="27"/>
      <c r="K53" s="27"/>
      <c r="L53" s="27"/>
      <c r="M53" s="27"/>
    </row>
    <row r="54" spans="6:13" x14ac:dyDescent="0.25">
      <c r="F54" s="27"/>
      <c r="G54" s="27"/>
      <c r="H54" s="27"/>
      <c r="I54" s="27"/>
      <c r="J54" s="27"/>
      <c r="K54" s="27"/>
      <c r="L54" s="27"/>
      <c r="M54" s="27"/>
    </row>
    <row r="55" spans="6:13" x14ac:dyDescent="0.25">
      <c r="F55" s="27"/>
      <c r="G55" s="27"/>
      <c r="H55" s="27"/>
      <c r="I55" s="27"/>
      <c r="J55" s="27"/>
      <c r="K55" s="27"/>
      <c r="L55" s="27"/>
      <c r="M55" s="27"/>
    </row>
    <row r="56" spans="6:13" x14ac:dyDescent="0.25">
      <c r="F56" s="27"/>
      <c r="G56" s="27"/>
      <c r="H56" s="27"/>
      <c r="I56" s="27"/>
      <c r="J56" s="27"/>
      <c r="K56" s="27"/>
      <c r="L56" s="27"/>
      <c r="M56" s="27"/>
    </row>
    <row r="57" spans="6:13" x14ac:dyDescent="0.25">
      <c r="F57" s="27"/>
      <c r="G57" s="27"/>
      <c r="H57" s="27"/>
      <c r="I57" s="27"/>
      <c r="J57" s="27"/>
      <c r="K57" s="27"/>
      <c r="L57" s="27"/>
      <c r="M57" s="27"/>
    </row>
    <row r="58" spans="6:13" x14ac:dyDescent="0.25">
      <c r="F58" s="27"/>
      <c r="G58" s="27"/>
      <c r="H58" s="27"/>
      <c r="I58" s="27"/>
      <c r="J58" s="27"/>
      <c r="K58" s="27"/>
      <c r="L58" s="27"/>
      <c r="M58" s="27"/>
    </row>
    <row r="59" spans="6:13" x14ac:dyDescent="0.25">
      <c r="F59" s="27"/>
      <c r="G59" s="27"/>
      <c r="H59" s="27"/>
      <c r="I59" s="27"/>
      <c r="J59" s="27"/>
      <c r="K59" s="27"/>
      <c r="L59" s="27"/>
      <c r="M59" s="27"/>
    </row>
    <row r="60" spans="6:13" x14ac:dyDescent="0.25">
      <c r="F60" s="27"/>
      <c r="G60" s="27"/>
      <c r="H60" s="27"/>
      <c r="I60" s="27"/>
      <c r="J60" s="27"/>
      <c r="K60" s="27"/>
      <c r="L60" s="27"/>
      <c r="M60" s="27"/>
    </row>
    <row r="61" spans="6:13" x14ac:dyDescent="0.25">
      <c r="F61" s="27"/>
      <c r="G61" s="27"/>
      <c r="H61" s="27"/>
      <c r="I61" s="27"/>
      <c r="J61" s="27"/>
      <c r="K61" s="27"/>
      <c r="L61" s="27"/>
      <c r="M61" s="27"/>
    </row>
    <row r="62" spans="6:13" x14ac:dyDescent="0.25">
      <c r="F62" s="27"/>
      <c r="G62" s="27"/>
      <c r="H62" s="27"/>
      <c r="I62" s="27"/>
      <c r="J62" s="27"/>
      <c r="K62" s="27"/>
      <c r="L62" s="27"/>
      <c r="M62" s="27"/>
    </row>
    <row r="63" spans="6:13" x14ac:dyDescent="0.25">
      <c r="F63" s="27"/>
      <c r="G63" s="27"/>
      <c r="H63" s="27"/>
      <c r="I63" s="27"/>
      <c r="J63" s="27"/>
      <c r="K63" s="27"/>
      <c r="L63" s="27"/>
      <c r="M63" s="27"/>
    </row>
    <row r="64" spans="6:13" x14ac:dyDescent="0.25">
      <c r="F64" s="27"/>
      <c r="G64" s="27"/>
      <c r="H64" s="27"/>
      <c r="I64" s="27"/>
      <c r="J64" s="27"/>
      <c r="K64" s="27"/>
      <c r="L64" s="27"/>
      <c r="M64" s="27"/>
    </row>
    <row r="65" spans="6:13" x14ac:dyDescent="0.25">
      <c r="F65" s="27"/>
      <c r="G65" s="27"/>
      <c r="H65" s="27"/>
      <c r="I65" s="27"/>
      <c r="J65" s="27"/>
      <c r="K65" s="27"/>
      <c r="L65" s="27"/>
      <c r="M65" s="27"/>
    </row>
    <row r="66" spans="6:13" x14ac:dyDescent="0.25">
      <c r="F66" s="27"/>
      <c r="G66" s="27"/>
      <c r="H66" s="27"/>
      <c r="I66" s="27"/>
      <c r="J66" s="27"/>
      <c r="K66" s="27"/>
      <c r="L66" s="27"/>
      <c r="M66" s="27"/>
    </row>
    <row r="67" spans="6:13" x14ac:dyDescent="0.25">
      <c r="F67" s="27"/>
      <c r="G67" s="27"/>
      <c r="H67" s="27"/>
      <c r="I67" s="27"/>
      <c r="J67" s="27"/>
      <c r="K67" s="27"/>
      <c r="L67" s="27"/>
      <c r="M67" s="27"/>
    </row>
    <row r="68" spans="6:13" x14ac:dyDescent="0.25">
      <c r="F68" s="27"/>
      <c r="G68" s="27"/>
      <c r="H68" s="27"/>
      <c r="I68" s="27"/>
      <c r="J68" s="27"/>
      <c r="K68" s="27"/>
      <c r="L68" s="27"/>
      <c r="M68" s="27"/>
    </row>
    <row r="69" spans="6:13" x14ac:dyDescent="0.25">
      <c r="F69" s="27"/>
      <c r="G69" s="27"/>
      <c r="H69" s="27"/>
      <c r="I69" s="27"/>
      <c r="J69" s="27"/>
      <c r="K69" s="27"/>
      <c r="L69" s="27"/>
      <c r="M69" s="27"/>
    </row>
    <row r="70" spans="6:13" x14ac:dyDescent="0.25">
      <c r="F70" s="27"/>
      <c r="G70" s="27"/>
      <c r="H70" s="27"/>
      <c r="I70" s="27"/>
      <c r="J70" s="27"/>
      <c r="K70" s="27"/>
      <c r="L70" s="27"/>
      <c r="M70" s="27"/>
    </row>
    <row r="71" spans="6:13" x14ac:dyDescent="0.25">
      <c r="F71" s="27"/>
      <c r="G71" s="27"/>
      <c r="H71" s="27"/>
      <c r="I71" s="27"/>
      <c r="J71" s="27"/>
      <c r="K71" s="27"/>
      <c r="L71" s="27"/>
      <c r="M71" s="27"/>
    </row>
    <row r="72" spans="6:13" x14ac:dyDescent="0.25">
      <c r="F72" s="27"/>
      <c r="G72" s="27"/>
      <c r="H72" s="27"/>
      <c r="I72" s="27"/>
      <c r="J72" s="27"/>
      <c r="K72" s="27"/>
      <c r="L72" s="27"/>
      <c r="M72" s="27"/>
    </row>
    <row r="73" spans="6:13" x14ac:dyDescent="0.25">
      <c r="F73" s="27"/>
      <c r="G73" s="27"/>
      <c r="H73" s="27"/>
      <c r="I73" s="27"/>
      <c r="J73" s="27"/>
      <c r="K73" s="27"/>
      <c r="L73" s="27"/>
      <c r="M73" s="27"/>
    </row>
    <row r="74" spans="6:13" x14ac:dyDescent="0.25">
      <c r="F74" s="27"/>
      <c r="G74" s="27"/>
      <c r="H74" s="27"/>
      <c r="I74" s="27"/>
      <c r="J74" s="27"/>
      <c r="K74" s="27"/>
      <c r="L74" s="27"/>
      <c r="M74" s="27"/>
    </row>
    <row r="75" spans="6:13" x14ac:dyDescent="0.25">
      <c r="F75" s="27"/>
      <c r="G75" s="27"/>
      <c r="H75" s="27"/>
      <c r="I75" s="27"/>
      <c r="J75" s="27"/>
      <c r="K75" s="27"/>
      <c r="L75" s="27"/>
      <c r="M75" s="27"/>
    </row>
    <row r="76" spans="6:13" x14ac:dyDescent="0.25">
      <c r="F76" s="27"/>
      <c r="G76" s="27"/>
      <c r="H76" s="27"/>
      <c r="I76" s="27"/>
      <c r="J76" s="27"/>
      <c r="K76" s="27"/>
      <c r="L76" s="27"/>
      <c r="M76" s="27"/>
    </row>
    <row r="77" spans="6:13" x14ac:dyDescent="0.25">
      <c r="F77" s="27"/>
      <c r="G77" s="27"/>
      <c r="H77" s="27"/>
      <c r="I77" s="27"/>
      <c r="J77" s="27"/>
      <c r="K77" s="27"/>
      <c r="L77" s="27"/>
      <c r="M77" s="27"/>
    </row>
    <row r="78" spans="6:13" x14ac:dyDescent="0.25">
      <c r="F78" s="27"/>
      <c r="G78" s="27"/>
      <c r="H78" s="27"/>
      <c r="I78" s="27"/>
      <c r="J78" s="27"/>
      <c r="K78" s="27"/>
      <c r="L78" s="27"/>
      <c r="M78" s="27"/>
    </row>
    <row r="79" spans="6:13" x14ac:dyDescent="0.25">
      <c r="F79" s="27"/>
      <c r="G79" s="27"/>
      <c r="H79" s="27"/>
      <c r="I79" s="27"/>
      <c r="J79" s="27"/>
      <c r="K79" s="27"/>
      <c r="L79" s="27"/>
      <c r="M79" s="27"/>
    </row>
    <row r="80" spans="6:13" x14ac:dyDescent="0.25">
      <c r="F80" s="27"/>
      <c r="G80" s="27"/>
      <c r="H80" s="27"/>
      <c r="I80" s="27"/>
      <c r="J80" s="27"/>
      <c r="K80" s="27"/>
      <c r="L80" s="27"/>
      <c r="M80" s="27"/>
    </row>
    <row r="81" spans="6:13" x14ac:dyDescent="0.25">
      <c r="F81" s="27"/>
      <c r="G81" s="27"/>
      <c r="H81" s="27"/>
      <c r="I81" s="27"/>
      <c r="J81" s="27"/>
      <c r="K81" s="27"/>
      <c r="L81" s="27"/>
      <c r="M81" s="27"/>
    </row>
    <row r="83" spans="6:13" x14ac:dyDescent="0.25">
      <c r="F83" s="27"/>
      <c r="G83" s="27"/>
      <c r="H83" s="27"/>
      <c r="I83" s="27"/>
      <c r="J83" s="27"/>
      <c r="K83" s="27"/>
      <c r="L83" s="27"/>
      <c r="M83" s="27"/>
    </row>
    <row r="84" spans="6:13" x14ac:dyDescent="0.25">
      <c r="F84" s="27"/>
      <c r="G84" s="27"/>
      <c r="H84" s="27"/>
      <c r="I84" s="27"/>
      <c r="J84" s="27"/>
      <c r="K84" s="27"/>
      <c r="L84" s="27"/>
      <c r="M84" s="27"/>
    </row>
    <row r="85" spans="6:13" x14ac:dyDescent="0.25">
      <c r="F85" s="27"/>
      <c r="G85" s="27"/>
      <c r="H85" s="27"/>
      <c r="I85" s="27"/>
      <c r="J85" s="27"/>
      <c r="K85" s="27"/>
      <c r="L85" s="27"/>
      <c r="M85" s="27"/>
    </row>
    <row r="86" spans="6:13" x14ac:dyDescent="0.25">
      <c r="F86" s="27"/>
      <c r="G86" s="27"/>
      <c r="H86" s="27"/>
      <c r="I86" s="27"/>
      <c r="J86" s="27"/>
      <c r="K86" s="27"/>
      <c r="L86" s="27"/>
      <c r="M86" s="27"/>
    </row>
    <row r="87" spans="6:13" x14ac:dyDescent="0.25">
      <c r="F87" s="27"/>
      <c r="G87" s="27"/>
      <c r="H87" s="27"/>
      <c r="I87" s="27"/>
      <c r="J87" s="27"/>
      <c r="K87" s="27"/>
      <c r="L87" s="27"/>
      <c r="M87" s="27"/>
    </row>
    <row r="88" spans="6:13" x14ac:dyDescent="0.25">
      <c r="F88" s="27"/>
      <c r="G88" s="27"/>
      <c r="H88" s="27"/>
      <c r="I88" s="27"/>
      <c r="J88" s="27"/>
      <c r="K88" s="27"/>
      <c r="L88" s="27"/>
      <c r="M88" s="27"/>
    </row>
    <row r="89" spans="6:13" x14ac:dyDescent="0.25">
      <c r="F89" s="27"/>
      <c r="G89" s="27"/>
      <c r="H89" s="27"/>
      <c r="I89" s="27"/>
      <c r="J89" s="27"/>
      <c r="K89" s="27"/>
      <c r="L89" s="27"/>
      <c r="M89" s="27"/>
    </row>
    <row r="90" spans="6:13" x14ac:dyDescent="0.25">
      <c r="F90" s="27"/>
      <c r="G90" s="27"/>
      <c r="H90" s="27"/>
      <c r="I90" s="27"/>
      <c r="J90" s="27"/>
      <c r="K90" s="27"/>
      <c r="L90" s="27"/>
      <c r="M90" s="27"/>
    </row>
    <row r="91" spans="6:13" x14ac:dyDescent="0.25">
      <c r="F91" s="27"/>
      <c r="G91" s="27"/>
      <c r="H91" s="27"/>
      <c r="I91" s="27"/>
      <c r="J91" s="27"/>
      <c r="K91" s="27"/>
      <c r="L91" s="27"/>
      <c r="M91" s="27"/>
    </row>
    <row r="92" spans="6:13" x14ac:dyDescent="0.25">
      <c r="F92" s="27"/>
      <c r="G92" s="27"/>
      <c r="H92" s="27"/>
      <c r="I92" s="27"/>
      <c r="J92" s="27"/>
      <c r="K92" s="27"/>
      <c r="L92" s="27"/>
      <c r="M92" s="27"/>
    </row>
    <row r="93" spans="6:13" x14ac:dyDescent="0.25">
      <c r="F93" s="27"/>
      <c r="G93" s="27"/>
      <c r="H93" s="27"/>
      <c r="I93" s="27"/>
      <c r="J93" s="27"/>
      <c r="K93" s="27"/>
      <c r="L93" s="27"/>
      <c r="M93" s="27"/>
    </row>
    <row r="94" spans="6:13" x14ac:dyDescent="0.25">
      <c r="F94" s="27"/>
      <c r="G94" s="27"/>
      <c r="H94" s="27"/>
      <c r="I94" s="27"/>
      <c r="J94" s="27"/>
      <c r="K94" s="27"/>
      <c r="L94" s="27"/>
      <c r="M94" s="2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>
      <selection activeCell="B1" sqref="B1"/>
    </sheetView>
  </sheetViews>
  <sheetFormatPr baseColWidth="10" defaultColWidth="9.140625" defaultRowHeight="15" x14ac:dyDescent="0.25"/>
  <cols>
    <col min="1" max="1" width="28" customWidth="1"/>
  </cols>
  <sheetData>
    <row r="1" spans="1:3" x14ac:dyDescent="0.25">
      <c r="A1" s="28" t="s">
        <v>180</v>
      </c>
    </row>
    <row r="2" spans="1:3" x14ac:dyDescent="0.25">
      <c r="A2" s="25" t="s">
        <v>75</v>
      </c>
      <c r="B2" s="48">
        <v>35</v>
      </c>
    </row>
    <row r="3" spans="1:3" x14ac:dyDescent="0.25">
      <c r="A3" s="25" t="s">
        <v>76</v>
      </c>
      <c r="B3" s="31">
        <v>0.1</v>
      </c>
    </row>
    <row r="4" spans="1:3" s="25" customFormat="1" x14ac:dyDescent="0.25">
      <c r="A4" s="25" t="s">
        <v>77</v>
      </c>
      <c r="B4" s="31">
        <v>7.0000000000000007E-2</v>
      </c>
    </row>
    <row r="5" spans="1:3" x14ac:dyDescent="0.25">
      <c r="A5" s="25" t="s">
        <v>78</v>
      </c>
      <c r="B5" s="25">
        <v>1.5</v>
      </c>
    </row>
    <row r="6" spans="1:3" x14ac:dyDescent="0.25">
      <c r="A6" s="25" t="s">
        <v>57</v>
      </c>
      <c r="B6" s="32">
        <v>0.12</v>
      </c>
    </row>
    <row r="7" spans="1:3" x14ac:dyDescent="0.25">
      <c r="A7" s="25" t="s">
        <v>58</v>
      </c>
      <c r="B7" s="25">
        <v>1.1000000000000001</v>
      </c>
    </row>
    <row r="8" spans="1:3" x14ac:dyDescent="0.25">
      <c r="A8" s="25" t="s">
        <v>28</v>
      </c>
      <c r="B8" s="32">
        <v>0.04</v>
      </c>
    </row>
    <row r="11" spans="1:3" x14ac:dyDescent="0.25">
      <c r="A11" s="28" t="s">
        <v>79</v>
      </c>
    </row>
    <row r="12" spans="1:3" x14ac:dyDescent="0.25">
      <c r="A12" t="s">
        <v>28</v>
      </c>
      <c r="B12" s="32">
        <f>B8</f>
        <v>0.04</v>
      </c>
      <c r="C12" s="20" t="s">
        <v>163</v>
      </c>
    </row>
    <row r="13" spans="1:3" x14ac:dyDescent="0.25">
      <c r="A13" t="s">
        <v>80</v>
      </c>
      <c r="B13">
        <f>B7</f>
        <v>1.1000000000000001</v>
      </c>
      <c r="C13" s="20" t="s">
        <v>164</v>
      </c>
    </row>
    <row r="14" spans="1:3" x14ac:dyDescent="0.25">
      <c r="A14" t="s">
        <v>29</v>
      </c>
      <c r="B14" s="32">
        <f>B6-B8</f>
        <v>7.9999999999999988E-2</v>
      </c>
      <c r="C14" s="20" t="s">
        <v>165</v>
      </c>
    </row>
    <row r="15" spans="1:3" x14ac:dyDescent="0.25">
      <c r="A15" t="s">
        <v>15</v>
      </c>
      <c r="B15" s="29">
        <f>B12+B13*(B14)</f>
        <v>0.128</v>
      </c>
      <c r="C15" s="20" t="s">
        <v>166</v>
      </c>
    </row>
    <row r="17" spans="1:6" x14ac:dyDescent="0.25">
      <c r="A17" t="s">
        <v>90</v>
      </c>
    </row>
    <row r="18" spans="1:6" x14ac:dyDescent="0.25">
      <c r="A18" s="26"/>
      <c r="B18" t="s">
        <v>2</v>
      </c>
      <c r="C18" t="s">
        <v>89</v>
      </c>
      <c r="F18" t="s">
        <v>2</v>
      </c>
    </row>
    <row r="19" spans="1:6" x14ac:dyDescent="0.25">
      <c r="A19" s="26">
        <v>0</v>
      </c>
      <c r="B19">
        <f>B5</f>
        <v>1.5</v>
      </c>
      <c r="C19" s="48">
        <f>B19/(1+$B$15)^A19</f>
        <v>1.5</v>
      </c>
      <c r="D19" s="20" t="s">
        <v>167</v>
      </c>
    </row>
    <row r="20" spans="1:6" x14ac:dyDescent="0.25">
      <c r="A20" s="26">
        <v>1</v>
      </c>
      <c r="B20" s="48">
        <f>$B$19*((1+$B$3)^A20)</f>
        <v>1.6500000000000001</v>
      </c>
      <c r="C20" s="48">
        <f>B20/(1+$B$15)^A20</f>
        <v>1.4627659574468084</v>
      </c>
      <c r="D20" s="20" t="s">
        <v>168</v>
      </c>
    </row>
    <row r="21" spans="1:6" x14ac:dyDescent="0.25">
      <c r="A21" s="26">
        <v>2</v>
      </c>
      <c r="B21" s="48">
        <f t="shared" ref="B21:B22" si="0">$B$19*((1+$B$3)^A21)</f>
        <v>1.8150000000000004</v>
      </c>
      <c r="C21" s="48">
        <f t="shared" ref="C21:C22" si="1">B21/(1+$B$15)^A21</f>
        <v>1.4264561641768523</v>
      </c>
      <c r="D21" s="20" t="s">
        <v>169</v>
      </c>
    </row>
    <row r="22" spans="1:6" x14ac:dyDescent="0.25">
      <c r="A22" s="26">
        <v>3</v>
      </c>
      <c r="B22" s="48">
        <f t="shared" si="0"/>
        <v>1.9965000000000006</v>
      </c>
      <c r="C22" s="48">
        <f t="shared" si="1"/>
        <v>1.3910476778320369</v>
      </c>
      <c r="D22" s="20" t="s">
        <v>170</v>
      </c>
    </row>
    <row r="23" spans="1:6" x14ac:dyDescent="0.25">
      <c r="A23" s="26">
        <v>4</v>
      </c>
      <c r="B23" s="48">
        <f>B22*(1+B4)</f>
        <v>2.1362550000000007</v>
      </c>
      <c r="C23" s="25"/>
    </row>
    <row r="25" spans="1:6" x14ac:dyDescent="0.25">
      <c r="A25" t="s">
        <v>81</v>
      </c>
      <c r="B25" s="24">
        <f>B23/(B15-B4)</f>
        <v>36.831982758620704</v>
      </c>
      <c r="C25" t="s">
        <v>82</v>
      </c>
    </row>
    <row r="26" spans="1:6" x14ac:dyDescent="0.25">
      <c r="B26" s="48"/>
    </row>
    <row r="27" spans="1:6" x14ac:dyDescent="0.25">
      <c r="A27" t="s">
        <v>83</v>
      </c>
      <c r="B27" s="24">
        <f>B25/(1+B15)^3</f>
        <v>25.662431297935854</v>
      </c>
      <c r="C27" t="s">
        <v>84</v>
      </c>
    </row>
    <row r="29" spans="1:6" x14ac:dyDescent="0.25">
      <c r="A29" t="s">
        <v>85</v>
      </c>
      <c r="B29" s="48">
        <f>B2</f>
        <v>35</v>
      </c>
    </row>
    <row r="30" spans="1:6" x14ac:dyDescent="0.25">
      <c r="A30" t="s">
        <v>86</v>
      </c>
      <c r="B30" s="48">
        <f>B27</f>
        <v>25.662431297935854</v>
      </c>
    </row>
    <row r="31" spans="1:6" x14ac:dyDescent="0.25">
      <c r="A31" t="s">
        <v>87</v>
      </c>
      <c r="B31" s="48">
        <f>B30-B29</f>
        <v>-9.3375687020641465</v>
      </c>
    </row>
    <row r="33" spans="1:1" s="28" customFormat="1" x14ac:dyDescent="0.25">
      <c r="A33" s="28" t="s">
        <v>88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workbookViewId="0">
      <selection activeCell="B1" sqref="B1"/>
    </sheetView>
  </sheetViews>
  <sheetFormatPr baseColWidth="10" defaultColWidth="9.140625" defaultRowHeight="15" x14ac:dyDescent="0.25"/>
  <cols>
    <col min="1" max="1" width="22.28515625" bestFit="1" customWidth="1"/>
  </cols>
  <sheetData>
    <row r="1" spans="1:5" x14ac:dyDescent="0.25">
      <c r="A1" s="28" t="s">
        <v>181</v>
      </c>
    </row>
    <row r="2" spans="1:5" x14ac:dyDescent="0.25">
      <c r="A2" t="s">
        <v>92</v>
      </c>
      <c r="B2">
        <v>75</v>
      </c>
    </row>
    <row r="3" spans="1:5" s="25" customFormat="1" x14ac:dyDescent="0.25">
      <c r="A3" s="25" t="s">
        <v>96</v>
      </c>
      <c r="B3" s="25">
        <v>50</v>
      </c>
    </row>
    <row r="4" spans="1:5" x14ac:dyDescent="0.25">
      <c r="A4" t="s">
        <v>91</v>
      </c>
      <c r="B4">
        <v>6</v>
      </c>
    </row>
    <row r="5" spans="1:5" x14ac:dyDescent="0.25">
      <c r="A5" t="s">
        <v>93</v>
      </c>
      <c r="B5" s="19">
        <v>0.05</v>
      </c>
    </row>
    <row r="6" spans="1:5" x14ac:dyDescent="0.25">
      <c r="A6" t="s">
        <v>2</v>
      </c>
      <c r="B6">
        <v>3</v>
      </c>
    </row>
    <row r="7" spans="1:5" x14ac:dyDescent="0.25">
      <c r="A7" t="s">
        <v>94</v>
      </c>
      <c r="B7" s="32">
        <v>0.06</v>
      </c>
    </row>
    <row r="8" spans="1:5" x14ac:dyDescent="0.25">
      <c r="A8" t="s">
        <v>99</v>
      </c>
      <c r="B8" s="32">
        <v>0.11</v>
      </c>
    </row>
    <row r="9" spans="1:5" s="25" customFormat="1" x14ac:dyDescent="0.25">
      <c r="A9" s="25" t="s">
        <v>100</v>
      </c>
      <c r="B9" s="25">
        <v>0.9</v>
      </c>
    </row>
    <row r="10" spans="1:5" s="25" customFormat="1" x14ac:dyDescent="0.25"/>
    <row r="11" spans="1:5" x14ac:dyDescent="0.25">
      <c r="A11" s="28" t="s">
        <v>95</v>
      </c>
    </row>
    <row r="12" spans="1:5" x14ac:dyDescent="0.25">
      <c r="A12" t="s">
        <v>105</v>
      </c>
      <c r="B12" s="35">
        <f>B6/B4</f>
        <v>0.5</v>
      </c>
      <c r="C12" s="20" t="s">
        <v>97</v>
      </c>
      <c r="E12" t="s">
        <v>114</v>
      </c>
    </row>
    <row r="13" spans="1:5" x14ac:dyDescent="0.25">
      <c r="A13" t="s">
        <v>106</v>
      </c>
      <c r="B13" s="35">
        <f>B4/B3</f>
        <v>0.12</v>
      </c>
      <c r="C13" s="20" t="s">
        <v>98</v>
      </c>
      <c r="E13" s="32">
        <v>0.13250000000000001</v>
      </c>
    </row>
    <row r="14" spans="1:5" x14ac:dyDescent="0.25">
      <c r="A14" t="s">
        <v>15</v>
      </c>
      <c r="B14" s="32">
        <f>B7+B9*(B8-B7)</f>
        <v>0.10500000000000001</v>
      </c>
      <c r="C14" s="20" t="s">
        <v>103</v>
      </c>
    </row>
    <row r="16" spans="1:5" x14ac:dyDescent="0.25">
      <c r="A16" t="s">
        <v>101</v>
      </c>
      <c r="B16" s="28">
        <f>B13*B12*(1+B5)/(B14-B5)</f>
        <v>1.1454545454545453</v>
      </c>
      <c r="C16" s="20" t="s">
        <v>102</v>
      </c>
    </row>
    <row r="18" spans="1:4" x14ac:dyDescent="0.25">
      <c r="A18" t="s">
        <v>104</v>
      </c>
      <c r="B18" s="28">
        <f>(B13-B5)/(B14-B5)</f>
        <v>1.2727272727272725</v>
      </c>
    </row>
    <row r="19" spans="1:4" x14ac:dyDescent="0.25">
      <c r="A19" t="s">
        <v>107</v>
      </c>
    </row>
    <row r="21" spans="1:4" x14ac:dyDescent="0.25">
      <c r="A21" t="s">
        <v>108</v>
      </c>
    </row>
    <row r="22" spans="1:4" x14ac:dyDescent="0.25">
      <c r="A22" t="s">
        <v>109</v>
      </c>
      <c r="B22">
        <f>B2/B3</f>
        <v>1.5</v>
      </c>
      <c r="C22" s="20" t="s">
        <v>110</v>
      </c>
    </row>
    <row r="24" spans="1:4" x14ac:dyDescent="0.25">
      <c r="A24" t="s">
        <v>111</v>
      </c>
      <c r="B24" s="50">
        <f>B22</f>
        <v>1.5</v>
      </c>
      <c r="C24" s="20">
        <f>E13*B12*(1+B5)/(B14-B5)</f>
        <v>1.2647727272727274</v>
      </c>
    </row>
    <row r="25" spans="1:4" x14ac:dyDescent="0.25">
      <c r="A25" t="s">
        <v>112</v>
      </c>
      <c r="B25" s="49">
        <v>0.15714285714285717</v>
      </c>
      <c r="C25" s="20"/>
    </row>
    <row r="27" spans="1:4" x14ac:dyDescent="0.25">
      <c r="A27" t="s">
        <v>113</v>
      </c>
      <c r="B27">
        <v>1.5</v>
      </c>
    </row>
    <row r="28" spans="1:4" x14ac:dyDescent="0.25">
      <c r="A28" s="25" t="s">
        <v>111</v>
      </c>
      <c r="B28">
        <f>B27</f>
        <v>1.5</v>
      </c>
      <c r="C28" s="51">
        <f>(E13-B5)/(B14 -B5)</f>
        <v>1.4999999999999998</v>
      </c>
      <c r="D28" s="20" t="s">
        <v>115</v>
      </c>
    </row>
    <row r="29" spans="1:4" x14ac:dyDescent="0.25">
      <c r="A29" s="25" t="s">
        <v>112</v>
      </c>
      <c r="B29" s="49">
        <v>0.13250000000000001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workbookViewId="0">
      <selection activeCell="B1" sqref="B1"/>
    </sheetView>
  </sheetViews>
  <sheetFormatPr baseColWidth="10" defaultColWidth="9.140625" defaultRowHeight="15" x14ac:dyDescent="0.25"/>
  <cols>
    <col min="1" max="1" width="22.28515625" bestFit="1" customWidth="1"/>
  </cols>
  <sheetData>
    <row r="1" spans="1:2" x14ac:dyDescent="0.25">
      <c r="A1" s="28" t="s">
        <v>182</v>
      </c>
    </row>
    <row r="2" spans="1:2" s="25" customFormat="1" x14ac:dyDescent="0.25">
      <c r="A2" s="25" t="s">
        <v>92</v>
      </c>
      <c r="B2" s="25">
        <v>50</v>
      </c>
    </row>
    <row r="3" spans="1:2" s="25" customFormat="1" x14ac:dyDescent="0.25">
      <c r="A3" s="25" t="s">
        <v>116</v>
      </c>
      <c r="B3" s="25">
        <v>100</v>
      </c>
    </row>
    <row r="4" spans="1:2" s="25" customFormat="1" x14ac:dyDescent="0.25">
      <c r="A4" s="25" t="s">
        <v>131</v>
      </c>
      <c r="B4" s="25">
        <v>2.5</v>
      </c>
    </row>
    <row r="5" spans="1:2" s="25" customFormat="1" x14ac:dyDescent="0.25">
      <c r="A5" s="25" t="s">
        <v>93</v>
      </c>
      <c r="B5" s="19">
        <v>0.06</v>
      </c>
    </row>
    <row r="6" spans="1:2" s="25" customFormat="1" x14ac:dyDescent="0.25">
      <c r="A6" s="25" t="s">
        <v>2</v>
      </c>
      <c r="B6" s="25">
        <v>1.25</v>
      </c>
    </row>
    <row r="7" spans="1:2" s="25" customFormat="1" x14ac:dyDescent="0.25">
      <c r="A7" s="25" t="s">
        <v>94</v>
      </c>
      <c r="B7" s="19">
        <v>0.05</v>
      </c>
    </row>
    <row r="8" spans="1:2" s="25" customFormat="1" x14ac:dyDescent="0.25">
      <c r="A8" s="25" t="s">
        <v>99</v>
      </c>
      <c r="B8" s="32">
        <v>0.1</v>
      </c>
    </row>
    <row r="9" spans="1:2" s="25" customFormat="1" x14ac:dyDescent="0.25">
      <c r="A9" s="25" t="s">
        <v>100</v>
      </c>
      <c r="B9" s="25">
        <v>0.95</v>
      </c>
    </row>
    <row r="10" spans="1:2" s="25" customFormat="1" x14ac:dyDescent="0.25"/>
    <row r="12" spans="1:2" x14ac:dyDescent="0.25">
      <c r="A12" s="28" t="s">
        <v>27</v>
      </c>
    </row>
    <row r="13" spans="1:2" x14ac:dyDescent="0.25">
      <c r="A13" t="s">
        <v>117</v>
      </c>
      <c r="B13">
        <f>B6/B4</f>
        <v>0.5</v>
      </c>
    </row>
    <row r="14" spans="1:2" s="25" customFormat="1" x14ac:dyDescent="0.25">
      <c r="A14" s="25" t="s">
        <v>15</v>
      </c>
      <c r="B14" s="25">
        <f>B7+B9*(B8-B7)</f>
        <v>9.7500000000000003E-2</v>
      </c>
    </row>
    <row r="15" spans="1:2" x14ac:dyDescent="0.25">
      <c r="A15" t="s">
        <v>118</v>
      </c>
      <c r="B15" s="30">
        <f>B4/B3</f>
        <v>2.5000000000000001E-2</v>
      </c>
    </row>
    <row r="16" spans="1:2" x14ac:dyDescent="0.25">
      <c r="A16" s="28" t="s">
        <v>119</v>
      </c>
      <c r="B16" s="24">
        <f>(B15*B13*(1+B5))/(B14-B5)</f>
        <v>0.35333333333333333</v>
      </c>
    </row>
    <row r="17" spans="1:2" x14ac:dyDescent="0.25">
      <c r="A17" s="28" t="s">
        <v>120</v>
      </c>
      <c r="B17" s="24">
        <f>B3*B16</f>
        <v>35.333333333333336</v>
      </c>
    </row>
    <row r="19" spans="1:2" x14ac:dyDescent="0.25">
      <c r="A19" s="28" t="s">
        <v>121</v>
      </c>
    </row>
    <row r="20" spans="1:2" x14ac:dyDescent="0.25">
      <c r="B20" s="28">
        <f>B2/B3</f>
        <v>0.5</v>
      </c>
    </row>
    <row r="22" spans="1:2" x14ac:dyDescent="0.25">
      <c r="A22" s="28" t="s">
        <v>122</v>
      </c>
      <c r="B22" s="52">
        <f>B20*(B14-B5)/(B13*(1+B5))</f>
        <v>3.5377358490566044E-2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10</vt:i4>
      </vt:variant>
    </vt:vector>
  </HeadingPairs>
  <TitlesOfParts>
    <vt:vector size="10" baseType="lpstr">
      <vt:lpstr>Pr 12-1</vt:lpstr>
      <vt:lpstr>Pr 12-2</vt:lpstr>
      <vt:lpstr>Pr 12-3</vt:lpstr>
      <vt:lpstr>Pr 12-4</vt:lpstr>
      <vt:lpstr>Pr 12-5</vt:lpstr>
      <vt:lpstr>Pr 12-6</vt:lpstr>
      <vt:lpstr>Pr 12-7</vt:lpstr>
      <vt:lpstr>Pr 12-8</vt:lpstr>
      <vt:lpstr>Pr 12-9</vt:lpstr>
      <vt:lpstr>Pr 12-10</vt:lpstr>
    </vt:vector>
  </TitlesOfParts>
  <Company>HiNT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sequencer</dc:creator>
  <cp:lastModifiedBy>Helbæk Morten</cp:lastModifiedBy>
  <cp:lastPrinted>2010-08-23T08:15:36Z</cp:lastPrinted>
  <dcterms:created xsi:type="dcterms:W3CDTF">2010-06-22T20:41:53Z</dcterms:created>
  <dcterms:modified xsi:type="dcterms:W3CDTF">2013-05-18T07:47:38Z</dcterms:modified>
</cp:coreProperties>
</file>