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535" i="1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</calcChain>
</file>

<file path=xl/sharedStrings.xml><?xml version="1.0" encoding="utf-8"?>
<sst xmlns="http://schemas.openxmlformats.org/spreadsheetml/2006/main" count="16260" uniqueCount="6244">
  <si>
    <t>平安银行</t>
  </si>
  <si>
    <t>银行</t>
  </si>
  <si>
    <t>深圳</t>
  </si>
  <si>
    <t xml:space="preserve">--  </t>
  </si>
  <si>
    <t xml:space="preserve">       1028.92亿</t>
  </si>
  <si>
    <t xml:space="preserve">       1195.04亿</t>
  </si>
  <si>
    <t>万  科Ａ</t>
  </si>
  <si>
    <t>全国地产</t>
  </si>
  <si>
    <t xml:space="preserve">        930.44亿</t>
  </si>
  <si>
    <t xml:space="preserve">        933.15亿</t>
  </si>
  <si>
    <t>国农科技</t>
  </si>
  <si>
    <t>生物制药</t>
  </si>
  <si>
    <t xml:space="preserve">         12.77亿</t>
  </si>
  <si>
    <t xml:space="preserve">         12.79亿</t>
  </si>
  <si>
    <t>世纪星源</t>
  </si>
  <si>
    <t>区域地产</t>
  </si>
  <si>
    <t xml:space="preserve">         24.76亿</t>
  </si>
  <si>
    <t xml:space="preserve">         24.78亿</t>
  </si>
  <si>
    <t>深振业Ａ</t>
  </si>
  <si>
    <t xml:space="preserve">         74.84亿</t>
  </si>
  <si>
    <t xml:space="preserve">         75.46亿</t>
  </si>
  <si>
    <t>零七股份</t>
  </si>
  <si>
    <t>酒店餐饮</t>
  </si>
  <si>
    <t xml:space="preserve">         28.67亿</t>
  </si>
  <si>
    <t xml:space="preserve">         32.17亿</t>
  </si>
  <si>
    <t>宝利来</t>
  </si>
  <si>
    <t>综合类</t>
  </si>
  <si>
    <t xml:space="preserve">         12.37亿</t>
  </si>
  <si>
    <t xml:space="preserve">         25.50亿</t>
  </si>
  <si>
    <t>中国宝安</t>
  </si>
  <si>
    <t xml:space="preserve">        220.62亿</t>
  </si>
  <si>
    <t xml:space="preserve">        222.93亿</t>
  </si>
  <si>
    <t>深华新</t>
  </si>
  <si>
    <t>建筑施工</t>
  </si>
  <si>
    <t>北京</t>
  </si>
  <si>
    <t xml:space="preserve">         28.97亿</t>
  </si>
  <si>
    <t xml:space="preserve">         47.57亿</t>
  </si>
  <si>
    <t>深物业A</t>
  </si>
  <si>
    <t xml:space="preserve">         14.12亿</t>
  </si>
  <si>
    <t xml:space="preserve">         47.86亿</t>
  </si>
  <si>
    <t>南  玻Ａ</t>
  </si>
  <si>
    <t>玻璃</t>
  </si>
  <si>
    <t xml:space="preserve">        100.57亿</t>
  </si>
  <si>
    <t xml:space="preserve">        160.22亿</t>
  </si>
  <si>
    <t>沙河股份</t>
  </si>
  <si>
    <t xml:space="preserve">         25.37亿</t>
  </si>
  <si>
    <t>深康佳Ａ</t>
  </si>
  <si>
    <t>家用电器</t>
  </si>
  <si>
    <t xml:space="preserve">         29.46亿</t>
  </si>
  <si>
    <t xml:space="preserve">         59.12亿</t>
  </si>
  <si>
    <t>深中华A</t>
  </si>
  <si>
    <t>文教休闲</t>
  </si>
  <si>
    <t xml:space="preserve">         22.12亿</t>
  </si>
  <si>
    <t xml:space="preserve">         40.25亿</t>
  </si>
  <si>
    <t>中冠A</t>
  </si>
  <si>
    <t>纺织</t>
  </si>
  <si>
    <t xml:space="preserve">         10.41亿</t>
  </si>
  <si>
    <t xml:space="preserve">         17.66亿</t>
  </si>
  <si>
    <t>深深宝Ａ</t>
  </si>
  <si>
    <t>软饮料</t>
  </si>
  <si>
    <t xml:space="preserve">         26.40亿</t>
  </si>
  <si>
    <t>深华发Ａ</t>
  </si>
  <si>
    <t>元器件</t>
  </si>
  <si>
    <t xml:space="preserve">          5.19亿</t>
  </si>
  <si>
    <t xml:space="preserve">         22.74亿</t>
  </si>
  <si>
    <t>长城开发</t>
  </si>
  <si>
    <t>电脑设备</t>
  </si>
  <si>
    <t xml:space="preserve">         87.64亿</t>
  </si>
  <si>
    <t xml:space="preserve">         97.84亿</t>
  </si>
  <si>
    <t>深赤湾Ａ</t>
  </si>
  <si>
    <t>港口</t>
  </si>
  <si>
    <t xml:space="preserve">         68.57亿</t>
  </si>
  <si>
    <t xml:space="preserve">         95.10亿</t>
  </si>
  <si>
    <t>深天地Ａ</t>
  </si>
  <si>
    <t xml:space="preserve">         15.86亿</t>
  </si>
  <si>
    <t>招商地产</t>
  </si>
  <si>
    <t xml:space="preserve">        125.00亿</t>
  </si>
  <si>
    <t xml:space="preserve">        313.75亿</t>
  </si>
  <si>
    <t>特  力Ａ</t>
  </si>
  <si>
    <t>汽车服务</t>
  </si>
  <si>
    <t xml:space="preserve">         19.27亿</t>
  </si>
  <si>
    <t xml:space="preserve">         23.68亿</t>
  </si>
  <si>
    <t>飞亚达Ａ</t>
  </si>
  <si>
    <t>其他商业</t>
  </si>
  <si>
    <t xml:space="preserve">         29.64亿</t>
  </si>
  <si>
    <t xml:space="preserve">         37.43亿</t>
  </si>
  <si>
    <t>深圳能源</t>
  </si>
  <si>
    <t>火力发电</t>
  </si>
  <si>
    <t xml:space="preserve">         64.69亿</t>
  </si>
  <si>
    <t xml:space="preserve">        178.40亿</t>
  </si>
  <si>
    <t>国药一致</t>
  </si>
  <si>
    <t>医药商业</t>
  </si>
  <si>
    <t xml:space="preserve">        118.10亿</t>
  </si>
  <si>
    <t xml:space="preserve">        183.60亿</t>
  </si>
  <si>
    <t>深深房Ａ</t>
  </si>
  <si>
    <t xml:space="preserve">         40.75亿</t>
  </si>
  <si>
    <t xml:space="preserve">         46.23亿</t>
  </si>
  <si>
    <t>富奥股份</t>
  </si>
  <si>
    <t>汽车配件</t>
  </si>
  <si>
    <t>吉林</t>
  </si>
  <si>
    <t xml:space="preserve">         36.96亿</t>
  </si>
  <si>
    <t xml:space="preserve">         96.62亿</t>
  </si>
  <si>
    <t>中粮地产</t>
  </si>
  <si>
    <t xml:space="preserve">         97.03亿</t>
  </si>
  <si>
    <t>深桑达Ａ</t>
  </si>
  <si>
    <t xml:space="preserve">         20.40亿</t>
  </si>
  <si>
    <t>*ST新都</t>
  </si>
  <si>
    <t xml:space="preserve">         16.44亿</t>
  </si>
  <si>
    <t>深信泰丰</t>
  </si>
  <si>
    <t xml:space="preserve">         24.21亿</t>
  </si>
  <si>
    <t xml:space="preserve">         25.49亿</t>
  </si>
  <si>
    <t>中国天楹</t>
  </si>
  <si>
    <t>通信设备</t>
  </si>
  <si>
    <t xml:space="preserve">         23.15亿</t>
  </si>
  <si>
    <t xml:space="preserve">         69.47亿</t>
  </si>
  <si>
    <t>华联控股</t>
  </si>
  <si>
    <t xml:space="preserve">         42.60亿</t>
  </si>
  <si>
    <t>深南电Ａ</t>
  </si>
  <si>
    <t xml:space="preserve">         16.10亿</t>
  </si>
  <si>
    <t xml:space="preserve">         28.63亿</t>
  </si>
  <si>
    <t>深大通</t>
  </si>
  <si>
    <t xml:space="preserve">          5.06亿</t>
  </si>
  <si>
    <t xml:space="preserve">         17.37亿</t>
  </si>
  <si>
    <t>中集集团</t>
  </si>
  <si>
    <t>轻工机械</t>
  </si>
  <si>
    <t xml:space="preserve">        198.74亿</t>
  </si>
  <si>
    <t xml:space="preserve">        198.81亿</t>
  </si>
  <si>
    <t>宝安地产</t>
  </si>
  <si>
    <t xml:space="preserve">         21.88亿</t>
  </si>
  <si>
    <t>中洲控股</t>
  </si>
  <si>
    <t xml:space="preserve">         59.80亿</t>
  </si>
  <si>
    <t xml:space="preserve">         59.82亿</t>
  </si>
  <si>
    <t>中航地产</t>
  </si>
  <si>
    <t xml:space="preserve">         38.75亿</t>
  </si>
  <si>
    <t>深纺织Ａ</t>
  </si>
  <si>
    <t xml:space="preserve">         40.52亿</t>
  </si>
  <si>
    <t xml:space="preserve">         50.60亿</t>
  </si>
  <si>
    <t>泛海控股</t>
  </si>
  <si>
    <t xml:space="preserve">        244.97亿</t>
  </si>
  <si>
    <t xml:space="preserve">        245.64亿</t>
  </si>
  <si>
    <t>康达尔</t>
  </si>
  <si>
    <t>饲料</t>
  </si>
  <si>
    <t xml:space="preserve">         39.77亿</t>
  </si>
  <si>
    <t xml:space="preserve">         40.91亿</t>
  </si>
  <si>
    <t>德赛电池</t>
  </si>
  <si>
    <t>电气设备</t>
  </si>
  <si>
    <t xml:space="preserve">         81.91亿</t>
  </si>
  <si>
    <t>深天马Ａ</t>
  </si>
  <si>
    <t xml:space="preserve">        158.43亿</t>
  </si>
  <si>
    <t>方大集团</t>
  </si>
  <si>
    <t>其他建材</t>
  </si>
  <si>
    <t xml:space="preserve">         38.03亿</t>
  </si>
  <si>
    <t xml:space="preserve">         68.50亿</t>
  </si>
  <si>
    <t>深国商</t>
  </si>
  <si>
    <t>房产服务</t>
  </si>
  <si>
    <t xml:space="preserve">         22.30亿</t>
  </si>
  <si>
    <t xml:space="preserve">         41.33亿</t>
  </si>
  <si>
    <t>深 赛 格</t>
  </si>
  <si>
    <t xml:space="preserve">         30.63亿</t>
  </si>
  <si>
    <t xml:space="preserve">         44.66亿</t>
  </si>
  <si>
    <t>华锦股份</t>
  </si>
  <si>
    <t>石油加工</t>
  </si>
  <si>
    <t>辽宁</t>
  </si>
  <si>
    <t xml:space="preserve">         85.72亿</t>
  </si>
  <si>
    <t>中金岭南</t>
  </si>
  <si>
    <t>铅锌</t>
  </si>
  <si>
    <t xml:space="preserve">        163.85亿</t>
  </si>
  <si>
    <t xml:space="preserve">        164.00亿</t>
  </si>
  <si>
    <t>农 产 品</t>
  </si>
  <si>
    <t>农业综合</t>
  </si>
  <si>
    <t xml:space="preserve">        165.23亿</t>
  </si>
  <si>
    <t xml:space="preserve">        174.62亿</t>
  </si>
  <si>
    <t>深圳华强</t>
  </si>
  <si>
    <t>商贸代理</t>
  </si>
  <si>
    <t xml:space="preserve">        118.72亿</t>
  </si>
  <si>
    <t>中兴通讯</t>
  </si>
  <si>
    <t xml:space="preserve">        400.58亿</t>
  </si>
  <si>
    <t xml:space="preserve">        401.54亿</t>
  </si>
  <si>
    <t>北方国际</t>
  </si>
  <si>
    <t xml:space="preserve">         45.99亿</t>
  </si>
  <si>
    <t>长城电脑</t>
  </si>
  <si>
    <t xml:space="preserve">         85.37亿</t>
  </si>
  <si>
    <t>华控赛格</t>
  </si>
  <si>
    <t xml:space="preserve">         81.78亿</t>
  </si>
  <si>
    <t>华侨城Ａ</t>
  </si>
  <si>
    <t>旅游景点</t>
  </si>
  <si>
    <t xml:space="preserve">        171.50亿</t>
  </si>
  <si>
    <t xml:space="preserve">        400.65亿</t>
  </si>
  <si>
    <t>特发信息</t>
  </si>
  <si>
    <t xml:space="preserve">         28.24亿</t>
  </si>
  <si>
    <t xml:space="preserve">         29.59亿</t>
  </si>
  <si>
    <t>海王生物</t>
  </si>
  <si>
    <t xml:space="preserve">         65.84亿</t>
  </si>
  <si>
    <t xml:space="preserve">         65.93亿</t>
  </si>
  <si>
    <t>盐 田 港</t>
  </si>
  <si>
    <t xml:space="preserve">        116.33亿</t>
  </si>
  <si>
    <t xml:space="preserve">        116.34亿</t>
  </si>
  <si>
    <t>深圳机场</t>
  </si>
  <si>
    <t>机场</t>
  </si>
  <si>
    <t xml:space="preserve">         72.57亿</t>
  </si>
  <si>
    <t xml:space="preserve">         72.58亿</t>
  </si>
  <si>
    <t>天健集团</t>
  </si>
  <si>
    <t xml:space="preserve">         46.74亿</t>
  </si>
  <si>
    <t>广聚能源</t>
  </si>
  <si>
    <t>石油贸易</t>
  </si>
  <si>
    <t xml:space="preserve">         38.21亿</t>
  </si>
  <si>
    <t xml:space="preserve">         39.49亿</t>
  </si>
  <si>
    <t>中信海直</t>
  </si>
  <si>
    <t>空运</t>
  </si>
  <si>
    <t xml:space="preserve">         56.67亿</t>
  </si>
  <si>
    <t>TCL 集团</t>
  </si>
  <si>
    <t>广东</t>
  </si>
  <si>
    <t xml:space="preserve">        220.49亿</t>
  </si>
  <si>
    <t xml:space="preserve">        256.16亿</t>
  </si>
  <si>
    <t>宜华地产</t>
  </si>
  <si>
    <t>中成股份</t>
  </si>
  <si>
    <t xml:space="preserve">         37.58亿</t>
  </si>
  <si>
    <t xml:space="preserve">         41.73亿</t>
  </si>
  <si>
    <t>丰原药业</t>
  </si>
  <si>
    <t>化学制药</t>
  </si>
  <si>
    <t>安徽</t>
  </si>
  <si>
    <t xml:space="preserve">         28.89亿</t>
  </si>
  <si>
    <t xml:space="preserve">         31.40亿</t>
  </si>
  <si>
    <t>川化股份</t>
  </si>
  <si>
    <t>农药化肥</t>
  </si>
  <si>
    <t>四川</t>
  </si>
  <si>
    <t xml:space="preserve">         25.00亿</t>
  </si>
  <si>
    <t>华数传媒</t>
  </si>
  <si>
    <t>影视音像</t>
  </si>
  <si>
    <t>浙江</t>
  </si>
  <si>
    <t xml:space="preserve">         22.94亿</t>
  </si>
  <si>
    <t xml:space="preserve">        374.16亿</t>
  </si>
  <si>
    <t>中联重科</t>
  </si>
  <si>
    <t>工程机械</t>
  </si>
  <si>
    <t>湖南</t>
  </si>
  <si>
    <t xml:space="preserve">        301.79亿</t>
  </si>
  <si>
    <t xml:space="preserve">        302.50亿</t>
  </si>
  <si>
    <t>常山股份</t>
  </si>
  <si>
    <t>河北</t>
  </si>
  <si>
    <t xml:space="preserve">         39.11亿</t>
  </si>
  <si>
    <t>国际实业</t>
  </si>
  <si>
    <t>新疆</t>
  </si>
  <si>
    <t xml:space="preserve">         42.53亿</t>
  </si>
  <si>
    <t>东方市场</t>
  </si>
  <si>
    <t>江苏</t>
  </si>
  <si>
    <t xml:space="preserve">         41.66亿</t>
  </si>
  <si>
    <t>美的集团</t>
  </si>
  <si>
    <t xml:space="preserve">        375.90亿</t>
  </si>
  <si>
    <t xml:space="preserve">        926.21亿</t>
  </si>
  <si>
    <t>潍柴动力</t>
  </si>
  <si>
    <t>山东</t>
  </si>
  <si>
    <t xml:space="preserve">        204.99亿</t>
  </si>
  <si>
    <t xml:space="preserve">        319.51亿</t>
  </si>
  <si>
    <t>许继电气</t>
  </si>
  <si>
    <t>河南</t>
  </si>
  <si>
    <t xml:space="preserve">        130.93亿</t>
  </si>
  <si>
    <t xml:space="preserve">        222.13亿</t>
  </si>
  <si>
    <t>冀东水泥</t>
  </si>
  <si>
    <t>水泥</t>
  </si>
  <si>
    <t xml:space="preserve">        106.93亿</t>
  </si>
  <si>
    <t xml:space="preserve">        118.85亿</t>
  </si>
  <si>
    <t>金 融 街</t>
  </si>
  <si>
    <t xml:space="preserve">        195.68亿</t>
  </si>
  <si>
    <t xml:space="preserve">        195.85亿</t>
  </si>
  <si>
    <t>*ST生化</t>
  </si>
  <si>
    <t>江西</t>
  </si>
  <si>
    <t xml:space="preserve">         34.43亿</t>
  </si>
  <si>
    <t xml:space="preserve">         51.71亿</t>
  </si>
  <si>
    <t>华意压缩</t>
  </si>
  <si>
    <t>专用机械</t>
  </si>
  <si>
    <t xml:space="preserve">         32.01亿</t>
  </si>
  <si>
    <t xml:space="preserve">         36.15亿</t>
  </si>
  <si>
    <t>胜利股份</t>
  </si>
  <si>
    <t>塑料</t>
  </si>
  <si>
    <t xml:space="preserve">         42.05亿</t>
  </si>
  <si>
    <t xml:space="preserve">         42.33亿</t>
  </si>
  <si>
    <t>金谷源</t>
  </si>
  <si>
    <t xml:space="preserve">         14.91亿</t>
  </si>
  <si>
    <t>山东地矿</t>
  </si>
  <si>
    <t>普钢</t>
  </si>
  <si>
    <t xml:space="preserve">         31.98亿</t>
  </si>
  <si>
    <t xml:space="preserve">         54.74亿</t>
  </si>
  <si>
    <t>沈阳机床</t>
  </si>
  <si>
    <t>机床制造</t>
  </si>
  <si>
    <t xml:space="preserve">         57.26亿</t>
  </si>
  <si>
    <t xml:space="preserve">         59.32亿</t>
  </si>
  <si>
    <t>英特集团</t>
  </si>
  <si>
    <t xml:space="preserve">         26.68亿</t>
  </si>
  <si>
    <t xml:space="preserve">         27.18亿</t>
  </si>
  <si>
    <t>东旭光电</t>
  </si>
  <si>
    <t xml:space="preserve">        170.98亿</t>
  </si>
  <si>
    <t xml:space="preserve">        229.45亿</t>
  </si>
  <si>
    <t>渤海租赁</t>
  </si>
  <si>
    <t>多元金融</t>
  </si>
  <si>
    <t xml:space="preserve">        113.21亿</t>
  </si>
  <si>
    <t xml:space="preserve">        158.27亿</t>
  </si>
  <si>
    <t>民生控股</t>
  </si>
  <si>
    <t>百货</t>
  </si>
  <si>
    <t xml:space="preserve">         46.83亿</t>
  </si>
  <si>
    <t xml:space="preserve">         46.86亿</t>
  </si>
  <si>
    <t>合肥百货</t>
  </si>
  <si>
    <t xml:space="preserve">         49.05亿</t>
  </si>
  <si>
    <t xml:space="preserve">         49.13亿</t>
  </si>
  <si>
    <t>小天鹅Ａ</t>
  </si>
  <si>
    <t xml:space="preserve">         52.14亿</t>
  </si>
  <si>
    <t xml:space="preserve">         75.33亿</t>
  </si>
  <si>
    <t>通程控股</t>
  </si>
  <si>
    <t xml:space="preserve">         37.32亿</t>
  </si>
  <si>
    <t xml:space="preserve">         37.34亿</t>
  </si>
  <si>
    <t>吉林化纤</t>
  </si>
  <si>
    <t>化纤</t>
  </si>
  <si>
    <t xml:space="preserve">         16.68亿</t>
  </si>
  <si>
    <t xml:space="preserve">         19.82亿</t>
  </si>
  <si>
    <t>南京中北</t>
  </si>
  <si>
    <t>公共交通</t>
  </si>
  <si>
    <t xml:space="preserve">         25.53亿</t>
  </si>
  <si>
    <t>湖北宜化</t>
  </si>
  <si>
    <t>湖北</t>
  </si>
  <si>
    <t xml:space="preserve">         52.16亿</t>
  </si>
  <si>
    <t xml:space="preserve">         53.60亿</t>
  </si>
  <si>
    <t>东阿阿胶</t>
  </si>
  <si>
    <t>中成药</t>
  </si>
  <si>
    <t xml:space="preserve">        234.97亿</t>
  </si>
  <si>
    <t xml:space="preserve">        235.06亿</t>
  </si>
  <si>
    <t>徐工机械</t>
  </si>
  <si>
    <t xml:space="preserve">        168.36亿</t>
  </si>
  <si>
    <t xml:space="preserve">        168.94亿</t>
  </si>
  <si>
    <t>兴业矿业</t>
  </si>
  <si>
    <t>小金属</t>
  </si>
  <si>
    <t>内蒙</t>
  </si>
  <si>
    <t xml:space="preserve">         52.45亿</t>
  </si>
  <si>
    <t xml:space="preserve">         67.99亿</t>
  </si>
  <si>
    <t>华天酒店</t>
  </si>
  <si>
    <t xml:space="preserve">         43.63亿</t>
  </si>
  <si>
    <t xml:space="preserve">         43.64亿</t>
  </si>
  <si>
    <t>粤高速Ａ</t>
  </si>
  <si>
    <t>路桥</t>
  </si>
  <si>
    <t xml:space="preserve">         16.66亿</t>
  </si>
  <si>
    <t xml:space="preserve">         44.75亿</t>
  </si>
  <si>
    <t>张家界</t>
  </si>
  <si>
    <t xml:space="preserve">         16.30亿</t>
  </si>
  <si>
    <t xml:space="preserve">         25.99亿</t>
  </si>
  <si>
    <t>晨鸣纸业</t>
  </si>
  <si>
    <t>造纸</t>
  </si>
  <si>
    <t xml:space="preserve">         51.38亿</t>
  </si>
  <si>
    <t xml:space="preserve">         73.67亿</t>
  </si>
  <si>
    <t>山东路桥</t>
  </si>
  <si>
    <t xml:space="preserve">         15.41亿</t>
  </si>
  <si>
    <t xml:space="preserve">         48.73亿</t>
  </si>
  <si>
    <t>鄂武商Ａ</t>
  </si>
  <si>
    <t xml:space="preserve">         67.76亿</t>
  </si>
  <si>
    <t xml:space="preserve">         67.77亿</t>
  </si>
  <si>
    <t>绿景控股</t>
  </si>
  <si>
    <t xml:space="preserve">         17.23亿</t>
  </si>
  <si>
    <t>海虹控股</t>
  </si>
  <si>
    <t>互联网</t>
  </si>
  <si>
    <t>海南</t>
  </si>
  <si>
    <t xml:space="preserve">        215.33亿</t>
  </si>
  <si>
    <t xml:space="preserve">        215.54亿</t>
  </si>
  <si>
    <t>*ST传媒</t>
  </si>
  <si>
    <t>出版业</t>
  </si>
  <si>
    <t xml:space="preserve">         22.10亿</t>
  </si>
  <si>
    <t xml:space="preserve">         22.22亿</t>
  </si>
  <si>
    <t>珠江控股</t>
  </si>
  <si>
    <t xml:space="preserve">         21.81亿</t>
  </si>
  <si>
    <t xml:space="preserve">         25.82亿</t>
  </si>
  <si>
    <t>中润资源</t>
  </si>
  <si>
    <t xml:space="preserve">         50.11亿</t>
  </si>
  <si>
    <t xml:space="preserve">         50.17亿</t>
  </si>
  <si>
    <t>珠海港</t>
  </si>
  <si>
    <t xml:space="preserve">         43.24亿</t>
  </si>
  <si>
    <t xml:space="preserve">         44.21亿</t>
  </si>
  <si>
    <t>华塑控股</t>
  </si>
  <si>
    <t xml:space="preserve">         34.01亿</t>
  </si>
  <si>
    <t xml:space="preserve">         53.16亿</t>
  </si>
  <si>
    <t>金路集团</t>
  </si>
  <si>
    <t>化工原料</t>
  </si>
  <si>
    <t xml:space="preserve">         53.54亿</t>
  </si>
  <si>
    <t xml:space="preserve">         53.55亿</t>
  </si>
  <si>
    <t>烯碳新材</t>
  </si>
  <si>
    <t>矿物制品</t>
  </si>
  <si>
    <t xml:space="preserve">        116.29亿</t>
  </si>
  <si>
    <t>丽珠集团</t>
  </si>
  <si>
    <t xml:space="preserve">         91.14亿</t>
  </si>
  <si>
    <t xml:space="preserve">         94.25亿</t>
  </si>
  <si>
    <t>渝 开 发</t>
  </si>
  <si>
    <t>重庆</t>
  </si>
  <si>
    <t xml:space="preserve">         42.36亿</t>
  </si>
  <si>
    <t>开元投资</t>
  </si>
  <si>
    <t>陕西</t>
  </si>
  <si>
    <t xml:space="preserve">         54.38亿</t>
  </si>
  <si>
    <t xml:space="preserve">         55.08亿</t>
  </si>
  <si>
    <t>荣安地产</t>
  </si>
  <si>
    <t xml:space="preserve">         14.98亿</t>
  </si>
  <si>
    <t xml:space="preserve">         71.53亿</t>
  </si>
  <si>
    <t>四环生物</t>
  </si>
  <si>
    <t xml:space="preserve">         42.21亿</t>
  </si>
  <si>
    <t>江南红箭</t>
  </si>
  <si>
    <t>机械基件</t>
  </si>
  <si>
    <t xml:space="preserve">         30.08亿</t>
  </si>
  <si>
    <t xml:space="preserve">        116.61亿</t>
  </si>
  <si>
    <t>美菱电器</t>
  </si>
  <si>
    <t xml:space="preserve">         31.08亿</t>
  </si>
  <si>
    <t xml:space="preserve">         44.30亿</t>
  </si>
  <si>
    <t>广州浪奇</t>
  </si>
  <si>
    <t>日用化工</t>
  </si>
  <si>
    <t xml:space="preserve">         41.69亿</t>
  </si>
  <si>
    <t xml:space="preserve">         41.71亿</t>
  </si>
  <si>
    <t>东方宾馆</t>
  </si>
  <si>
    <t xml:space="preserve">         25.86亿</t>
  </si>
  <si>
    <t>红 太 阳</t>
  </si>
  <si>
    <t xml:space="preserve">         40.88亿</t>
  </si>
  <si>
    <t xml:space="preserve">         74.06亿</t>
  </si>
  <si>
    <t>银润投资</t>
  </si>
  <si>
    <t>福建</t>
  </si>
  <si>
    <t xml:space="preserve">         18.48亿</t>
  </si>
  <si>
    <t>柳    工</t>
  </si>
  <si>
    <t>广西</t>
  </si>
  <si>
    <t xml:space="preserve">         74.93亿</t>
  </si>
  <si>
    <t xml:space="preserve">         74.94亿</t>
  </si>
  <si>
    <t>广弘控股</t>
  </si>
  <si>
    <t>食品</t>
  </si>
  <si>
    <t xml:space="preserve">         55.59亿</t>
  </si>
  <si>
    <t xml:space="preserve">         57.21亿</t>
  </si>
  <si>
    <t>大冷股份</t>
  </si>
  <si>
    <t xml:space="preserve">         24.58亿</t>
  </si>
  <si>
    <t xml:space="preserve">         39.87亿</t>
  </si>
  <si>
    <t>穗恒运Ａ</t>
  </si>
  <si>
    <t xml:space="preserve">         61.59亿</t>
  </si>
  <si>
    <t>力合股份</t>
  </si>
  <si>
    <t xml:space="preserve">         53.00亿</t>
  </si>
  <si>
    <t xml:space="preserve">         53.29亿</t>
  </si>
  <si>
    <t>万 家 乐</t>
  </si>
  <si>
    <t xml:space="preserve">         31.50亿</t>
  </si>
  <si>
    <t xml:space="preserve">         31.78亿</t>
  </si>
  <si>
    <t>万泽股份</t>
  </si>
  <si>
    <t xml:space="preserve">         18.19亿</t>
  </si>
  <si>
    <t xml:space="preserve">         42.84亿</t>
  </si>
  <si>
    <t>华映科技</t>
  </si>
  <si>
    <t xml:space="preserve">         49.85亿</t>
  </si>
  <si>
    <t xml:space="preserve">        202.09亿</t>
  </si>
  <si>
    <t>广宇发展</t>
  </si>
  <si>
    <t>天津</t>
  </si>
  <si>
    <t xml:space="preserve">         34.97亿</t>
  </si>
  <si>
    <t>云南白药</t>
  </si>
  <si>
    <t>云南</t>
  </si>
  <si>
    <t xml:space="preserve">        545.36亿</t>
  </si>
  <si>
    <t xml:space="preserve">        545.38亿</t>
  </si>
  <si>
    <t>粤电力Ａ</t>
  </si>
  <si>
    <t xml:space="preserve">        106.81亿</t>
  </si>
  <si>
    <t xml:space="preserve">        219.64亿</t>
  </si>
  <si>
    <t>中天城投</t>
  </si>
  <si>
    <t>贵州</t>
  </si>
  <si>
    <t xml:space="preserve">         92.18亿</t>
  </si>
  <si>
    <t xml:space="preserve">         92.83亿</t>
  </si>
  <si>
    <t>佛山照明</t>
  </si>
  <si>
    <t xml:space="preserve">         81.84亿</t>
  </si>
  <si>
    <t xml:space="preserve">        129.56亿</t>
  </si>
  <si>
    <t>皖能电力</t>
  </si>
  <si>
    <t xml:space="preserve">         72.38亿</t>
  </si>
  <si>
    <t xml:space="preserve">         74.35亿</t>
  </si>
  <si>
    <t>中原环保</t>
  </si>
  <si>
    <t>环境保护</t>
  </si>
  <si>
    <t xml:space="preserve">         31.55亿</t>
  </si>
  <si>
    <t>金浦钛业</t>
  </si>
  <si>
    <t xml:space="preserve">         16.98亿</t>
  </si>
  <si>
    <t xml:space="preserve">         33.30亿</t>
  </si>
  <si>
    <t>光华控股</t>
  </si>
  <si>
    <t xml:space="preserve">         13.12亿</t>
  </si>
  <si>
    <t xml:space="preserve">         15.20亿</t>
  </si>
  <si>
    <t>闽福发Ａ</t>
  </si>
  <si>
    <t xml:space="preserve">         49.84亿</t>
  </si>
  <si>
    <t xml:space="preserve">         56.63亿</t>
  </si>
  <si>
    <t>湖南投资</t>
  </si>
  <si>
    <t xml:space="preserve">         29.45亿</t>
  </si>
  <si>
    <t>江铃汽车</t>
  </si>
  <si>
    <t>汽车整车</t>
  </si>
  <si>
    <t xml:space="preserve">        164.69亿</t>
  </si>
  <si>
    <t xml:space="preserve">        274.76亿</t>
  </si>
  <si>
    <t>创元科技</t>
  </si>
  <si>
    <t xml:space="preserve">         38.57亿</t>
  </si>
  <si>
    <t>靖远煤电</t>
  </si>
  <si>
    <t>煤炭开采</t>
  </si>
  <si>
    <t>甘肃</t>
  </si>
  <si>
    <t xml:space="preserve">         32.23亿</t>
  </si>
  <si>
    <t xml:space="preserve">         65.42亿</t>
  </si>
  <si>
    <t>沙隆达Ａ</t>
  </si>
  <si>
    <t xml:space="preserve">         45.49亿</t>
  </si>
  <si>
    <t xml:space="preserve">         74.24亿</t>
  </si>
  <si>
    <t>泰山石油</t>
  </si>
  <si>
    <t xml:space="preserve">         31.84亿</t>
  </si>
  <si>
    <t>神州信息</t>
  </si>
  <si>
    <t xml:space="preserve">         35.41亿</t>
  </si>
  <si>
    <t xml:space="preserve">        168.48亿</t>
  </si>
  <si>
    <t>*ST广夏</t>
  </si>
  <si>
    <t>红黄药酒</t>
  </si>
  <si>
    <t>宁夏</t>
  </si>
  <si>
    <t xml:space="preserve">         46.17亿</t>
  </si>
  <si>
    <t xml:space="preserve">         48.03亿</t>
  </si>
  <si>
    <t>莱茵置业</t>
  </si>
  <si>
    <t xml:space="preserve">         38.04亿</t>
  </si>
  <si>
    <t xml:space="preserve">         38.07亿</t>
  </si>
  <si>
    <t>万向钱潮</t>
  </si>
  <si>
    <t xml:space="preserve">        274.79亿</t>
  </si>
  <si>
    <t xml:space="preserve">        275.32亿</t>
  </si>
  <si>
    <t>昆百大Ａ</t>
  </si>
  <si>
    <t xml:space="preserve">          7.88亿</t>
  </si>
  <si>
    <t xml:space="preserve">         14.45亿</t>
  </si>
  <si>
    <t>烽火电子</t>
  </si>
  <si>
    <t xml:space="preserve">         56.84亿</t>
  </si>
  <si>
    <t xml:space="preserve">         57.02亿</t>
  </si>
  <si>
    <t>宏源证券</t>
  </si>
  <si>
    <t>证券</t>
  </si>
  <si>
    <t xml:space="preserve">        425.38亿</t>
  </si>
  <si>
    <t xml:space="preserve">        480.26亿</t>
  </si>
  <si>
    <t>陕国投Ａ</t>
  </si>
  <si>
    <t xml:space="preserve">         54.72亿</t>
  </si>
  <si>
    <t xml:space="preserve">         88.31亿</t>
  </si>
  <si>
    <t>西安民生</t>
  </si>
  <si>
    <t xml:space="preserve">         15.24亿</t>
  </si>
  <si>
    <t xml:space="preserve">         21.49亿</t>
  </si>
  <si>
    <t>渝三峡Ａ</t>
  </si>
  <si>
    <t>染料涂料</t>
  </si>
  <si>
    <t xml:space="preserve">         20.33亿</t>
  </si>
  <si>
    <t>海南海药</t>
  </si>
  <si>
    <t xml:space="preserve">         79.33亿</t>
  </si>
  <si>
    <t xml:space="preserve">         79.48亿</t>
  </si>
  <si>
    <t>海德股份</t>
  </si>
  <si>
    <t xml:space="preserve">         16.90亿</t>
  </si>
  <si>
    <t xml:space="preserve">         19.40亿</t>
  </si>
  <si>
    <t>泸州老窖</t>
  </si>
  <si>
    <t>白酒</t>
  </si>
  <si>
    <t xml:space="preserve">        254.98亿</t>
  </si>
  <si>
    <t xml:space="preserve">        255.35亿</t>
  </si>
  <si>
    <t>苏常柴Ａ</t>
  </si>
  <si>
    <t>农用机械</t>
  </si>
  <si>
    <t xml:space="preserve">         38.46亿</t>
  </si>
  <si>
    <t xml:space="preserve">         52.49亿</t>
  </si>
  <si>
    <t>新大洲Ａ</t>
  </si>
  <si>
    <t xml:space="preserve">         37.36亿</t>
  </si>
  <si>
    <t xml:space="preserve">         41.35亿</t>
  </si>
  <si>
    <t>海马汽车</t>
  </si>
  <si>
    <t xml:space="preserve">         76.67亿</t>
  </si>
  <si>
    <t xml:space="preserve">         76.80亿</t>
  </si>
  <si>
    <t>粤宏远Ａ</t>
  </si>
  <si>
    <t xml:space="preserve">         27.63亿</t>
  </si>
  <si>
    <t xml:space="preserve">         27.65亿</t>
  </si>
  <si>
    <t>广东甘化</t>
  </si>
  <si>
    <t xml:space="preserve">         35.45亿</t>
  </si>
  <si>
    <t xml:space="preserve">         61.29亿</t>
  </si>
  <si>
    <t>威孚高科</t>
  </si>
  <si>
    <t xml:space="preserve">        182.58亿</t>
  </si>
  <si>
    <t xml:space="preserve">        274.54亿</t>
  </si>
  <si>
    <t>北部湾港</t>
  </si>
  <si>
    <t xml:space="preserve">         16.76亿</t>
  </si>
  <si>
    <t xml:space="preserve">         98.44亿</t>
  </si>
  <si>
    <t>友利控股</t>
  </si>
  <si>
    <t xml:space="preserve">         38.29亿</t>
  </si>
  <si>
    <t>东北电气</t>
  </si>
  <si>
    <t xml:space="preserve">         26.81亿</t>
  </si>
  <si>
    <t xml:space="preserve">         27.08亿</t>
  </si>
  <si>
    <t>汇源通信</t>
  </si>
  <si>
    <t xml:space="preserve">         19.77亿</t>
  </si>
  <si>
    <t>金叶珠宝</t>
  </si>
  <si>
    <t>批发业</t>
  </si>
  <si>
    <t>黑龙江</t>
  </si>
  <si>
    <t xml:space="preserve">         46.68亿</t>
  </si>
  <si>
    <t xml:space="preserve">         66.63亿</t>
  </si>
  <si>
    <t>黔轮胎Ａ</t>
  </si>
  <si>
    <t xml:space="preserve">         29.14亿</t>
  </si>
  <si>
    <t xml:space="preserve">         46.22亿</t>
  </si>
  <si>
    <t>紫光古汉</t>
  </si>
  <si>
    <t xml:space="preserve">         33.89亿</t>
  </si>
  <si>
    <t xml:space="preserve">         33.90亿</t>
  </si>
  <si>
    <t>桐 君 阁</t>
  </si>
  <si>
    <t xml:space="preserve">         33.75亿</t>
  </si>
  <si>
    <t>平潭发展</t>
  </si>
  <si>
    <t>林业</t>
  </si>
  <si>
    <t xml:space="preserve">        100.43亿</t>
  </si>
  <si>
    <t xml:space="preserve">        101.69亿</t>
  </si>
  <si>
    <t>大通燃气</t>
  </si>
  <si>
    <t>供气供热</t>
  </si>
  <si>
    <t xml:space="preserve">         16.31亿</t>
  </si>
  <si>
    <t xml:space="preserve">         20.46亿</t>
  </si>
  <si>
    <t>西北轴承</t>
  </si>
  <si>
    <t xml:space="preserve">         17.26亿</t>
  </si>
  <si>
    <t xml:space="preserve">         19.72亿</t>
  </si>
  <si>
    <t>古井贡酒</t>
  </si>
  <si>
    <t xml:space="preserve">        104.26亿</t>
  </si>
  <si>
    <t xml:space="preserve">        136.88亿</t>
  </si>
  <si>
    <t>东北制药</t>
  </si>
  <si>
    <t xml:space="preserve">         41.70亿</t>
  </si>
  <si>
    <t xml:space="preserve">         59.81亿</t>
  </si>
  <si>
    <t>兴蓉投资</t>
  </si>
  <si>
    <t xml:space="preserve">         98.47亿</t>
  </si>
  <si>
    <t xml:space="preserve">        169.92亿</t>
  </si>
  <si>
    <t>青岛双星</t>
  </si>
  <si>
    <t xml:space="preserve">         28.44亿</t>
  </si>
  <si>
    <t xml:space="preserve">         28.45亿</t>
  </si>
  <si>
    <t>建投能源</t>
  </si>
  <si>
    <t xml:space="preserve">         60.11亿</t>
  </si>
  <si>
    <t xml:space="preserve">        117.89亿</t>
  </si>
  <si>
    <t>韶能股份</t>
  </si>
  <si>
    <t xml:space="preserve">         45.72亿</t>
  </si>
  <si>
    <t xml:space="preserve">         49.71亿</t>
  </si>
  <si>
    <t>盛达矿业</t>
  </si>
  <si>
    <t xml:space="preserve">         14.60亿</t>
  </si>
  <si>
    <t xml:space="preserve">         82.46亿</t>
  </si>
  <si>
    <t>渤海股份</t>
  </si>
  <si>
    <t>水务</t>
  </si>
  <si>
    <t xml:space="preserve">         15.26亿</t>
  </si>
  <si>
    <t xml:space="preserve">         33.66亿</t>
  </si>
  <si>
    <t>青海明胶</t>
  </si>
  <si>
    <t>青海</t>
  </si>
  <si>
    <t xml:space="preserve">         27.32亿</t>
  </si>
  <si>
    <t xml:space="preserve">         31.77亿</t>
  </si>
  <si>
    <t>华智控股</t>
  </si>
  <si>
    <t>电器仪表</t>
  </si>
  <si>
    <t xml:space="preserve">         51.55亿</t>
  </si>
  <si>
    <t>阳光股份</t>
  </si>
  <si>
    <t xml:space="preserve">         33.15亿</t>
  </si>
  <si>
    <t>绵世股份</t>
  </si>
  <si>
    <t xml:space="preserve">         35.20亿</t>
  </si>
  <si>
    <t xml:space="preserve">         38.28亿</t>
  </si>
  <si>
    <t>西安旅游</t>
  </si>
  <si>
    <t>旅游服务</t>
  </si>
  <si>
    <t xml:space="preserve">         15.91亿</t>
  </si>
  <si>
    <t xml:space="preserve">         16.05亿</t>
  </si>
  <si>
    <t>四海股份</t>
  </si>
  <si>
    <t xml:space="preserve">         17.20亿</t>
  </si>
  <si>
    <t xml:space="preserve">         17.35亿</t>
  </si>
  <si>
    <t>焦作万方</t>
  </si>
  <si>
    <t>铝</t>
  </si>
  <si>
    <t xml:space="preserve">        105.44亿</t>
  </si>
  <si>
    <t xml:space="preserve">        108.33亿</t>
  </si>
  <si>
    <t>大东海A</t>
  </si>
  <si>
    <t xml:space="preserve">         17.59亿</t>
  </si>
  <si>
    <t>湖北金环</t>
  </si>
  <si>
    <t xml:space="preserve">         23.47亿</t>
  </si>
  <si>
    <t xml:space="preserve">         23.48亿</t>
  </si>
  <si>
    <t>亿城投资</t>
  </si>
  <si>
    <t xml:space="preserve">         56.49亿</t>
  </si>
  <si>
    <t>石油济柴</t>
  </si>
  <si>
    <t xml:space="preserve">         28.09亿</t>
  </si>
  <si>
    <t>海螺型材</t>
  </si>
  <si>
    <t xml:space="preserve">         27.47亿</t>
  </si>
  <si>
    <t>新华联</t>
  </si>
  <si>
    <t xml:space="preserve">         96.52亿</t>
  </si>
  <si>
    <t>恒立实业</t>
  </si>
  <si>
    <t xml:space="preserve">         15.05亿</t>
  </si>
  <si>
    <t xml:space="preserve">         23.43亿</t>
  </si>
  <si>
    <t>吉林敖东</t>
  </si>
  <si>
    <t xml:space="preserve">        136.42亿</t>
  </si>
  <si>
    <t xml:space="preserve">        158.23亿</t>
  </si>
  <si>
    <t>长安汽车</t>
  </si>
  <si>
    <t xml:space="preserve">        463.41亿</t>
  </si>
  <si>
    <t xml:space="preserve">        637.88亿</t>
  </si>
  <si>
    <t>如意集团</t>
  </si>
  <si>
    <t xml:space="preserve">         19.68亿</t>
  </si>
  <si>
    <t xml:space="preserve">         19.70亿</t>
  </si>
  <si>
    <t>天茂集团</t>
  </si>
  <si>
    <t xml:space="preserve">         41.83亿</t>
  </si>
  <si>
    <t>高新发展</t>
  </si>
  <si>
    <t>园区开发</t>
  </si>
  <si>
    <t xml:space="preserve">         15.75亿</t>
  </si>
  <si>
    <t xml:space="preserve">         18.41亿</t>
  </si>
  <si>
    <t>攀钢钒钛</t>
  </si>
  <si>
    <t xml:space="preserve">        123.47亿</t>
  </si>
  <si>
    <t xml:space="preserve">        222.47亿</t>
  </si>
  <si>
    <t>铜陵有色</t>
  </si>
  <si>
    <t>铜</t>
  </si>
  <si>
    <t xml:space="preserve">        159.49亿</t>
  </si>
  <si>
    <t xml:space="preserve">        159.50亿</t>
  </si>
  <si>
    <t>顺发恒业</t>
  </si>
  <si>
    <t xml:space="preserve">         61.89亿</t>
  </si>
  <si>
    <t>三木集团</t>
  </si>
  <si>
    <t xml:space="preserve">         25.51亿</t>
  </si>
  <si>
    <t>合金投资</t>
  </si>
  <si>
    <t xml:space="preserve">         27.27亿</t>
  </si>
  <si>
    <t>英 力 特</t>
  </si>
  <si>
    <t xml:space="preserve">         18.57亿</t>
  </si>
  <si>
    <t xml:space="preserve">         31.79亿</t>
  </si>
  <si>
    <t>风华高科</t>
  </si>
  <si>
    <t xml:space="preserve">         58.24亿</t>
  </si>
  <si>
    <t>茂化实华</t>
  </si>
  <si>
    <t xml:space="preserve">         22.21亿</t>
  </si>
  <si>
    <t>万方发展</t>
  </si>
  <si>
    <t xml:space="preserve">         17.98亿</t>
  </si>
  <si>
    <t>西王食品</t>
  </si>
  <si>
    <t>仁和药业</t>
  </si>
  <si>
    <t xml:space="preserve">         56.35亿</t>
  </si>
  <si>
    <t xml:space="preserve">         56.37亿</t>
  </si>
  <si>
    <t>格力电器</t>
  </si>
  <si>
    <t xml:space="preserve">        893.18亿</t>
  </si>
  <si>
    <t xml:space="preserve">        899.65亿</t>
  </si>
  <si>
    <t>泰达股份</t>
  </si>
  <si>
    <t xml:space="preserve">         67.78亿</t>
  </si>
  <si>
    <t xml:space="preserve">         68.32亿</t>
  </si>
  <si>
    <t>金岭矿业</t>
  </si>
  <si>
    <t xml:space="preserve">         48.16亿</t>
  </si>
  <si>
    <t>金科股份</t>
  </si>
  <si>
    <t xml:space="preserve">         40.77亿</t>
  </si>
  <si>
    <t xml:space="preserve">        113.19亿</t>
  </si>
  <si>
    <t>中钨高新</t>
  </si>
  <si>
    <t xml:space="preserve">         21.19亿</t>
  </si>
  <si>
    <t xml:space="preserve">         92.48亿</t>
  </si>
  <si>
    <t>*ST中富</t>
  </si>
  <si>
    <t>广告包装</t>
  </si>
  <si>
    <t xml:space="preserve">         42.56亿</t>
  </si>
  <si>
    <t>长春高新</t>
  </si>
  <si>
    <t xml:space="preserve">        127.88亿</t>
  </si>
  <si>
    <t xml:space="preserve">        127.89亿</t>
  </si>
  <si>
    <t>索芙特</t>
  </si>
  <si>
    <t xml:space="preserve">         18.09亿</t>
  </si>
  <si>
    <t>永安林业</t>
  </si>
  <si>
    <t xml:space="preserve">         20.48亿</t>
  </si>
  <si>
    <t xml:space="preserve">         24.88亿</t>
  </si>
  <si>
    <t>湖北广电</t>
  </si>
  <si>
    <t xml:space="preserve">         25.59亿</t>
  </si>
  <si>
    <t xml:space="preserve">         52.37亿</t>
  </si>
  <si>
    <t>经纬纺机</t>
  </si>
  <si>
    <t>纺织机械</t>
  </si>
  <si>
    <t xml:space="preserve">         37.65亿</t>
  </si>
  <si>
    <t xml:space="preserve">         67.14亿</t>
  </si>
  <si>
    <t>美好集团</t>
  </si>
  <si>
    <t xml:space="preserve">         53.75亿</t>
  </si>
  <si>
    <t>荣丰控股</t>
  </si>
  <si>
    <t>上海</t>
  </si>
  <si>
    <t xml:space="preserve">         18.43亿</t>
  </si>
  <si>
    <t>金鸿能源</t>
  </si>
  <si>
    <t xml:space="preserve">         46.81亿</t>
  </si>
  <si>
    <t xml:space="preserve">         82.65亿</t>
  </si>
  <si>
    <t>盈方微</t>
  </si>
  <si>
    <t xml:space="preserve">         56.52亿</t>
  </si>
  <si>
    <t xml:space="preserve">         99.47亿</t>
  </si>
  <si>
    <t>阳 光 城</t>
  </si>
  <si>
    <t xml:space="preserve">        129.58亿</t>
  </si>
  <si>
    <t xml:space="preserve">        131.97亿</t>
  </si>
  <si>
    <t>上峰水泥</t>
  </si>
  <si>
    <t xml:space="preserve">         12.89亿</t>
  </si>
  <si>
    <t xml:space="preserve">         49.79亿</t>
  </si>
  <si>
    <t>当代东方</t>
  </si>
  <si>
    <t>山西</t>
  </si>
  <si>
    <t xml:space="preserve">         39.47亿</t>
  </si>
  <si>
    <t>思达高科</t>
  </si>
  <si>
    <t xml:space="preserve">         19.56亿</t>
  </si>
  <si>
    <t xml:space="preserve">         19.60亿</t>
  </si>
  <si>
    <t>恒天海龙</t>
  </si>
  <si>
    <t xml:space="preserve">         35.34亿</t>
  </si>
  <si>
    <t>襄阳轴承</t>
  </si>
  <si>
    <t xml:space="preserve">         17.85亿</t>
  </si>
  <si>
    <t xml:space="preserve">         25.44亿</t>
  </si>
  <si>
    <t>大连友谊</t>
  </si>
  <si>
    <t xml:space="preserve">         25.38亿</t>
  </si>
  <si>
    <t>山推股份</t>
  </si>
  <si>
    <t xml:space="preserve">         34.37亿</t>
  </si>
  <si>
    <t xml:space="preserve">         44.67亿</t>
  </si>
  <si>
    <t>视觉中国</t>
  </si>
  <si>
    <t>软件服务</t>
  </si>
  <si>
    <t xml:space="preserve">         36.25亿</t>
  </si>
  <si>
    <t xml:space="preserve">        171.38亿</t>
  </si>
  <si>
    <t>东方电子</t>
  </si>
  <si>
    <t xml:space="preserve">         40.98亿</t>
  </si>
  <si>
    <t xml:space="preserve">         40.99亿</t>
  </si>
  <si>
    <t>远兴能源</t>
  </si>
  <si>
    <t xml:space="preserve">         33.17亿</t>
  </si>
  <si>
    <t xml:space="preserve">         60.07亿</t>
  </si>
  <si>
    <t>中山公用</t>
  </si>
  <si>
    <t xml:space="preserve">         84.72亿</t>
  </si>
  <si>
    <t xml:space="preserve">        100.76亿</t>
  </si>
  <si>
    <t>东北证券</t>
  </si>
  <si>
    <t xml:space="preserve">        149.35亿</t>
  </si>
  <si>
    <t xml:space="preserve">        173.01亿</t>
  </si>
  <si>
    <t>恒天天鹅</t>
  </si>
  <si>
    <t xml:space="preserve">         37.90亿</t>
  </si>
  <si>
    <t xml:space="preserve">         40.90亿</t>
  </si>
  <si>
    <t>建新矿业</t>
  </si>
  <si>
    <t xml:space="preserve">         20.25亿</t>
  </si>
  <si>
    <t xml:space="preserve">         77.79亿</t>
  </si>
  <si>
    <t>宝新能源</t>
  </si>
  <si>
    <t xml:space="preserve">         80.15亿</t>
  </si>
  <si>
    <t xml:space="preserve">         80.81亿</t>
  </si>
  <si>
    <t>亚太实业</t>
  </si>
  <si>
    <t xml:space="preserve">         19.17亿</t>
  </si>
  <si>
    <t xml:space="preserve">         21.34亿</t>
  </si>
  <si>
    <t>惠天热电</t>
  </si>
  <si>
    <t xml:space="preserve">         26.21亿</t>
  </si>
  <si>
    <t xml:space="preserve">         26.22亿</t>
  </si>
  <si>
    <t>华泽钴镍</t>
  </si>
  <si>
    <t xml:space="preserve">         17.63亿</t>
  </si>
  <si>
    <t xml:space="preserve">        133.16亿</t>
  </si>
  <si>
    <t>滨海能源</t>
  </si>
  <si>
    <t xml:space="preserve">         31.91亿</t>
  </si>
  <si>
    <t xml:space="preserve">         31.97亿</t>
  </si>
  <si>
    <t>炼石有色</t>
  </si>
  <si>
    <t xml:space="preserve">         49.06亿</t>
  </si>
  <si>
    <t xml:space="preserve">        107.63亿</t>
  </si>
  <si>
    <t>沈阳化工</t>
  </si>
  <si>
    <t xml:space="preserve">         27.59亿</t>
  </si>
  <si>
    <t xml:space="preserve">         29.08亿</t>
  </si>
  <si>
    <t>模塑科技</t>
  </si>
  <si>
    <t xml:space="preserve">         38.26亿</t>
  </si>
  <si>
    <t>厦门信达</t>
  </si>
  <si>
    <t xml:space="preserve">         27.39亿</t>
  </si>
  <si>
    <t xml:space="preserve">         35.44亿</t>
  </si>
  <si>
    <t>正虹科技</t>
  </si>
  <si>
    <t xml:space="preserve">         19.65亿</t>
  </si>
  <si>
    <t>恒逸石化</t>
  </si>
  <si>
    <t xml:space="preserve">         93.90亿</t>
  </si>
  <si>
    <t>浙江震元</t>
  </si>
  <si>
    <t xml:space="preserve">         29.29亿</t>
  </si>
  <si>
    <t xml:space="preserve">         35.88亿</t>
  </si>
  <si>
    <t>双环科技</t>
  </si>
  <si>
    <t xml:space="preserve">         23.81亿</t>
  </si>
  <si>
    <t>大冶特钢</t>
  </si>
  <si>
    <t>特钢</t>
  </si>
  <si>
    <t xml:space="preserve">         43.68亿</t>
  </si>
  <si>
    <t xml:space="preserve">         43.91亿</t>
  </si>
  <si>
    <t>河北钢铁</t>
  </si>
  <si>
    <t xml:space="preserve">        111.97亿</t>
  </si>
  <si>
    <t xml:space="preserve">        233.61亿</t>
  </si>
  <si>
    <t>天兴仪表</t>
  </si>
  <si>
    <t xml:space="preserve">         19.96亿</t>
  </si>
  <si>
    <t>天伦置业</t>
  </si>
  <si>
    <t xml:space="preserve">         18.66亿</t>
  </si>
  <si>
    <t>锦龙股份</t>
  </si>
  <si>
    <t xml:space="preserve">         79.46亿</t>
  </si>
  <si>
    <t xml:space="preserve">        158.95亿</t>
  </si>
  <si>
    <t>丰乐种业</t>
  </si>
  <si>
    <t>种植业</t>
  </si>
  <si>
    <t xml:space="preserve">         23.25亿</t>
  </si>
  <si>
    <t>中兴商业</t>
  </si>
  <si>
    <t xml:space="preserve">         31.31亿</t>
  </si>
  <si>
    <t xml:space="preserve">         31.42亿</t>
  </si>
  <si>
    <t>南方食品</t>
  </si>
  <si>
    <t xml:space="preserve">         23.33亿</t>
  </si>
  <si>
    <t xml:space="preserve">         33.51亿</t>
  </si>
  <si>
    <t>韶钢松山</t>
  </si>
  <si>
    <t>钢加工</t>
  </si>
  <si>
    <t xml:space="preserve">         23.12亿</t>
  </si>
  <si>
    <t xml:space="preserve">         49.60亿</t>
  </si>
  <si>
    <t>苏宁环球</t>
  </si>
  <si>
    <t xml:space="preserve">         77.02亿</t>
  </si>
  <si>
    <t xml:space="preserve">        107.06亿</t>
  </si>
  <si>
    <t>大地传媒</t>
  </si>
  <si>
    <t xml:space="preserve">         15.74亿</t>
  </si>
  <si>
    <t xml:space="preserve">        105.47亿</t>
  </si>
  <si>
    <t>新能泰山</t>
  </si>
  <si>
    <t xml:space="preserve">         28.15亿</t>
  </si>
  <si>
    <t>西安饮食</t>
  </si>
  <si>
    <t xml:space="preserve">         23.04亿</t>
  </si>
  <si>
    <t>湖南发展</t>
  </si>
  <si>
    <t>水力发电</t>
  </si>
  <si>
    <t xml:space="preserve">         21.42亿</t>
  </si>
  <si>
    <t xml:space="preserve">         37.09亿</t>
  </si>
  <si>
    <t>美锦能源</t>
  </si>
  <si>
    <t>焦炭加工</t>
  </si>
  <si>
    <t xml:space="preserve">         12.94亿</t>
  </si>
  <si>
    <t xml:space="preserve">         18.54亿</t>
  </si>
  <si>
    <t>京东方Ａ</t>
  </si>
  <si>
    <t xml:space="preserve">        269.23亿</t>
  </si>
  <si>
    <t xml:space="preserve">        825.78亿</t>
  </si>
  <si>
    <t>鲁  泰Ａ</t>
  </si>
  <si>
    <t xml:space="preserve">         52.69亿</t>
  </si>
  <si>
    <t xml:space="preserve">         90.41亿</t>
  </si>
  <si>
    <t>华东科技</t>
  </si>
  <si>
    <t xml:space="preserve">         28.19亿</t>
  </si>
  <si>
    <t xml:space="preserve">         28.27亿</t>
  </si>
  <si>
    <t>国元证券</t>
  </si>
  <si>
    <t xml:space="preserve">        257.69亿</t>
  </si>
  <si>
    <t>燕京啤酒</t>
  </si>
  <si>
    <t>啤酒</t>
  </si>
  <si>
    <t xml:space="preserve">        167.71亿</t>
  </si>
  <si>
    <t xml:space="preserve">        188.46亿</t>
  </si>
  <si>
    <t>四川美丰</t>
  </si>
  <si>
    <t xml:space="preserve">         43.40亿</t>
  </si>
  <si>
    <t xml:space="preserve">         43.41亿</t>
  </si>
  <si>
    <t>泰禾集团</t>
  </si>
  <si>
    <t xml:space="preserve">        105.34亿</t>
  </si>
  <si>
    <t xml:space="preserve">        105.48亿</t>
  </si>
  <si>
    <t>振华科技</t>
  </si>
  <si>
    <t xml:space="preserve">         65.50亿</t>
  </si>
  <si>
    <t xml:space="preserve">         85.84亿</t>
  </si>
  <si>
    <t>罗 牛 山</t>
  </si>
  <si>
    <t xml:space="preserve">         60.29亿</t>
  </si>
  <si>
    <t>中房地产</t>
  </si>
  <si>
    <t xml:space="preserve">         10.70亿</t>
  </si>
  <si>
    <t xml:space="preserve">         24.79亿</t>
  </si>
  <si>
    <t>南风化工</t>
  </si>
  <si>
    <t xml:space="preserve">         25.95亿</t>
  </si>
  <si>
    <t xml:space="preserve">         25.96亿</t>
  </si>
  <si>
    <t>中航动控</t>
  </si>
  <si>
    <t>航空</t>
  </si>
  <si>
    <t xml:space="preserve">        188.00亿</t>
  </si>
  <si>
    <t>普洛药业</t>
  </si>
  <si>
    <t xml:space="preserve">         59.03亿</t>
  </si>
  <si>
    <t xml:space="preserve">         83.01亿</t>
  </si>
  <si>
    <t>长城信息</t>
  </si>
  <si>
    <t xml:space="preserve">         97.23亿</t>
  </si>
  <si>
    <t>国海证券</t>
  </si>
  <si>
    <t xml:space="preserve">        196.98亿</t>
  </si>
  <si>
    <t xml:space="preserve">        225.49亿</t>
  </si>
  <si>
    <t>锌业股份</t>
  </si>
  <si>
    <t xml:space="preserve">         99.68亿</t>
  </si>
  <si>
    <t>西藏发展</t>
  </si>
  <si>
    <t>西藏</t>
  </si>
  <si>
    <t xml:space="preserve">         29.04亿</t>
  </si>
  <si>
    <t>漳州发展</t>
  </si>
  <si>
    <t xml:space="preserve">         24.30亿</t>
  </si>
  <si>
    <t>*ST三维</t>
  </si>
  <si>
    <t xml:space="preserve">         22.29亿</t>
  </si>
  <si>
    <t>新华制药</t>
  </si>
  <si>
    <t xml:space="preserve">         21.39亿</t>
  </si>
  <si>
    <t>浩物股份</t>
  </si>
  <si>
    <t xml:space="preserve">         19.93亿</t>
  </si>
  <si>
    <t xml:space="preserve">         28.77亿</t>
  </si>
  <si>
    <t>中色股份</t>
  </si>
  <si>
    <t xml:space="preserve">        105.03亿</t>
  </si>
  <si>
    <t xml:space="preserve">        114.72亿</t>
  </si>
  <si>
    <t>中百集团</t>
  </si>
  <si>
    <t>超市连锁</t>
  </si>
  <si>
    <t xml:space="preserve">         59.14亿</t>
  </si>
  <si>
    <t xml:space="preserve">         59.18亿</t>
  </si>
  <si>
    <t>斯太尔</t>
  </si>
  <si>
    <t xml:space="preserve">         32.95亿</t>
  </si>
  <si>
    <t xml:space="preserve">         76.69亿</t>
  </si>
  <si>
    <t>本钢板材</t>
  </si>
  <si>
    <t xml:space="preserve">        166.08亿</t>
  </si>
  <si>
    <t xml:space="preserve">        190.36亿</t>
  </si>
  <si>
    <t>西藏矿业</t>
  </si>
  <si>
    <t xml:space="preserve">         73.44亿</t>
  </si>
  <si>
    <t>通化金马</t>
  </si>
  <si>
    <t xml:space="preserve">         31.07亿</t>
  </si>
  <si>
    <t>漳泽电力</t>
  </si>
  <si>
    <t xml:space="preserve">         51.30亿</t>
  </si>
  <si>
    <t xml:space="preserve">         73.47亿</t>
  </si>
  <si>
    <t>中航飞机</t>
  </si>
  <si>
    <t xml:space="preserve">        338.80亿</t>
  </si>
  <si>
    <t xml:space="preserve">        384.28亿</t>
  </si>
  <si>
    <t>广发证券</t>
  </si>
  <si>
    <t xml:space="preserve">        636.92亿</t>
  </si>
  <si>
    <t>中核科技</t>
  </si>
  <si>
    <t xml:space="preserve">         63.18亿</t>
  </si>
  <si>
    <t xml:space="preserve">         63.19亿</t>
  </si>
  <si>
    <t>新兴铸管</t>
  </si>
  <si>
    <t xml:space="preserve">        159.16亿</t>
  </si>
  <si>
    <t xml:space="preserve">        159.21亿</t>
  </si>
  <si>
    <t>*ST派神</t>
  </si>
  <si>
    <t xml:space="preserve">         17.28亿</t>
  </si>
  <si>
    <t xml:space="preserve">         20.12亿</t>
  </si>
  <si>
    <t>平庄能源</t>
  </si>
  <si>
    <t xml:space="preserve">         47.77亿</t>
  </si>
  <si>
    <t>美达股份</t>
  </si>
  <si>
    <t xml:space="preserve">         22.01亿</t>
  </si>
  <si>
    <t xml:space="preserve">         25.24亿</t>
  </si>
  <si>
    <t>长江证券</t>
  </si>
  <si>
    <t xml:space="preserve">        287.39亿</t>
  </si>
  <si>
    <t>武汉中商</t>
  </si>
  <si>
    <t xml:space="preserve">         19.03亿</t>
  </si>
  <si>
    <t xml:space="preserve">         19.04亿</t>
  </si>
  <si>
    <t>北新建材</t>
  </si>
  <si>
    <t xml:space="preserve">        103.86亿</t>
  </si>
  <si>
    <t xml:space="preserve">        103.87亿</t>
  </si>
  <si>
    <t>北大医药</t>
  </si>
  <si>
    <t xml:space="preserve">        111.25亿</t>
  </si>
  <si>
    <t xml:space="preserve">        118.66亿</t>
  </si>
  <si>
    <t>江西水泥</t>
  </si>
  <si>
    <t xml:space="preserve">         41.01亿</t>
  </si>
  <si>
    <t>华神集团</t>
  </si>
  <si>
    <t xml:space="preserve">         39.94亿</t>
  </si>
  <si>
    <t xml:space="preserve">         40.37亿</t>
  </si>
  <si>
    <t>甘肃电投</t>
  </si>
  <si>
    <t xml:space="preserve">          7.82亿</t>
  </si>
  <si>
    <t xml:space="preserve">         49.18亿</t>
  </si>
  <si>
    <t>盐湖股份</t>
  </si>
  <si>
    <t xml:space="preserve">        126.10亿</t>
  </si>
  <si>
    <t xml:space="preserve">        289.47亿</t>
  </si>
  <si>
    <t>华闻传媒</t>
  </si>
  <si>
    <t xml:space="preserve">        181.61亿</t>
  </si>
  <si>
    <t xml:space="preserve">        246.06亿</t>
  </si>
  <si>
    <t>太原刚玉</t>
  </si>
  <si>
    <t xml:space="preserve">         30.39亿</t>
  </si>
  <si>
    <t>易食股份</t>
  </si>
  <si>
    <t xml:space="preserve">         17.82亿</t>
  </si>
  <si>
    <t>中国武夷</t>
  </si>
  <si>
    <t xml:space="preserve">         28.42亿</t>
  </si>
  <si>
    <t xml:space="preserve">         33.10亿</t>
  </si>
  <si>
    <t>中水渔业</t>
  </si>
  <si>
    <t>渔业</t>
  </si>
  <si>
    <t xml:space="preserve">         30.35亿</t>
  </si>
  <si>
    <t>酒 鬼 酒</t>
  </si>
  <si>
    <t xml:space="preserve">         32.64亿</t>
  </si>
  <si>
    <t xml:space="preserve">         47.31亿</t>
  </si>
  <si>
    <t>一汽轿车</t>
  </si>
  <si>
    <t xml:space="preserve">        163.06亿</t>
  </si>
  <si>
    <t xml:space="preserve">        187.98亿</t>
  </si>
  <si>
    <t>四川九洲</t>
  </si>
  <si>
    <t xml:space="preserve">         85.68亿</t>
  </si>
  <si>
    <t>北京旅游</t>
  </si>
  <si>
    <t xml:space="preserve">         54.28亿</t>
  </si>
  <si>
    <t xml:space="preserve">         54.30亿</t>
  </si>
  <si>
    <t>金宇车城</t>
  </si>
  <si>
    <t xml:space="preserve">         12.74亿</t>
  </si>
  <si>
    <t xml:space="preserve">         18.02亿</t>
  </si>
  <si>
    <t>银河投资</t>
  </si>
  <si>
    <t xml:space="preserve">         45.75亿</t>
  </si>
  <si>
    <t xml:space="preserve">         45.80亿</t>
  </si>
  <si>
    <t>云铝股份</t>
  </si>
  <si>
    <t xml:space="preserve">         77.88亿</t>
  </si>
  <si>
    <t>铁岭新城</t>
  </si>
  <si>
    <t xml:space="preserve">         54.53亿</t>
  </si>
  <si>
    <t xml:space="preserve">         83.08亿</t>
  </si>
  <si>
    <t>华润锦华</t>
  </si>
  <si>
    <t xml:space="preserve">         25.79亿</t>
  </si>
  <si>
    <t>烟台冰轮</t>
  </si>
  <si>
    <t xml:space="preserve">         47.34亿</t>
  </si>
  <si>
    <t xml:space="preserve">         47.35亿</t>
  </si>
  <si>
    <t>陕西金叶</t>
  </si>
  <si>
    <t xml:space="preserve">         30.42亿</t>
  </si>
  <si>
    <t>天山纺织</t>
  </si>
  <si>
    <t xml:space="preserve">         43.01亿</t>
  </si>
  <si>
    <t>美利纸业</t>
  </si>
  <si>
    <t xml:space="preserve">         14.80亿</t>
  </si>
  <si>
    <t xml:space="preserve">         14.86亿</t>
  </si>
  <si>
    <t>江淮动力</t>
  </si>
  <si>
    <t xml:space="preserve">         53.02亿</t>
  </si>
  <si>
    <t xml:space="preserve">         69.10亿</t>
  </si>
  <si>
    <t>方大化工</t>
  </si>
  <si>
    <t xml:space="preserve">         16.06亿</t>
  </si>
  <si>
    <t xml:space="preserve">         26.38亿</t>
  </si>
  <si>
    <t>岳阳兴长</t>
  </si>
  <si>
    <t xml:space="preserve">         40.15亿</t>
  </si>
  <si>
    <t>金城股份</t>
  </si>
  <si>
    <t xml:space="preserve">         15.17亿</t>
  </si>
  <si>
    <t>京山轻机</t>
  </si>
  <si>
    <t xml:space="preserve">         32.49亿</t>
  </si>
  <si>
    <t>*ST海化</t>
  </si>
  <si>
    <t xml:space="preserve">         35.00亿</t>
  </si>
  <si>
    <t>超声电子</t>
  </si>
  <si>
    <t xml:space="preserve">         60.28亿</t>
  </si>
  <si>
    <t xml:space="preserve">         73.51亿</t>
  </si>
  <si>
    <t>太钢不锈</t>
  </si>
  <si>
    <t xml:space="preserve">        170.31亿</t>
  </si>
  <si>
    <t xml:space="preserve">        170.32亿</t>
  </si>
  <si>
    <t>桑德环境</t>
  </si>
  <si>
    <t xml:space="preserve">        204.69亿</t>
  </si>
  <si>
    <t xml:space="preserve">        212.34亿</t>
  </si>
  <si>
    <t>东莞控股</t>
  </si>
  <si>
    <t xml:space="preserve">         65.07亿</t>
  </si>
  <si>
    <t>天音控股</t>
  </si>
  <si>
    <t xml:space="preserve">         92.69亿</t>
  </si>
  <si>
    <t xml:space="preserve">         92.70亿</t>
  </si>
  <si>
    <t>鲁西化工</t>
  </si>
  <si>
    <t xml:space="preserve">         57.68亿</t>
  </si>
  <si>
    <t xml:space="preserve">         57.72亿</t>
  </si>
  <si>
    <t>五矿稀土</t>
  </si>
  <si>
    <t xml:space="preserve">        181.81亿</t>
  </si>
  <si>
    <t xml:space="preserve">        239.53亿</t>
  </si>
  <si>
    <t>贵糖股份</t>
  </si>
  <si>
    <t xml:space="preserve">         26.05亿</t>
  </si>
  <si>
    <t>四川圣达</t>
  </si>
  <si>
    <t>鑫茂科技</t>
  </si>
  <si>
    <t xml:space="preserve">         18.69亿</t>
  </si>
  <si>
    <t>秦川发展</t>
  </si>
  <si>
    <t xml:space="preserve">         31.68亿</t>
  </si>
  <si>
    <t xml:space="preserve">         31.70亿</t>
  </si>
  <si>
    <t>国兴地产</t>
  </si>
  <si>
    <t xml:space="preserve">         16.88亿</t>
  </si>
  <si>
    <t xml:space="preserve">         18.75亿</t>
  </si>
  <si>
    <t>中信国安</t>
  </si>
  <si>
    <t xml:space="preserve">        129.95亿</t>
  </si>
  <si>
    <t xml:space="preserve">        129.98亿</t>
  </si>
  <si>
    <t>承德露露</t>
  </si>
  <si>
    <t xml:space="preserve">        114.43亿</t>
  </si>
  <si>
    <t xml:space="preserve">        114.47亿</t>
  </si>
  <si>
    <t>华茂股份</t>
  </si>
  <si>
    <t xml:space="preserve">         48.95亿</t>
  </si>
  <si>
    <t xml:space="preserve">         48.98亿</t>
  </si>
  <si>
    <t>高鸿股份</t>
  </si>
  <si>
    <t xml:space="preserve">         67.34亿</t>
  </si>
  <si>
    <t xml:space="preserve">         71.77亿</t>
  </si>
  <si>
    <t>江钻股份</t>
  </si>
  <si>
    <t>化工机械</t>
  </si>
  <si>
    <t xml:space="preserve">         20.49亿</t>
  </si>
  <si>
    <t xml:space="preserve">         63.06亿</t>
  </si>
  <si>
    <t>冀东装备</t>
  </si>
  <si>
    <t xml:space="preserve">         10.98亿</t>
  </si>
  <si>
    <t xml:space="preserve">         18.86亿</t>
  </si>
  <si>
    <t>五 粮 液</t>
  </si>
  <si>
    <t xml:space="preserve">        726.85亿</t>
  </si>
  <si>
    <t xml:space="preserve">        726.93亿</t>
  </si>
  <si>
    <t>国风塑业</t>
  </si>
  <si>
    <t xml:space="preserve">         27.33亿</t>
  </si>
  <si>
    <t xml:space="preserve">         36.97亿</t>
  </si>
  <si>
    <t>顺鑫农业</t>
  </si>
  <si>
    <t xml:space="preserve">         69.51亿</t>
  </si>
  <si>
    <t xml:space="preserve">         90.44亿</t>
  </si>
  <si>
    <t>海印股份</t>
  </si>
  <si>
    <t xml:space="preserve">         25.31亿</t>
  </si>
  <si>
    <t xml:space="preserve">         74.96亿</t>
  </si>
  <si>
    <t>银星能源</t>
  </si>
  <si>
    <t xml:space="preserve">         22.45亿</t>
  </si>
  <si>
    <t>三湘股份</t>
  </si>
  <si>
    <t xml:space="preserve">         11.04亿</t>
  </si>
  <si>
    <t xml:space="preserve">         46.69亿</t>
  </si>
  <si>
    <t>安凯客车</t>
  </si>
  <si>
    <t xml:space="preserve">         38.33亿</t>
  </si>
  <si>
    <t>张  裕Ａ</t>
  </si>
  <si>
    <t xml:space="preserve">        142.16亿</t>
  </si>
  <si>
    <t xml:space="preserve">        214.89亿</t>
  </si>
  <si>
    <t>吉电股份</t>
  </si>
  <si>
    <t xml:space="preserve">         21.91亿</t>
  </si>
  <si>
    <t xml:space="preserve">         48.49亿</t>
  </si>
  <si>
    <t>新 希 望</t>
  </si>
  <si>
    <t xml:space="preserve">        151.99亿</t>
  </si>
  <si>
    <t xml:space="preserve">        294.90亿</t>
  </si>
  <si>
    <t>天山股份</t>
  </si>
  <si>
    <t xml:space="preserve">         58.26亿</t>
  </si>
  <si>
    <t>云南铜业</t>
  </si>
  <si>
    <t xml:space="preserve">        153.54亿</t>
  </si>
  <si>
    <t>潍柴重机</t>
  </si>
  <si>
    <t xml:space="preserve">         16.49亿</t>
  </si>
  <si>
    <t xml:space="preserve">         33.68亿</t>
  </si>
  <si>
    <t>大连国际</t>
  </si>
  <si>
    <t xml:space="preserve">         23.41亿</t>
  </si>
  <si>
    <t>华联股份</t>
  </si>
  <si>
    <t xml:space="preserve">         38.59亿</t>
  </si>
  <si>
    <t xml:space="preserve">         80.14亿</t>
  </si>
  <si>
    <t>湖北能源</t>
  </si>
  <si>
    <t xml:space="preserve">        199.41亿</t>
  </si>
  <si>
    <t xml:space="preserve">        199.51亿</t>
  </si>
  <si>
    <t>同力水泥</t>
  </si>
  <si>
    <t xml:space="preserve">         30.73亿</t>
  </si>
  <si>
    <t xml:space="preserve">         34.19亿</t>
  </si>
  <si>
    <t>海南高速</t>
  </si>
  <si>
    <t xml:space="preserve">         41.23亿</t>
  </si>
  <si>
    <t>中鼎股份</t>
  </si>
  <si>
    <t>橡胶</t>
  </si>
  <si>
    <t xml:space="preserve">        136.52亿</t>
  </si>
  <si>
    <t xml:space="preserve">        136.65亿</t>
  </si>
  <si>
    <t>峨眉山Ａ</t>
  </si>
  <si>
    <t xml:space="preserve">         51.90亿</t>
  </si>
  <si>
    <t>茂业物流</t>
  </si>
  <si>
    <t xml:space="preserve">         29.42亿</t>
  </si>
  <si>
    <t xml:space="preserve">         38.72亿</t>
  </si>
  <si>
    <t>法 尔 胜</t>
  </si>
  <si>
    <t xml:space="preserve">         20.42亿</t>
  </si>
  <si>
    <t>星美联合</t>
  </si>
  <si>
    <t xml:space="preserve">         19.15亿</t>
  </si>
  <si>
    <t xml:space="preserve">         25.83亿</t>
  </si>
  <si>
    <t>东凌粮油</t>
  </si>
  <si>
    <t xml:space="preserve">         48.28亿</t>
  </si>
  <si>
    <t xml:space="preserve">         50.75亿</t>
  </si>
  <si>
    <t>双汇发展</t>
  </si>
  <si>
    <t xml:space="preserve">        442.52亿</t>
  </si>
  <si>
    <t xml:space="preserve">        803.65亿</t>
  </si>
  <si>
    <t>津滨发展</t>
  </si>
  <si>
    <t xml:space="preserve">         97.19亿</t>
  </si>
  <si>
    <t xml:space="preserve">         97.20亿</t>
  </si>
  <si>
    <t>鞍钢股份</t>
  </si>
  <si>
    <t xml:space="preserve">        216.44亿</t>
  </si>
  <si>
    <t xml:space="preserve">        216.45亿</t>
  </si>
  <si>
    <t>赣能股份</t>
  </si>
  <si>
    <t xml:space="preserve">         29.70亿</t>
  </si>
  <si>
    <t xml:space="preserve">         34.60亿</t>
  </si>
  <si>
    <t>现代投资</t>
  </si>
  <si>
    <t xml:space="preserve">         52.89亿</t>
  </si>
  <si>
    <t xml:space="preserve">         52.92亿</t>
  </si>
  <si>
    <t>航天科技</t>
  </si>
  <si>
    <t xml:space="preserve">         70.35亿</t>
  </si>
  <si>
    <t>新洋丰</t>
  </si>
  <si>
    <t xml:space="preserve">         28.74亿</t>
  </si>
  <si>
    <t xml:space="preserve">         67.04亿</t>
  </si>
  <si>
    <t>云内动力</t>
  </si>
  <si>
    <t>厦门港务</t>
  </si>
  <si>
    <t xml:space="preserve">         54.91亿</t>
  </si>
  <si>
    <t>物产中拓</t>
  </si>
  <si>
    <t xml:space="preserve">         55.87亿</t>
  </si>
  <si>
    <t>天一科技</t>
  </si>
  <si>
    <t xml:space="preserve">         42.78亿</t>
  </si>
  <si>
    <t>数源科技</t>
  </si>
  <si>
    <t xml:space="preserve">         29.02亿</t>
  </si>
  <si>
    <t>大亚科技</t>
  </si>
  <si>
    <t>家居用品</t>
  </si>
  <si>
    <t xml:space="preserve">         38.09亿</t>
  </si>
  <si>
    <t>南宁糖业</t>
  </si>
  <si>
    <t xml:space="preserve">         29.32亿</t>
  </si>
  <si>
    <t>泸 天 化</t>
  </si>
  <si>
    <t xml:space="preserve">         14.00亿</t>
  </si>
  <si>
    <t xml:space="preserve">         30.65亿</t>
  </si>
  <si>
    <t>钱江摩托</t>
  </si>
  <si>
    <t>摩托车</t>
  </si>
  <si>
    <t xml:space="preserve">         31.88亿</t>
  </si>
  <si>
    <t>山大华特</t>
  </si>
  <si>
    <t xml:space="preserve">         48.25亿</t>
  </si>
  <si>
    <t xml:space="preserve">         48.51亿</t>
  </si>
  <si>
    <t>华北高速</t>
  </si>
  <si>
    <t xml:space="preserve">         44.36亿</t>
  </si>
  <si>
    <t xml:space="preserve">         52.54亿</t>
  </si>
  <si>
    <t>电广传媒</t>
  </si>
  <si>
    <t xml:space="preserve">        119.64亿</t>
  </si>
  <si>
    <t xml:space="preserve">        242.12亿</t>
  </si>
  <si>
    <t>嘉凯城</t>
  </si>
  <si>
    <t xml:space="preserve">         53.95亿</t>
  </si>
  <si>
    <t>金陵药业</t>
  </si>
  <si>
    <t xml:space="preserve">         38.51亿</t>
  </si>
  <si>
    <t xml:space="preserve">         70.51亿</t>
  </si>
  <si>
    <t>南方汇通</t>
  </si>
  <si>
    <t>运输设备</t>
  </si>
  <si>
    <t>海信科龙</t>
  </si>
  <si>
    <t xml:space="preserve">         81.56亿</t>
  </si>
  <si>
    <t xml:space="preserve">         81.71亿</t>
  </si>
  <si>
    <t>佳电股份</t>
  </si>
  <si>
    <t xml:space="preserve">         45.66亿</t>
  </si>
  <si>
    <t xml:space="preserve">         80.19亿</t>
  </si>
  <si>
    <t>河北宣工</t>
  </si>
  <si>
    <t>众合机电</t>
  </si>
  <si>
    <t xml:space="preserve">         56.50亿</t>
  </si>
  <si>
    <t xml:space="preserve">         57.73亿</t>
  </si>
  <si>
    <t>福星股份</t>
  </si>
  <si>
    <t xml:space="preserve">         37.05亿</t>
  </si>
  <si>
    <t xml:space="preserve">         49.94亿</t>
  </si>
  <si>
    <t>一汽夏利</t>
  </si>
  <si>
    <t xml:space="preserve">         80.24亿</t>
  </si>
  <si>
    <t>*ST吉炭</t>
  </si>
  <si>
    <t xml:space="preserve">         27.50亿</t>
  </si>
  <si>
    <t>兰州黄河</t>
  </si>
  <si>
    <t xml:space="preserve">         18.04亿</t>
  </si>
  <si>
    <t xml:space="preserve">         18.06亿</t>
  </si>
  <si>
    <t>中粮生化</t>
  </si>
  <si>
    <t xml:space="preserve">         52.56亿</t>
  </si>
  <si>
    <t>中 关 村</t>
  </si>
  <si>
    <t xml:space="preserve">         30.64亿</t>
  </si>
  <si>
    <t xml:space="preserve">         40.83亿</t>
  </si>
  <si>
    <t>华菱钢铁</t>
  </si>
  <si>
    <t xml:space="preserve">         68.74亿</t>
  </si>
  <si>
    <t xml:space="preserve">         68.76亿</t>
  </si>
  <si>
    <t>神火股份</t>
  </si>
  <si>
    <t xml:space="preserve">         83.56亿</t>
  </si>
  <si>
    <t xml:space="preserve">         84.76亿</t>
  </si>
  <si>
    <t>四川双马</t>
  </si>
  <si>
    <t xml:space="preserve">         11.98亿</t>
  </si>
  <si>
    <t xml:space="preserve">         39.05亿</t>
  </si>
  <si>
    <t>华西股份</t>
  </si>
  <si>
    <t xml:space="preserve">         34.77亿</t>
  </si>
  <si>
    <t xml:space="preserve">         34.78亿</t>
  </si>
  <si>
    <t>冀中能源</t>
  </si>
  <si>
    <t xml:space="preserve">        154.22亿</t>
  </si>
  <si>
    <t xml:space="preserve">        191.08亿</t>
  </si>
  <si>
    <t>紫光股份</t>
  </si>
  <si>
    <t xml:space="preserve">         63.80亿</t>
  </si>
  <si>
    <t>凯迪电力</t>
  </si>
  <si>
    <t xml:space="preserve">         70.52亿</t>
  </si>
  <si>
    <t xml:space="preserve">         70.75亿</t>
  </si>
  <si>
    <t>南天信息</t>
  </si>
  <si>
    <t xml:space="preserve">         33.52亿</t>
  </si>
  <si>
    <t xml:space="preserve">         35.76亿</t>
  </si>
  <si>
    <t>新乡化纤</t>
  </si>
  <si>
    <t xml:space="preserve">         29.74亿</t>
  </si>
  <si>
    <t xml:space="preserve">         36.88亿</t>
  </si>
  <si>
    <t>建峰化工</t>
  </si>
  <si>
    <t xml:space="preserve">         28.14亿</t>
  </si>
  <si>
    <t>中国重汽</t>
  </si>
  <si>
    <t xml:space="preserve">         65.14亿</t>
  </si>
  <si>
    <t>广济药业</t>
  </si>
  <si>
    <t xml:space="preserve">         36.12亿</t>
  </si>
  <si>
    <t>河池化工</t>
  </si>
  <si>
    <t xml:space="preserve">         18.85亿</t>
  </si>
  <si>
    <t>欣龙控股</t>
  </si>
  <si>
    <t xml:space="preserve">         27.02亿</t>
  </si>
  <si>
    <t xml:space="preserve">         29.13亿</t>
  </si>
  <si>
    <t>中通客车</t>
  </si>
  <si>
    <t xml:space="preserve">         31.62亿</t>
  </si>
  <si>
    <t xml:space="preserve">         31.63亿</t>
  </si>
  <si>
    <t>东方热电</t>
  </si>
  <si>
    <t xml:space="preserve">         31.34亿</t>
  </si>
  <si>
    <t xml:space="preserve">         69.03亿</t>
  </si>
  <si>
    <t>首钢股份</t>
  </si>
  <si>
    <t xml:space="preserve">         42.58亿</t>
  </si>
  <si>
    <t xml:space="preserve">        186.72亿</t>
  </si>
  <si>
    <t>锡业股份</t>
  </si>
  <si>
    <t xml:space="preserve">        193.52亿</t>
  </si>
  <si>
    <t>中南建设</t>
  </si>
  <si>
    <t xml:space="preserve">         97.30亿</t>
  </si>
  <si>
    <t xml:space="preserve">         97.63亿</t>
  </si>
  <si>
    <t>东方钽业</t>
  </si>
  <si>
    <t xml:space="preserve">         52.90亿</t>
  </si>
  <si>
    <t>华东医药</t>
  </si>
  <si>
    <t xml:space="preserve">        157.24亿</t>
  </si>
  <si>
    <t xml:space="preserve">        243.81亿</t>
  </si>
  <si>
    <t>天保基建</t>
  </si>
  <si>
    <t xml:space="preserve">         49.50亿</t>
  </si>
  <si>
    <t xml:space="preserve">         72.14亿</t>
  </si>
  <si>
    <t>长源电力</t>
  </si>
  <si>
    <t>上风高科</t>
  </si>
  <si>
    <t xml:space="preserve">         36.59亿</t>
  </si>
  <si>
    <t>煤 气 化</t>
  </si>
  <si>
    <t xml:space="preserve">         40.95亿</t>
  </si>
  <si>
    <t>安泰科技</t>
  </si>
  <si>
    <t xml:space="preserve">         91.18亿</t>
  </si>
  <si>
    <t xml:space="preserve">         91.37亿</t>
  </si>
  <si>
    <t>中科三环</t>
  </si>
  <si>
    <t xml:space="preserve">        172.99亿</t>
  </si>
  <si>
    <t>蓝鼎控股</t>
  </si>
  <si>
    <t xml:space="preserve">         19.45亿</t>
  </si>
  <si>
    <t xml:space="preserve">         19.47亿</t>
  </si>
  <si>
    <t>新中基</t>
  </si>
  <si>
    <t xml:space="preserve">         34.24亿</t>
  </si>
  <si>
    <t>佛塑科技</t>
  </si>
  <si>
    <t xml:space="preserve">         47.58亿</t>
  </si>
  <si>
    <t xml:space="preserve">         59.59亿</t>
  </si>
  <si>
    <t>银泰资源</t>
  </si>
  <si>
    <t xml:space="preserve">         70.65亿</t>
  </si>
  <si>
    <t xml:space="preserve">        124.41亿</t>
  </si>
  <si>
    <t>春晖股份</t>
  </si>
  <si>
    <t xml:space="preserve">         22.17亿</t>
  </si>
  <si>
    <t xml:space="preserve">         22.18亿</t>
  </si>
  <si>
    <t>浪潮信息</t>
  </si>
  <si>
    <t xml:space="preserve">        181.46亿</t>
  </si>
  <si>
    <t xml:space="preserve">        202.50亿</t>
  </si>
  <si>
    <t>桂林旅游</t>
  </si>
  <si>
    <t xml:space="preserve">         27.01亿</t>
  </si>
  <si>
    <t>中弘股份</t>
  </si>
  <si>
    <t xml:space="preserve">         80.96亿</t>
  </si>
  <si>
    <t>金马股份</t>
  </si>
  <si>
    <t xml:space="preserve">         23.05亿</t>
  </si>
  <si>
    <t xml:space="preserve">         38.40亿</t>
  </si>
  <si>
    <t>银亿股份</t>
  </si>
  <si>
    <t xml:space="preserve">         83.06亿</t>
  </si>
  <si>
    <t xml:space="preserve">         83.15亿</t>
  </si>
  <si>
    <t>中银绒业</t>
  </si>
  <si>
    <t xml:space="preserve">         60.04亿</t>
  </si>
  <si>
    <t xml:space="preserve">         83.75亿</t>
  </si>
  <si>
    <t>西山煤电</t>
  </si>
  <si>
    <t xml:space="preserve">        194.74亿</t>
  </si>
  <si>
    <t>大庆华科</t>
  </si>
  <si>
    <t xml:space="preserve">         19.98亿</t>
  </si>
  <si>
    <t>广州友谊</t>
  </si>
  <si>
    <t xml:space="preserve">         33.46亿</t>
  </si>
  <si>
    <t xml:space="preserve">         33.49亿</t>
  </si>
  <si>
    <t>华工科技</t>
  </si>
  <si>
    <t xml:space="preserve">         99.98亿</t>
  </si>
  <si>
    <t>九 芝 堂</t>
  </si>
  <si>
    <t xml:space="preserve">         44.31亿</t>
  </si>
  <si>
    <t>诚志股份</t>
  </si>
  <si>
    <t xml:space="preserve">         47.61亿</t>
  </si>
  <si>
    <t>闽东电力</t>
  </si>
  <si>
    <t xml:space="preserve">         28.72亿</t>
  </si>
  <si>
    <t>皇台酒业</t>
  </si>
  <si>
    <t>中国中期</t>
  </si>
  <si>
    <t>公路</t>
  </si>
  <si>
    <t xml:space="preserve">         40.69亿</t>
  </si>
  <si>
    <t>新 大 陆</t>
  </si>
  <si>
    <t xml:space="preserve">        107.66亿</t>
  </si>
  <si>
    <t xml:space="preserve">        108.13亿</t>
  </si>
  <si>
    <t>隆平高科</t>
  </si>
  <si>
    <t xml:space="preserve">        113.88亿</t>
  </si>
  <si>
    <t xml:space="preserve">        136.47亿</t>
  </si>
  <si>
    <t>华润三九</t>
  </si>
  <si>
    <t xml:space="preserve">        202.88亿</t>
  </si>
  <si>
    <t xml:space="preserve">        203.12亿</t>
  </si>
  <si>
    <t>宗申动力</t>
  </si>
  <si>
    <t xml:space="preserve">         71.01亿</t>
  </si>
  <si>
    <t>豫能控股</t>
  </si>
  <si>
    <t xml:space="preserve">         33.11亿</t>
  </si>
  <si>
    <t xml:space="preserve">         48.00亿</t>
  </si>
  <si>
    <t>新 和 成</t>
  </si>
  <si>
    <t xml:space="preserve">        160.42亿</t>
  </si>
  <si>
    <t xml:space="preserve">        162.79亿</t>
  </si>
  <si>
    <t>鸿达兴业</t>
  </si>
  <si>
    <t xml:space="preserve">         24.14亿</t>
  </si>
  <si>
    <t xml:space="preserve">         87.79亿</t>
  </si>
  <si>
    <t>伟星股份</t>
  </si>
  <si>
    <t>服饰</t>
  </si>
  <si>
    <t xml:space="preserve">         29.90亿</t>
  </si>
  <si>
    <t>华邦颖泰</t>
  </si>
  <si>
    <t xml:space="preserve">         84.03亿</t>
  </si>
  <si>
    <t xml:space="preserve">        132.70亿</t>
  </si>
  <si>
    <t>德豪润达</t>
  </si>
  <si>
    <t xml:space="preserve">         94.92亿</t>
  </si>
  <si>
    <t xml:space="preserve">        113.81亿</t>
  </si>
  <si>
    <t>*ST精功</t>
  </si>
  <si>
    <t xml:space="preserve">         38.22亿</t>
  </si>
  <si>
    <t xml:space="preserve">         39.83亿</t>
  </si>
  <si>
    <t>华兰生物</t>
  </si>
  <si>
    <t xml:space="preserve">        159.15亿</t>
  </si>
  <si>
    <t xml:space="preserve">        160.56亿</t>
  </si>
  <si>
    <t>大族激光</t>
  </si>
  <si>
    <t xml:space="preserve">        192.87亿</t>
  </si>
  <si>
    <t xml:space="preserve">        212.91亿</t>
  </si>
  <si>
    <t>天奇股份</t>
  </si>
  <si>
    <t xml:space="preserve">         38.93亿</t>
  </si>
  <si>
    <t xml:space="preserve">         48.09亿</t>
  </si>
  <si>
    <t>传化股份</t>
  </si>
  <si>
    <t xml:space="preserve">         38.35亿</t>
  </si>
  <si>
    <t xml:space="preserve">         45.33亿</t>
  </si>
  <si>
    <t>盾安环境</t>
  </si>
  <si>
    <t xml:space="preserve">         74.67亿</t>
  </si>
  <si>
    <t xml:space="preserve">         75.15亿</t>
  </si>
  <si>
    <t>凯恩股份</t>
  </si>
  <si>
    <t xml:space="preserve">         30.40亿</t>
  </si>
  <si>
    <t>中航机电</t>
  </si>
  <si>
    <t xml:space="preserve">         58.63亿</t>
  </si>
  <si>
    <t xml:space="preserve">        143.40亿</t>
  </si>
  <si>
    <t>永新股份</t>
  </si>
  <si>
    <t xml:space="preserve">         26.57亿</t>
  </si>
  <si>
    <t>*ST霞客</t>
  </si>
  <si>
    <t xml:space="preserve">         11.69亿</t>
  </si>
  <si>
    <t>世荣兆业</t>
  </si>
  <si>
    <t xml:space="preserve">         52.98亿</t>
  </si>
  <si>
    <t>东信和平</t>
  </si>
  <si>
    <t xml:space="preserve">         47.66亿</t>
  </si>
  <si>
    <t xml:space="preserve">         48.70亿</t>
  </si>
  <si>
    <t>华星化工</t>
  </si>
  <si>
    <t xml:space="preserve">         40.22亿</t>
  </si>
  <si>
    <t xml:space="preserve">        107.78亿</t>
  </si>
  <si>
    <t>鑫富药业</t>
  </si>
  <si>
    <t xml:space="preserve">         73.58亿</t>
  </si>
  <si>
    <t>京新药业</t>
  </si>
  <si>
    <t xml:space="preserve">         35.72亿</t>
  </si>
  <si>
    <t xml:space="preserve">         52.79亿</t>
  </si>
  <si>
    <t>中捷股份</t>
  </si>
  <si>
    <t xml:space="preserve">         39.80亿</t>
  </si>
  <si>
    <t xml:space="preserve">         48.22亿</t>
  </si>
  <si>
    <t>科华生物</t>
  </si>
  <si>
    <t xml:space="preserve">        103.51亿</t>
  </si>
  <si>
    <t xml:space="preserve">        134.05亿</t>
  </si>
  <si>
    <t>海特高新</t>
  </si>
  <si>
    <t xml:space="preserve">         67.08亿</t>
  </si>
  <si>
    <t xml:space="preserve">         68.31亿</t>
  </si>
  <si>
    <t>苏宁云商</t>
  </si>
  <si>
    <t>电器连锁</t>
  </si>
  <si>
    <t xml:space="preserve">        390.32亿</t>
  </si>
  <si>
    <t xml:space="preserve">        583.26亿</t>
  </si>
  <si>
    <t>航天电器</t>
  </si>
  <si>
    <t xml:space="preserve">         65.64亿</t>
  </si>
  <si>
    <t xml:space="preserve">         65.67亿</t>
  </si>
  <si>
    <t>山东威达</t>
  </si>
  <si>
    <t xml:space="preserve">         21.99亿</t>
  </si>
  <si>
    <t xml:space="preserve">         34.14亿</t>
  </si>
  <si>
    <t>七喜控股</t>
  </si>
  <si>
    <t xml:space="preserve">         17.11亿</t>
  </si>
  <si>
    <t xml:space="preserve">         25.43亿</t>
  </si>
  <si>
    <t>思源电气</t>
  </si>
  <si>
    <t xml:space="preserve">         71.76亿</t>
  </si>
  <si>
    <t>七 匹 狼</t>
  </si>
  <si>
    <t xml:space="preserve">         72.89亿</t>
  </si>
  <si>
    <t xml:space="preserve">         72.92亿</t>
  </si>
  <si>
    <t>达安基因</t>
  </si>
  <si>
    <t xml:space="preserve">        126.20亿</t>
  </si>
  <si>
    <t xml:space="preserve">        131.75亿</t>
  </si>
  <si>
    <t>巨轮股份</t>
  </si>
  <si>
    <t xml:space="preserve">         37.28亿</t>
  </si>
  <si>
    <t xml:space="preserve">         42.93亿</t>
  </si>
  <si>
    <t>苏 泊 尔</t>
  </si>
  <si>
    <t xml:space="preserve">         54.62亿</t>
  </si>
  <si>
    <t xml:space="preserve">        102.11亿</t>
  </si>
  <si>
    <t>丽江旅游</t>
  </si>
  <si>
    <t xml:space="preserve">         28.11亿</t>
  </si>
  <si>
    <t xml:space="preserve">         40.30亿</t>
  </si>
  <si>
    <t>美 欣 达</t>
  </si>
  <si>
    <t xml:space="preserve">         11.42亿</t>
  </si>
  <si>
    <t xml:space="preserve">         16.14亿</t>
  </si>
  <si>
    <t>华帝股份</t>
  </si>
  <si>
    <t xml:space="preserve">         33.35亿</t>
  </si>
  <si>
    <t xml:space="preserve">         42.27亿</t>
  </si>
  <si>
    <t>宜科科技</t>
  </si>
  <si>
    <t xml:space="preserve">         18.11亿</t>
  </si>
  <si>
    <t xml:space="preserve">         18.51亿</t>
  </si>
  <si>
    <t>久联发展</t>
  </si>
  <si>
    <t xml:space="preserve">         49.53亿</t>
  </si>
  <si>
    <t>双鹭药业</t>
  </si>
  <si>
    <t xml:space="preserve">        164.65亿</t>
  </si>
  <si>
    <t xml:space="preserve">        199.27亿</t>
  </si>
  <si>
    <t>黔源电力</t>
  </si>
  <si>
    <t xml:space="preserve">         33.93亿</t>
  </si>
  <si>
    <t>南 京 港</t>
  </si>
  <si>
    <t xml:space="preserve">         22.87亿</t>
  </si>
  <si>
    <t>登海种业</t>
  </si>
  <si>
    <t xml:space="preserve">        105.02亿</t>
  </si>
  <si>
    <t xml:space="preserve">        112.22亿</t>
  </si>
  <si>
    <t>华孚色纺</t>
  </si>
  <si>
    <t xml:space="preserve">         37.68亿</t>
  </si>
  <si>
    <t xml:space="preserve">         37.82亿</t>
  </si>
  <si>
    <t>兔 宝 宝</t>
  </si>
  <si>
    <t xml:space="preserve">         25.71亿</t>
  </si>
  <si>
    <t xml:space="preserve">         26.73亿</t>
  </si>
  <si>
    <t>江苏三友</t>
  </si>
  <si>
    <t xml:space="preserve">         18.80亿</t>
  </si>
  <si>
    <t xml:space="preserve">         18.81亿</t>
  </si>
  <si>
    <t>国光电器</t>
  </si>
  <si>
    <t xml:space="preserve">         24.53亿</t>
  </si>
  <si>
    <t xml:space="preserve">         28.43亿</t>
  </si>
  <si>
    <t>轴研科技</t>
  </si>
  <si>
    <t xml:space="preserve">         31.57亿</t>
  </si>
  <si>
    <t>宝鹰股份</t>
  </si>
  <si>
    <t>装修装饰</t>
  </si>
  <si>
    <t xml:space="preserve">         62.78亿</t>
  </si>
  <si>
    <t>宁波华翔</t>
  </si>
  <si>
    <t xml:space="preserve">         77.01亿</t>
  </si>
  <si>
    <t xml:space="preserve">         88.73亿</t>
  </si>
  <si>
    <t>同方国芯</t>
  </si>
  <si>
    <t xml:space="preserve">         64.98亿</t>
  </si>
  <si>
    <t xml:space="preserve">        185.32亿</t>
  </si>
  <si>
    <t>三花股份</t>
  </si>
  <si>
    <t xml:space="preserve">        111.99亿</t>
  </si>
  <si>
    <t xml:space="preserve">        114.12亿</t>
  </si>
  <si>
    <t>中工国际</t>
  </si>
  <si>
    <t xml:space="preserve">        143.58亿</t>
  </si>
  <si>
    <t xml:space="preserve">        145.39亿</t>
  </si>
  <si>
    <t>同洲电子</t>
  </si>
  <si>
    <t xml:space="preserve">         55.72亿</t>
  </si>
  <si>
    <t xml:space="preserve">         73.35亿</t>
  </si>
  <si>
    <t>云南盐化</t>
  </si>
  <si>
    <t>德美化工</t>
  </si>
  <si>
    <t xml:space="preserve">         19.85亿</t>
  </si>
  <si>
    <t xml:space="preserve">         26.67亿</t>
  </si>
  <si>
    <t>得润电子</t>
  </si>
  <si>
    <t xml:space="preserve">         48.56亿</t>
  </si>
  <si>
    <t xml:space="preserve">         49.95亿</t>
  </si>
  <si>
    <t>横店东磁</t>
  </si>
  <si>
    <t xml:space="preserve">         91.38亿</t>
  </si>
  <si>
    <t>中钢天源</t>
  </si>
  <si>
    <t xml:space="preserve">         21.04亿</t>
  </si>
  <si>
    <t xml:space="preserve">         22.27亿</t>
  </si>
  <si>
    <t>威 尔 泰</t>
  </si>
  <si>
    <t xml:space="preserve">         17.67亿</t>
  </si>
  <si>
    <t xml:space="preserve">         17.69亿</t>
  </si>
  <si>
    <t>云南旅游</t>
  </si>
  <si>
    <t xml:space="preserve">         21.61亿</t>
  </si>
  <si>
    <t xml:space="preserve">         31.36亿</t>
  </si>
  <si>
    <t>粤 水 电</t>
  </si>
  <si>
    <t xml:space="preserve">         40.27亿</t>
  </si>
  <si>
    <t xml:space="preserve">         40.28亿</t>
  </si>
  <si>
    <t>江山化工</t>
  </si>
  <si>
    <t xml:space="preserve">         18.73亿</t>
  </si>
  <si>
    <t xml:space="preserve">         20.76亿</t>
  </si>
  <si>
    <t>宏润建设</t>
  </si>
  <si>
    <t xml:space="preserve">         32.55亿</t>
  </si>
  <si>
    <t xml:space="preserve">         39.06亿</t>
  </si>
  <si>
    <t>远光软件</t>
  </si>
  <si>
    <t xml:space="preserve">         75.35亿</t>
  </si>
  <si>
    <t xml:space="preserve">         88.93亿</t>
  </si>
  <si>
    <t>华峰氨纶</t>
  </si>
  <si>
    <t xml:space="preserve">         69.07亿</t>
  </si>
  <si>
    <t xml:space="preserve">         76.50亿</t>
  </si>
  <si>
    <t>东华软件</t>
  </si>
  <si>
    <t xml:space="preserve">        226.43亿</t>
  </si>
  <si>
    <t xml:space="preserve">        258.82亿</t>
  </si>
  <si>
    <t>瑞泰科技</t>
  </si>
  <si>
    <t xml:space="preserve">         21.25亿</t>
  </si>
  <si>
    <t>景兴纸业</t>
  </si>
  <si>
    <t xml:space="preserve">         43.32亿</t>
  </si>
  <si>
    <t>黑猫股份</t>
  </si>
  <si>
    <t xml:space="preserve">         29.65亿</t>
  </si>
  <si>
    <t>獐 子 岛</t>
  </si>
  <si>
    <t xml:space="preserve">        105.76亿</t>
  </si>
  <si>
    <t xml:space="preserve">        110.22亿</t>
  </si>
  <si>
    <t>众和股份</t>
  </si>
  <si>
    <t xml:space="preserve">         53.72亿</t>
  </si>
  <si>
    <t>长城影视</t>
  </si>
  <si>
    <t xml:space="preserve">         37.93亿</t>
  </si>
  <si>
    <t xml:space="preserve">        111.23亿</t>
  </si>
  <si>
    <t>德棉股份</t>
  </si>
  <si>
    <t>软控股份</t>
  </si>
  <si>
    <t xml:space="preserve">         63.30亿</t>
  </si>
  <si>
    <t xml:space="preserve">         75.94亿</t>
  </si>
  <si>
    <t>东源电器</t>
  </si>
  <si>
    <t xml:space="preserve">         16.25亿</t>
  </si>
  <si>
    <t xml:space="preserve">         18.45亿</t>
  </si>
  <si>
    <t>沙钢股份</t>
  </si>
  <si>
    <t xml:space="preserve">         65.26亿</t>
  </si>
  <si>
    <t>雪 莱 特</t>
  </si>
  <si>
    <t xml:space="preserve">         12.07亿</t>
  </si>
  <si>
    <t xml:space="preserve">         18.46亿</t>
  </si>
  <si>
    <t>大港股份</t>
  </si>
  <si>
    <t xml:space="preserve">         21.75亿</t>
  </si>
  <si>
    <t>太阳纸业</t>
  </si>
  <si>
    <t xml:space="preserve">         79.07亿</t>
  </si>
  <si>
    <t xml:space="preserve">         92.00亿</t>
  </si>
  <si>
    <t>苏州固锝</t>
  </si>
  <si>
    <t>半导体</t>
  </si>
  <si>
    <t xml:space="preserve">         58.74亿</t>
  </si>
  <si>
    <t xml:space="preserve">         59.33亿</t>
  </si>
  <si>
    <t>中材科技</t>
  </si>
  <si>
    <t xml:space="preserve">         53.52亿</t>
  </si>
  <si>
    <t>金 螳 螂</t>
  </si>
  <si>
    <t xml:space="preserve">        314.53亿</t>
  </si>
  <si>
    <t xml:space="preserve">        334.29亿</t>
  </si>
  <si>
    <t>栋梁新材</t>
  </si>
  <si>
    <t xml:space="preserve">         16.34亿</t>
  </si>
  <si>
    <t xml:space="preserve">         20.90亿</t>
  </si>
  <si>
    <t>孚日股份</t>
  </si>
  <si>
    <t xml:space="preserve">         39.29亿</t>
  </si>
  <si>
    <t xml:space="preserve">         43.31亿</t>
  </si>
  <si>
    <t>海鸥卫浴</t>
  </si>
  <si>
    <t>万丰奥威</t>
  </si>
  <si>
    <t xml:space="preserve">         90.05亿</t>
  </si>
  <si>
    <t xml:space="preserve">         95.42亿</t>
  </si>
  <si>
    <t>东方海洋</t>
  </si>
  <si>
    <t xml:space="preserve">         22.76亿</t>
  </si>
  <si>
    <t xml:space="preserve">         23.34亿</t>
  </si>
  <si>
    <t>新野纺织</t>
  </si>
  <si>
    <t xml:space="preserve">         22.81亿</t>
  </si>
  <si>
    <t xml:space="preserve">         22.82亿</t>
  </si>
  <si>
    <t>鲁阳股份</t>
  </si>
  <si>
    <t xml:space="preserve">         23.35亿</t>
  </si>
  <si>
    <t xml:space="preserve">         27.12亿</t>
  </si>
  <si>
    <t>新 海 宜</t>
  </si>
  <si>
    <t xml:space="preserve">         61.46亿</t>
  </si>
  <si>
    <t>金智科技</t>
  </si>
  <si>
    <t xml:space="preserve">         27.96亿</t>
  </si>
  <si>
    <t xml:space="preserve">         30.56亿</t>
  </si>
  <si>
    <t>江苏国泰</t>
  </si>
  <si>
    <t xml:space="preserve">         57.17亿</t>
  </si>
  <si>
    <t xml:space="preserve">         59.26亿</t>
  </si>
  <si>
    <t>中泰化学</t>
  </si>
  <si>
    <t xml:space="preserve">         95.43亿</t>
  </si>
  <si>
    <t xml:space="preserve">        114.97亿</t>
  </si>
  <si>
    <t>国脉科技</t>
  </si>
  <si>
    <t>电信运营</t>
  </si>
  <si>
    <t xml:space="preserve">         52.11亿</t>
  </si>
  <si>
    <t xml:space="preserve">         52.85亿</t>
  </si>
  <si>
    <t>青岛金王</t>
  </si>
  <si>
    <t xml:space="preserve">         49.19亿</t>
  </si>
  <si>
    <t>生 意 宝</t>
  </si>
  <si>
    <t xml:space="preserve">         62.70亿</t>
  </si>
  <si>
    <t xml:space="preserve">         63.14亿</t>
  </si>
  <si>
    <t>南岭民爆</t>
  </si>
  <si>
    <t xml:space="preserve">         40.92亿</t>
  </si>
  <si>
    <t>山河智能</t>
  </si>
  <si>
    <t xml:space="preserve">         32.81亿</t>
  </si>
  <si>
    <t xml:space="preserve">         50.46亿</t>
  </si>
  <si>
    <t>浔兴股份</t>
  </si>
  <si>
    <t xml:space="preserve">         21.20亿</t>
  </si>
  <si>
    <t>海翔药业</t>
  </si>
  <si>
    <t xml:space="preserve">         32.45亿</t>
  </si>
  <si>
    <t>天康生物</t>
  </si>
  <si>
    <t xml:space="preserve">         53.53亿</t>
  </si>
  <si>
    <t xml:space="preserve">         60.65亿</t>
  </si>
  <si>
    <t>广东鸿图</t>
  </si>
  <si>
    <t xml:space="preserve">         34.85亿</t>
  </si>
  <si>
    <t>冠福股份</t>
  </si>
  <si>
    <t>陶瓷</t>
  </si>
  <si>
    <t xml:space="preserve">         37.24亿</t>
  </si>
  <si>
    <t>广博股份</t>
  </si>
  <si>
    <t xml:space="preserve">         17.40亿</t>
  </si>
  <si>
    <t xml:space="preserve">         22.24亿</t>
  </si>
  <si>
    <t>恒宝股份</t>
  </si>
  <si>
    <t xml:space="preserve">         82.16亿</t>
  </si>
  <si>
    <t xml:space="preserve">        107.62亿</t>
  </si>
  <si>
    <t>信隆实业</t>
  </si>
  <si>
    <t>莱宝高科</t>
  </si>
  <si>
    <t xml:space="preserve">         91.40亿</t>
  </si>
  <si>
    <t xml:space="preserve">         95.85亿</t>
  </si>
  <si>
    <t>沃华医药</t>
  </si>
  <si>
    <t>沧州明珠</t>
  </si>
  <si>
    <t xml:space="preserve">         58.55亿</t>
  </si>
  <si>
    <t xml:space="preserve">         59.22亿</t>
  </si>
  <si>
    <t>兴化股份</t>
  </si>
  <si>
    <t xml:space="preserve">         20.03亿</t>
  </si>
  <si>
    <t>三钢闽光</t>
  </si>
  <si>
    <t xml:space="preserve">         27.43亿</t>
  </si>
  <si>
    <t>威海广泰</t>
  </si>
  <si>
    <t xml:space="preserve">         41.00亿</t>
  </si>
  <si>
    <t xml:space="preserve">         47.78亿</t>
  </si>
  <si>
    <t>三变科技</t>
  </si>
  <si>
    <t xml:space="preserve">         18.30亿</t>
  </si>
  <si>
    <t>天润控股</t>
  </si>
  <si>
    <t xml:space="preserve">         19.84亿</t>
  </si>
  <si>
    <t>罗平锌电</t>
  </si>
  <si>
    <t xml:space="preserve">         16.29亿</t>
  </si>
  <si>
    <t xml:space="preserve">         51.35亿</t>
  </si>
  <si>
    <t>三维通信</t>
  </si>
  <si>
    <t xml:space="preserve">         26.30亿</t>
  </si>
  <si>
    <t xml:space="preserve">         31.87亿</t>
  </si>
  <si>
    <t>中国海诚</t>
  </si>
  <si>
    <t xml:space="preserve">         40.31亿</t>
  </si>
  <si>
    <t xml:space="preserve">         40.57亿</t>
  </si>
  <si>
    <t>东港股份</t>
  </si>
  <si>
    <t xml:space="preserve">         61.21亿</t>
  </si>
  <si>
    <t xml:space="preserve">         61.76亿</t>
  </si>
  <si>
    <t>紫鑫药业</t>
  </si>
  <si>
    <t xml:space="preserve">         87.69亿</t>
  </si>
  <si>
    <t xml:space="preserve">         87.77亿</t>
  </si>
  <si>
    <t>康强电子</t>
  </si>
  <si>
    <t xml:space="preserve">         21.67亿</t>
  </si>
  <si>
    <t xml:space="preserve">         23.01亿</t>
  </si>
  <si>
    <t>新海股份</t>
  </si>
  <si>
    <t xml:space="preserve">         15.21亿</t>
  </si>
  <si>
    <t xml:space="preserve">         23.40亿</t>
  </si>
  <si>
    <t>科陆电子</t>
  </si>
  <si>
    <t xml:space="preserve">         34.49亿</t>
  </si>
  <si>
    <t>天马股份</t>
  </si>
  <si>
    <t xml:space="preserve">         58.67亿</t>
  </si>
  <si>
    <t xml:space="preserve">         66.29亿</t>
  </si>
  <si>
    <t>荣信股份</t>
  </si>
  <si>
    <t xml:space="preserve">         40.72亿</t>
  </si>
  <si>
    <t xml:space="preserve">         45.31亿</t>
  </si>
  <si>
    <t>天邦股份</t>
  </si>
  <si>
    <t xml:space="preserve">         17.24亿</t>
  </si>
  <si>
    <t xml:space="preserve">         24.50亿</t>
  </si>
  <si>
    <t>湘潭电化</t>
  </si>
  <si>
    <t xml:space="preserve">         17.86亿</t>
  </si>
  <si>
    <t>银轮股份</t>
  </si>
  <si>
    <t xml:space="preserve">         41.93亿</t>
  </si>
  <si>
    <t xml:space="preserve">         46.41亿</t>
  </si>
  <si>
    <t>*ST新民</t>
  </si>
  <si>
    <t xml:space="preserve">         22.34亿</t>
  </si>
  <si>
    <t xml:space="preserve">         30.72亿</t>
  </si>
  <si>
    <t>露天煤业</t>
  </si>
  <si>
    <t xml:space="preserve">        103.08亿</t>
  </si>
  <si>
    <t>中环股份</t>
  </si>
  <si>
    <t xml:space="preserve">        171.36亿</t>
  </si>
  <si>
    <t xml:space="preserve">        208.20亿</t>
  </si>
  <si>
    <t>沃尔核材</t>
  </si>
  <si>
    <t xml:space="preserve">         40.42亿</t>
  </si>
  <si>
    <t xml:space="preserve">         66.28亿</t>
  </si>
  <si>
    <t>利欧股份</t>
  </si>
  <si>
    <t xml:space="preserve">         38.92亿</t>
  </si>
  <si>
    <t xml:space="preserve">         80.32亿</t>
  </si>
  <si>
    <t>恒星科技</t>
  </si>
  <si>
    <t xml:space="preserve">         20.39亿</t>
  </si>
  <si>
    <t xml:space="preserve">         31.69亿</t>
  </si>
  <si>
    <t>广宇集团</t>
  </si>
  <si>
    <t xml:space="preserve">         21.17亿</t>
  </si>
  <si>
    <t xml:space="preserve">         27.82亿</t>
  </si>
  <si>
    <t>*ST普林</t>
  </si>
  <si>
    <t>东南网架</t>
  </si>
  <si>
    <t xml:space="preserve">         30.61亿</t>
  </si>
  <si>
    <t>安 纳 达</t>
  </si>
  <si>
    <t xml:space="preserve">         18.00亿</t>
  </si>
  <si>
    <t>实 益 达</t>
  </si>
  <si>
    <t xml:space="preserve">         33.22亿</t>
  </si>
  <si>
    <t xml:space="preserve">         33.76亿</t>
  </si>
  <si>
    <t>顺络电子</t>
  </si>
  <si>
    <t xml:space="preserve">         69.88亿</t>
  </si>
  <si>
    <t xml:space="preserve">         81.43亿</t>
  </si>
  <si>
    <t>拓邦股份</t>
  </si>
  <si>
    <t xml:space="preserve">         25.89亿</t>
  </si>
  <si>
    <t xml:space="preserve">         35.62亿</t>
  </si>
  <si>
    <t>东华科技</t>
  </si>
  <si>
    <t xml:space="preserve">         79.75亿</t>
  </si>
  <si>
    <t xml:space="preserve">         81.62亿</t>
  </si>
  <si>
    <t>蓉胜超微</t>
  </si>
  <si>
    <t xml:space="preserve">         22.28亿</t>
  </si>
  <si>
    <t>宁波银行</t>
  </si>
  <si>
    <t xml:space="preserve">        282.65亿</t>
  </si>
  <si>
    <t xml:space="preserve">        283.77亿</t>
  </si>
  <si>
    <t>高金食品</t>
  </si>
  <si>
    <t xml:space="preserve">         48.78亿</t>
  </si>
  <si>
    <t>宏达高科</t>
  </si>
  <si>
    <t xml:space="preserve">         25.01亿</t>
  </si>
  <si>
    <t xml:space="preserve">         32.31亿</t>
  </si>
  <si>
    <t>中核钛白</t>
  </si>
  <si>
    <t xml:space="preserve">         42.16亿</t>
  </si>
  <si>
    <t>荣盛发展</t>
  </si>
  <si>
    <t xml:space="preserve">        176.31亿</t>
  </si>
  <si>
    <t xml:space="preserve">        200.65亿</t>
  </si>
  <si>
    <t>方圆支承</t>
  </si>
  <si>
    <t xml:space="preserve">         19.29亿</t>
  </si>
  <si>
    <t xml:space="preserve">         24.12亿</t>
  </si>
  <si>
    <t>北纬通信</t>
  </si>
  <si>
    <t xml:space="preserve">         42.90亿</t>
  </si>
  <si>
    <t xml:space="preserve">         63.17亿</t>
  </si>
  <si>
    <t>西部材料</t>
  </si>
  <si>
    <t xml:space="preserve">         35.22亿</t>
  </si>
  <si>
    <t>通润装备</t>
  </si>
  <si>
    <t xml:space="preserve">         20.77亿</t>
  </si>
  <si>
    <t xml:space="preserve">         20.97亿</t>
  </si>
  <si>
    <t>北斗星通</t>
  </si>
  <si>
    <t xml:space="preserve">         61.04亿</t>
  </si>
  <si>
    <t xml:space="preserve">        105.88亿</t>
  </si>
  <si>
    <t>广电运通</t>
  </si>
  <si>
    <t xml:space="preserve">        160.35亿</t>
  </si>
  <si>
    <t xml:space="preserve">        166.60亿</t>
  </si>
  <si>
    <t>石基信息</t>
  </si>
  <si>
    <t xml:space="preserve">         94.55亿</t>
  </si>
  <si>
    <t xml:space="preserve">        179.26亿</t>
  </si>
  <si>
    <t>报 喜 鸟</t>
  </si>
  <si>
    <t xml:space="preserve">         42.65亿</t>
  </si>
  <si>
    <t xml:space="preserve">         46.88亿</t>
  </si>
  <si>
    <t>辰州矿业</t>
  </si>
  <si>
    <t>黄金</t>
  </si>
  <si>
    <t xml:space="preserve">         85.76亿</t>
  </si>
  <si>
    <t xml:space="preserve">         85.78亿</t>
  </si>
  <si>
    <t>通富微电</t>
  </si>
  <si>
    <t xml:space="preserve">         57.71亿</t>
  </si>
  <si>
    <t>正邦科技</t>
  </si>
  <si>
    <t xml:space="preserve">         26.96亿</t>
  </si>
  <si>
    <t xml:space="preserve">         58.32亿</t>
  </si>
  <si>
    <t>汉钟精机</t>
  </si>
  <si>
    <t xml:space="preserve">         49.87亿</t>
  </si>
  <si>
    <t>三特索道</t>
  </si>
  <si>
    <t xml:space="preserve">         27.40亿</t>
  </si>
  <si>
    <t>*ST常铝</t>
  </si>
  <si>
    <t xml:space="preserve">         20.23亿</t>
  </si>
  <si>
    <t xml:space="preserve">         24.51亿</t>
  </si>
  <si>
    <t>远 望 谷</t>
  </si>
  <si>
    <t xml:space="preserve">         58.29亿</t>
  </si>
  <si>
    <t>斯米克</t>
  </si>
  <si>
    <t xml:space="preserve">         29.93亿</t>
  </si>
  <si>
    <t>*ST三鑫</t>
  </si>
  <si>
    <t xml:space="preserve">         33.47亿</t>
  </si>
  <si>
    <t xml:space="preserve">         39.37亿</t>
  </si>
  <si>
    <t>*ST东力</t>
  </si>
  <si>
    <t xml:space="preserve">         21.92亿</t>
  </si>
  <si>
    <t xml:space="preserve">         24.11亿</t>
  </si>
  <si>
    <t>红 宝 丽</t>
  </si>
  <si>
    <t xml:space="preserve">         34.11亿</t>
  </si>
  <si>
    <t xml:space="preserve">         35.03亿</t>
  </si>
  <si>
    <t>莱茵生物</t>
  </si>
  <si>
    <t xml:space="preserve">         24.70亿</t>
  </si>
  <si>
    <t>东方锆业</t>
  </si>
  <si>
    <t xml:space="preserve">         49.30亿</t>
  </si>
  <si>
    <t xml:space="preserve">         64.70亿</t>
  </si>
  <si>
    <t>深圳惠程</t>
  </si>
  <si>
    <t xml:space="preserve">         44.76亿</t>
  </si>
  <si>
    <t xml:space="preserve">         59.66亿</t>
  </si>
  <si>
    <t>智光电气</t>
  </si>
  <si>
    <t xml:space="preserve">         22.60亿</t>
  </si>
  <si>
    <t xml:space="preserve">         24.49亿</t>
  </si>
  <si>
    <t>芭田股份</t>
  </si>
  <si>
    <t xml:space="preserve">         37.80亿</t>
  </si>
  <si>
    <t xml:space="preserve">         51.09亿</t>
  </si>
  <si>
    <t>精诚铜业</t>
  </si>
  <si>
    <t xml:space="preserve">         37.49亿</t>
  </si>
  <si>
    <t xml:space="preserve">         46.19亿</t>
  </si>
  <si>
    <t>澳洋科技</t>
  </si>
  <si>
    <t xml:space="preserve">         35.33亿</t>
  </si>
  <si>
    <t>千足珍珠</t>
  </si>
  <si>
    <t xml:space="preserve">         13.90亿</t>
  </si>
  <si>
    <t xml:space="preserve">         26.36亿</t>
  </si>
  <si>
    <t>游族网络</t>
  </si>
  <si>
    <t xml:space="preserve">         44.09亿</t>
  </si>
  <si>
    <t xml:space="preserve">        146.57亿</t>
  </si>
  <si>
    <t>广陆数测</t>
  </si>
  <si>
    <t xml:space="preserve">         21.87亿</t>
  </si>
  <si>
    <t xml:space="preserve">         29.66亿</t>
  </si>
  <si>
    <t>江特电机</t>
  </si>
  <si>
    <t xml:space="preserve">         70.46亿</t>
  </si>
  <si>
    <t xml:space="preserve">         86.63亿</t>
  </si>
  <si>
    <t>御银股份</t>
  </si>
  <si>
    <t xml:space="preserve">         34.29亿</t>
  </si>
  <si>
    <t>延华智能</t>
  </si>
  <si>
    <t xml:space="preserve">         34.69亿</t>
  </si>
  <si>
    <t xml:space="preserve">         41.46亿</t>
  </si>
  <si>
    <t>中航光电</t>
  </si>
  <si>
    <t xml:space="preserve">        110.17亿</t>
  </si>
  <si>
    <t xml:space="preserve">        114.94亿</t>
  </si>
  <si>
    <t>万 力 达</t>
  </si>
  <si>
    <t xml:space="preserve">         23.60亿</t>
  </si>
  <si>
    <t>粤 传 媒</t>
  </si>
  <si>
    <t xml:space="preserve">         41.64亿</t>
  </si>
  <si>
    <t xml:space="preserve">        138.60亿</t>
  </si>
  <si>
    <t>云海金属</t>
  </si>
  <si>
    <t xml:space="preserve">         20.92亿</t>
  </si>
  <si>
    <t xml:space="preserve">         27.30亿</t>
  </si>
  <si>
    <t>怡 亚 通</t>
  </si>
  <si>
    <t>仓储物流</t>
  </si>
  <si>
    <t xml:space="preserve">        128.89亿</t>
  </si>
  <si>
    <t>海得控制</t>
  </si>
  <si>
    <t xml:space="preserve">         21.29亿</t>
  </si>
  <si>
    <t>华天科技</t>
  </si>
  <si>
    <t xml:space="preserve">         84.16亿</t>
  </si>
  <si>
    <t xml:space="preserve">         84.20亿</t>
  </si>
  <si>
    <t>全 聚 德</t>
  </si>
  <si>
    <t xml:space="preserve">         58.79亿</t>
  </si>
  <si>
    <t xml:space="preserve">         64.75亿</t>
  </si>
  <si>
    <t>广百股份</t>
  </si>
  <si>
    <t xml:space="preserve">         33.61亿</t>
  </si>
  <si>
    <t xml:space="preserve">         34.28亿</t>
  </si>
  <si>
    <t>新 嘉 联</t>
  </si>
  <si>
    <t xml:space="preserve">         17.42亿</t>
  </si>
  <si>
    <t>利达光电</t>
  </si>
  <si>
    <t xml:space="preserve">         27.83亿</t>
  </si>
  <si>
    <t xml:space="preserve">         27.89亿</t>
  </si>
  <si>
    <t>成飞集成</t>
  </si>
  <si>
    <t xml:space="preserve">        210.05亿</t>
  </si>
  <si>
    <t>劲嘉股份</t>
  </si>
  <si>
    <t xml:space="preserve">         99.64亿</t>
  </si>
  <si>
    <t xml:space="preserve">        101.91亿</t>
  </si>
  <si>
    <t>路翔股份</t>
  </si>
  <si>
    <t xml:space="preserve">         25.78亿</t>
  </si>
  <si>
    <t xml:space="preserve">         35.97亿</t>
  </si>
  <si>
    <t>山东如意</t>
  </si>
  <si>
    <t xml:space="preserve">         19.11亿</t>
  </si>
  <si>
    <t xml:space="preserve">         19.12亿</t>
  </si>
  <si>
    <t>武汉凡谷</t>
  </si>
  <si>
    <t xml:space="preserve">         40.65亿</t>
  </si>
  <si>
    <t xml:space="preserve">         72.93亿</t>
  </si>
  <si>
    <t>海隆软件</t>
  </si>
  <si>
    <t xml:space="preserve">         25.93亿</t>
  </si>
  <si>
    <t xml:space="preserve">         50.04亿</t>
  </si>
  <si>
    <t>方正电机</t>
  </si>
  <si>
    <t xml:space="preserve">         13.97亿</t>
  </si>
  <si>
    <t>证通电子</t>
  </si>
  <si>
    <t xml:space="preserve">         25.68亿</t>
  </si>
  <si>
    <t>嘉应制药</t>
  </si>
  <si>
    <t xml:space="preserve">         33.92亿</t>
  </si>
  <si>
    <t xml:space="preserve">         52.88亿</t>
  </si>
  <si>
    <t>东晶电子</t>
  </si>
  <si>
    <t xml:space="preserve">         20.13亿</t>
  </si>
  <si>
    <t xml:space="preserve">         34.71亿</t>
  </si>
  <si>
    <t>云投生态</t>
  </si>
  <si>
    <t xml:space="preserve">         29.44亿</t>
  </si>
  <si>
    <t>九鼎新材</t>
  </si>
  <si>
    <t xml:space="preserve">         19.57亿</t>
  </si>
  <si>
    <t xml:space="preserve">         20.55亿</t>
  </si>
  <si>
    <t>金风科技</t>
  </si>
  <si>
    <t xml:space="preserve">        248.93亿</t>
  </si>
  <si>
    <t xml:space="preserve">        255.44亿</t>
  </si>
  <si>
    <t>海亮股份</t>
  </si>
  <si>
    <t xml:space="preserve">         92.73亿</t>
  </si>
  <si>
    <t xml:space="preserve">         98.22亿</t>
  </si>
  <si>
    <t>大连重工</t>
  </si>
  <si>
    <t xml:space="preserve">         80.85亿</t>
  </si>
  <si>
    <t xml:space="preserve">        120.23亿</t>
  </si>
  <si>
    <t>国统股份</t>
  </si>
  <si>
    <t xml:space="preserve">         18.93亿</t>
  </si>
  <si>
    <t>海 利 得</t>
  </si>
  <si>
    <t xml:space="preserve">         27.07亿</t>
  </si>
  <si>
    <t xml:space="preserve">         36.03亿</t>
  </si>
  <si>
    <t>准油股份</t>
  </si>
  <si>
    <t>石油开采</t>
  </si>
  <si>
    <t xml:space="preserve">         27.85亿</t>
  </si>
  <si>
    <t xml:space="preserve">         38.44亿</t>
  </si>
  <si>
    <t>合肥城建</t>
  </si>
  <si>
    <t xml:space="preserve">         23.56亿</t>
  </si>
  <si>
    <t xml:space="preserve">         23.82亿</t>
  </si>
  <si>
    <t>达 意 隆</t>
  </si>
  <si>
    <t xml:space="preserve">         11.80亿</t>
  </si>
  <si>
    <t xml:space="preserve">         18.20亿</t>
  </si>
  <si>
    <t>飞马国际</t>
  </si>
  <si>
    <t xml:space="preserve">         65.63亿</t>
  </si>
  <si>
    <t xml:space="preserve">         67.82亿</t>
  </si>
  <si>
    <t>宏达新材</t>
  </si>
  <si>
    <t xml:space="preserve">         21.15亿</t>
  </si>
  <si>
    <t>南洋股份</t>
  </si>
  <si>
    <t xml:space="preserve">         21.00亿</t>
  </si>
  <si>
    <t xml:space="preserve">         36.89亿</t>
  </si>
  <si>
    <t>特 尔 佳</t>
  </si>
  <si>
    <t xml:space="preserve">         16.32亿</t>
  </si>
  <si>
    <t xml:space="preserve">         26.66亿</t>
  </si>
  <si>
    <t>大立科技</t>
  </si>
  <si>
    <t xml:space="preserve">         31.02亿</t>
  </si>
  <si>
    <t>诺 普 信</t>
  </si>
  <si>
    <t xml:space="preserve">         45.44亿</t>
  </si>
  <si>
    <t xml:space="preserve">         62.08亿</t>
  </si>
  <si>
    <t>三全食品</t>
  </si>
  <si>
    <t xml:space="preserve">         53.37亿</t>
  </si>
  <si>
    <t xml:space="preserve">         77.04亿</t>
  </si>
  <si>
    <t>*ST合泰</t>
  </si>
  <si>
    <t xml:space="preserve">         21.37亿</t>
  </si>
  <si>
    <t xml:space="preserve">         90.80亿</t>
  </si>
  <si>
    <t>拓日新能</t>
  </si>
  <si>
    <t xml:space="preserve">         53.71亿</t>
  </si>
  <si>
    <t xml:space="preserve">         54.85亿</t>
  </si>
  <si>
    <t>恒康医疗</t>
  </si>
  <si>
    <t xml:space="preserve">        134.21亿</t>
  </si>
  <si>
    <t xml:space="preserve">        137.07亿</t>
  </si>
  <si>
    <t>天宝股份</t>
  </si>
  <si>
    <t xml:space="preserve">         28.28亿</t>
  </si>
  <si>
    <t xml:space="preserve">         33.74亿</t>
  </si>
  <si>
    <t>东华能源</t>
  </si>
  <si>
    <t xml:space="preserve">         56.79亿</t>
  </si>
  <si>
    <t xml:space="preserve">         87.93亿</t>
  </si>
  <si>
    <t>福晶科技</t>
  </si>
  <si>
    <t xml:space="preserve">         30.21亿</t>
  </si>
  <si>
    <t xml:space="preserve">         31.18亿</t>
  </si>
  <si>
    <t>鱼跃医疗</t>
  </si>
  <si>
    <t>医疗保健</t>
  </si>
  <si>
    <t xml:space="preserve">        129.24亿</t>
  </si>
  <si>
    <t xml:space="preserve">        154.17亿</t>
  </si>
  <si>
    <t>三 力 士</t>
  </si>
  <si>
    <t xml:space="preserve">         31.37亿</t>
  </si>
  <si>
    <t xml:space="preserve">         46.55亿</t>
  </si>
  <si>
    <t>濮耐股份</t>
  </si>
  <si>
    <t xml:space="preserve">         32.19亿</t>
  </si>
  <si>
    <t xml:space="preserve">         61.18亿</t>
  </si>
  <si>
    <t>江南化工</t>
  </si>
  <si>
    <t xml:space="preserve">         47.30亿</t>
  </si>
  <si>
    <t xml:space="preserve">         47.63亿</t>
  </si>
  <si>
    <t>奥 特 迅</t>
  </si>
  <si>
    <t xml:space="preserve">         53.31亿</t>
  </si>
  <si>
    <t xml:space="preserve">         53.69亿</t>
  </si>
  <si>
    <t>合兴包装</t>
  </si>
  <si>
    <t xml:space="preserve">         39.09亿</t>
  </si>
  <si>
    <t>鸿博股份</t>
  </si>
  <si>
    <t xml:space="preserve">         53.32亿</t>
  </si>
  <si>
    <t>科大讯飞</t>
  </si>
  <si>
    <t xml:space="preserve">        165.74亿</t>
  </si>
  <si>
    <t xml:space="preserve">        229.63亿</t>
  </si>
  <si>
    <t>奥维通信</t>
  </si>
  <si>
    <t xml:space="preserve">         18.78亿</t>
  </si>
  <si>
    <t xml:space="preserve">         32.90亿</t>
  </si>
  <si>
    <t>启明信息</t>
  </si>
  <si>
    <t xml:space="preserve">         43.92亿</t>
  </si>
  <si>
    <t>塔牌集团</t>
  </si>
  <si>
    <t xml:space="preserve">         40.40亿</t>
  </si>
  <si>
    <t xml:space="preserve">         65.04亿</t>
  </si>
  <si>
    <t>*ST民和</t>
  </si>
  <si>
    <t>安妮股份</t>
  </si>
  <si>
    <t xml:space="preserve">         21.41亿</t>
  </si>
  <si>
    <t xml:space="preserve">         32.74亿</t>
  </si>
  <si>
    <t>大华股份</t>
  </si>
  <si>
    <t xml:space="preserve">        179.45亿</t>
  </si>
  <si>
    <t xml:space="preserve">        318.17亿</t>
  </si>
  <si>
    <t>恒邦股份</t>
  </si>
  <si>
    <t xml:space="preserve">         58.34亿</t>
  </si>
  <si>
    <t xml:space="preserve">         66.37亿</t>
  </si>
  <si>
    <t>天威视讯</t>
  </si>
  <si>
    <t xml:space="preserve">         46.52亿</t>
  </si>
  <si>
    <t>金 飞 达</t>
  </si>
  <si>
    <t>威华股份</t>
  </si>
  <si>
    <t xml:space="preserve">         85.73亿</t>
  </si>
  <si>
    <t xml:space="preserve">        118.01亿</t>
  </si>
  <si>
    <t>歌尔声学</t>
  </si>
  <si>
    <t xml:space="preserve">        347.13亿</t>
  </si>
  <si>
    <t xml:space="preserve">        438.09亿</t>
  </si>
  <si>
    <t>九阳股份</t>
  </si>
  <si>
    <t xml:space="preserve">         82.18亿</t>
  </si>
  <si>
    <t>通产丽星</t>
  </si>
  <si>
    <t xml:space="preserve">         24.48亿</t>
  </si>
  <si>
    <t xml:space="preserve">         28.83亿</t>
  </si>
  <si>
    <t>滨江集团</t>
  </si>
  <si>
    <t xml:space="preserve">         75.75亿</t>
  </si>
  <si>
    <t xml:space="preserve">         89.23亿</t>
  </si>
  <si>
    <t>澳洋顺昌</t>
  </si>
  <si>
    <t xml:space="preserve">         36.67亿</t>
  </si>
  <si>
    <t xml:space="preserve">         48.30亿</t>
  </si>
  <si>
    <t>北化股份</t>
  </si>
  <si>
    <t xml:space="preserve">         39.30亿</t>
  </si>
  <si>
    <t>帝龙新材</t>
  </si>
  <si>
    <t xml:space="preserve">         24.06亿</t>
  </si>
  <si>
    <t xml:space="preserve">         28.00亿</t>
  </si>
  <si>
    <t>*ST东数</t>
  </si>
  <si>
    <t xml:space="preserve">         16.64亿</t>
  </si>
  <si>
    <t xml:space="preserve">         25.21亿</t>
  </si>
  <si>
    <t>大洋电机</t>
  </si>
  <si>
    <t xml:space="preserve">        107.98亿</t>
  </si>
  <si>
    <t>联化科技</t>
  </si>
  <si>
    <t xml:space="preserve">         84.66亿</t>
  </si>
  <si>
    <t xml:space="preserve">        126.40亿</t>
  </si>
  <si>
    <t>步 步 高</t>
  </si>
  <si>
    <t xml:space="preserve">         72.74亿</t>
  </si>
  <si>
    <t xml:space="preserve">         79.83亿</t>
  </si>
  <si>
    <t>上海莱士</t>
  </si>
  <si>
    <t xml:space="preserve">        309.92亿</t>
  </si>
  <si>
    <t xml:space="preserve">        385.66亿</t>
  </si>
  <si>
    <t>川大智胜</t>
  </si>
  <si>
    <t xml:space="preserve">         34.94亿</t>
  </si>
  <si>
    <t xml:space="preserve">         38.65亿</t>
  </si>
  <si>
    <t>泰和新材</t>
  </si>
  <si>
    <t xml:space="preserve">         55.51亿</t>
  </si>
  <si>
    <t xml:space="preserve">         55.53亿</t>
  </si>
  <si>
    <t>海陆重工</t>
  </si>
  <si>
    <t xml:space="preserve">         25.42亿</t>
  </si>
  <si>
    <t xml:space="preserve">         33.05亿</t>
  </si>
  <si>
    <t>彩虹精化</t>
  </si>
  <si>
    <t xml:space="preserve">         33.79亿</t>
  </si>
  <si>
    <t xml:space="preserve">         33.95亿</t>
  </si>
  <si>
    <t>利尔化学</t>
  </si>
  <si>
    <t xml:space="preserve">         29.24亿</t>
  </si>
  <si>
    <t>升达林业</t>
  </si>
  <si>
    <t xml:space="preserve">         39.40亿</t>
  </si>
  <si>
    <t xml:space="preserve">         41.75亿</t>
  </si>
  <si>
    <t>伊 立 浦</t>
  </si>
  <si>
    <t xml:space="preserve">         44.23亿</t>
  </si>
  <si>
    <t>拓维信息</t>
  </si>
  <si>
    <t xml:space="preserve">         64.35亿</t>
  </si>
  <si>
    <t xml:space="preserve">         99.32亿</t>
  </si>
  <si>
    <t>恩华药业</t>
  </si>
  <si>
    <t xml:space="preserve">         86.41亿</t>
  </si>
  <si>
    <t xml:space="preserve">        103.19亿</t>
  </si>
  <si>
    <t>大 东 南</t>
  </si>
  <si>
    <t xml:space="preserve">         49.51亿</t>
  </si>
  <si>
    <t xml:space="preserve">         50.80亿</t>
  </si>
  <si>
    <t>新 华 都</t>
  </si>
  <si>
    <t xml:space="preserve">         40.61亿</t>
  </si>
  <si>
    <t xml:space="preserve">         43.43亿</t>
  </si>
  <si>
    <t>西仪股份</t>
  </si>
  <si>
    <t xml:space="preserve">         28.80亿</t>
  </si>
  <si>
    <t xml:space="preserve">         29.54亿</t>
  </si>
  <si>
    <t>浙富控股</t>
  </si>
  <si>
    <t xml:space="preserve">         80.09亿</t>
  </si>
  <si>
    <t xml:space="preserve">        119.79亿</t>
  </si>
  <si>
    <t>陕天然气</t>
  </si>
  <si>
    <t xml:space="preserve">        104.40亿</t>
  </si>
  <si>
    <t xml:space="preserve">        106.46亿</t>
  </si>
  <si>
    <t>卫 士 通</t>
  </si>
  <si>
    <t xml:space="preserve">         75.28亿</t>
  </si>
  <si>
    <t xml:space="preserve">         77.55亿</t>
  </si>
  <si>
    <t>美邦服饰</t>
  </si>
  <si>
    <t xml:space="preserve">         98.49亿</t>
  </si>
  <si>
    <t xml:space="preserve">         99.08亿</t>
  </si>
  <si>
    <t>法因数控</t>
  </si>
  <si>
    <t xml:space="preserve">         12.85亿</t>
  </si>
  <si>
    <t xml:space="preserve">         18.50亿</t>
  </si>
  <si>
    <t>东方雨虹</t>
  </si>
  <si>
    <t xml:space="preserve">        111.49亿</t>
  </si>
  <si>
    <t>川润股份</t>
  </si>
  <si>
    <t xml:space="preserve">         18.65亿</t>
  </si>
  <si>
    <t xml:space="preserve">         25.60亿</t>
  </si>
  <si>
    <t>水晶光电</t>
  </si>
  <si>
    <t xml:space="preserve">         75.58亿</t>
  </si>
  <si>
    <t xml:space="preserve">         85.82亿</t>
  </si>
  <si>
    <t>华昌化工</t>
  </si>
  <si>
    <t xml:space="preserve">         37.39亿</t>
  </si>
  <si>
    <t>桂林三金</t>
  </si>
  <si>
    <t xml:space="preserve">         95.12亿</t>
  </si>
  <si>
    <t>万马股份</t>
  </si>
  <si>
    <t xml:space="preserve">         69.26亿</t>
  </si>
  <si>
    <t xml:space="preserve">         80.63亿</t>
  </si>
  <si>
    <t>友阿股份</t>
  </si>
  <si>
    <t>神开股份</t>
  </si>
  <si>
    <t xml:space="preserve">         37.50亿</t>
  </si>
  <si>
    <t>久其软件</t>
  </si>
  <si>
    <t xml:space="preserve">         31.20亿</t>
  </si>
  <si>
    <t xml:space="preserve">         36.30亿</t>
  </si>
  <si>
    <t>新世纪</t>
  </si>
  <si>
    <t xml:space="preserve">         21.09亿</t>
  </si>
  <si>
    <t xml:space="preserve">         39.00亿</t>
  </si>
  <si>
    <t>光迅科技</t>
  </si>
  <si>
    <t xml:space="preserve">         60.38亿</t>
  </si>
  <si>
    <t xml:space="preserve">         70.26亿</t>
  </si>
  <si>
    <t>博深工具</t>
  </si>
  <si>
    <t xml:space="preserve">         13.22亿</t>
  </si>
  <si>
    <t xml:space="preserve">         24.86亿</t>
  </si>
  <si>
    <t>天润曲轴</t>
  </si>
  <si>
    <t xml:space="preserve">         45.48亿</t>
  </si>
  <si>
    <t>亚太股份</t>
  </si>
  <si>
    <t xml:space="preserve">         43.06亿</t>
  </si>
  <si>
    <t xml:space="preserve">         47.42亿</t>
  </si>
  <si>
    <t>世联行</t>
  </si>
  <si>
    <t xml:space="preserve">         92.62亿</t>
  </si>
  <si>
    <t xml:space="preserve">         92.65亿</t>
  </si>
  <si>
    <t>保龄宝</t>
  </si>
  <si>
    <t>奇正藏药</t>
  </si>
  <si>
    <t xml:space="preserve">         92.45亿</t>
  </si>
  <si>
    <t>超华科技</t>
  </si>
  <si>
    <t xml:space="preserve">         31.24亿</t>
  </si>
  <si>
    <t xml:space="preserve">         41.96亿</t>
  </si>
  <si>
    <t>宇顺电子</t>
  </si>
  <si>
    <t xml:space="preserve">         33.42亿</t>
  </si>
  <si>
    <t>禾盛新材</t>
  </si>
  <si>
    <t xml:space="preserve">         19.89亿</t>
  </si>
  <si>
    <t xml:space="preserve">         31.28亿</t>
  </si>
  <si>
    <t>星期六</t>
  </si>
  <si>
    <t xml:space="preserve">         27.21亿</t>
  </si>
  <si>
    <t>奥飞动漫</t>
  </si>
  <si>
    <t xml:space="preserve">        114.50亿</t>
  </si>
  <si>
    <t xml:space="preserve">        223.30亿</t>
  </si>
  <si>
    <t>罗莱家纺</t>
  </si>
  <si>
    <t xml:space="preserve">         60.83亿</t>
  </si>
  <si>
    <t>信立泰</t>
  </si>
  <si>
    <t xml:space="preserve">         90.00亿</t>
  </si>
  <si>
    <t xml:space="preserve">        205.02亿</t>
  </si>
  <si>
    <t>精艺股份</t>
  </si>
  <si>
    <t xml:space="preserve">         17.07亿</t>
  </si>
  <si>
    <t>辉煌科技</t>
  </si>
  <si>
    <t xml:space="preserve">         70.63亿</t>
  </si>
  <si>
    <t>博云新材</t>
  </si>
  <si>
    <t xml:space="preserve">         28.59亿</t>
  </si>
  <si>
    <t xml:space="preserve">         53.84亿</t>
  </si>
  <si>
    <t>鑫龙电器</t>
  </si>
  <si>
    <t xml:space="preserve">         33.73亿</t>
  </si>
  <si>
    <t>圣农发展</t>
  </si>
  <si>
    <t xml:space="preserve">        133.07亿</t>
  </si>
  <si>
    <t xml:space="preserve">        134.81亿</t>
  </si>
  <si>
    <t>太阳电缆</t>
  </si>
  <si>
    <t xml:space="preserve">         31.56亿</t>
  </si>
  <si>
    <t>齐心文具</t>
  </si>
  <si>
    <t xml:space="preserve">         27.71亿</t>
  </si>
  <si>
    <t xml:space="preserve">         30.80亿</t>
  </si>
  <si>
    <t>西部建设</t>
  </si>
  <si>
    <t xml:space="preserve">         32.05亿</t>
  </si>
  <si>
    <t xml:space="preserve">         61.06亿</t>
  </si>
  <si>
    <t>美盈森</t>
  </si>
  <si>
    <t xml:space="preserve">         51.29亿</t>
  </si>
  <si>
    <t xml:space="preserve">        101.84亿</t>
  </si>
  <si>
    <t>洋河股份</t>
  </si>
  <si>
    <t xml:space="preserve">        588.05亿</t>
  </si>
  <si>
    <t xml:space="preserve">        719.91亿</t>
  </si>
  <si>
    <t>南国置业</t>
  </si>
  <si>
    <t xml:space="preserve">         44.20亿</t>
  </si>
  <si>
    <t xml:space="preserve">         64.66亿</t>
  </si>
  <si>
    <t>中科云网</t>
  </si>
  <si>
    <t xml:space="preserve">         59.06亿</t>
  </si>
  <si>
    <t xml:space="preserve">         72.80亿</t>
  </si>
  <si>
    <t>北新路桥</t>
  </si>
  <si>
    <t xml:space="preserve">         40.41亿</t>
  </si>
  <si>
    <t>威创股份</t>
  </si>
  <si>
    <t xml:space="preserve">         74.03亿</t>
  </si>
  <si>
    <t>中利科技</t>
  </si>
  <si>
    <t xml:space="preserve">         59.55亿</t>
  </si>
  <si>
    <t xml:space="preserve">        124.46亿</t>
  </si>
  <si>
    <t>东方园林</t>
  </si>
  <si>
    <t xml:space="preserve">         83.70亿</t>
  </si>
  <si>
    <t xml:space="preserve">        185.62亿</t>
  </si>
  <si>
    <t>海大集团</t>
  </si>
  <si>
    <t xml:space="preserve">        114.10亿</t>
  </si>
  <si>
    <t xml:space="preserve">        121.98亿</t>
  </si>
  <si>
    <t>三泰电子</t>
  </si>
  <si>
    <t xml:space="preserve">         67.96亿</t>
  </si>
  <si>
    <t xml:space="preserve">         98.77亿</t>
  </si>
  <si>
    <t>日海通讯</t>
  </si>
  <si>
    <t xml:space="preserve">         33.08亿</t>
  </si>
  <si>
    <t xml:space="preserve">         43.93亿</t>
  </si>
  <si>
    <t>雅致股份</t>
  </si>
  <si>
    <t xml:space="preserve">         30.32亿</t>
  </si>
  <si>
    <t xml:space="preserve">         30.33亿</t>
  </si>
  <si>
    <t>焦点科技</t>
  </si>
  <si>
    <t xml:space="preserve">         28.34亿</t>
  </si>
  <si>
    <t xml:space="preserve">         55.31亿</t>
  </si>
  <si>
    <t>键桥通讯</t>
  </si>
  <si>
    <t xml:space="preserve">         40.13亿</t>
  </si>
  <si>
    <t xml:space="preserve">         40.18亿</t>
  </si>
  <si>
    <t>众生药业</t>
  </si>
  <si>
    <t xml:space="preserve">         46.90亿</t>
  </si>
  <si>
    <t xml:space="preserve">         75.59亿</t>
  </si>
  <si>
    <t>久立特材</t>
  </si>
  <si>
    <t xml:space="preserve">         67.01亿</t>
  </si>
  <si>
    <t xml:space="preserve">         70.20亿</t>
  </si>
  <si>
    <t>乐通股份</t>
  </si>
  <si>
    <t>海峡股份</t>
  </si>
  <si>
    <t>水运</t>
  </si>
  <si>
    <t xml:space="preserve">         49.02亿</t>
  </si>
  <si>
    <t>华英农业</t>
  </si>
  <si>
    <t xml:space="preserve">         28.65亿</t>
  </si>
  <si>
    <t>理工监测</t>
  </si>
  <si>
    <t xml:space="preserve">         35.43亿</t>
  </si>
  <si>
    <t>中联电气</t>
  </si>
  <si>
    <t xml:space="preserve">         15.16亿</t>
  </si>
  <si>
    <t xml:space="preserve">         19.54亿</t>
  </si>
  <si>
    <t>普利特</t>
  </si>
  <si>
    <t xml:space="preserve">         27.64亿</t>
  </si>
  <si>
    <t xml:space="preserve">         47.90亿</t>
  </si>
  <si>
    <t>洪涛股份</t>
  </si>
  <si>
    <t xml:space="preserve">         49.27亿</t>
  </si>
  <si>
    <t xml:space="preserve">         69.92亿</t>
  </si>
  <si>
    <t>永太科技</t>
  </si>
  <si>
    <t xml:space="preserve">         24.01亿</t>
  </si>
  <si>
    <t xml:space="preserve">         40.48亿</t>
  </si>
  <si>
    <t>富安娜</t>
  </si>
  <si>
    <t xml:space="preserve">         56.94亿</t>
  </si>
  <si>
    <t>新朋股份</t>
  </si>
  <si>
    <t xml:space="preserve">         37.73亿</t>
  </si>
  <si>
    <t xml:space="preserve">         51.88亿</t>
  </si>
  <si>
    <t>皇氏乳业</t>
  </si>
  <si>
    <t>乳制品</t>
  </si>
  <si>
    <t xml:space="preserve">         38.31亿</t>
  </si>
  <si>
    <t>得利斯</t>
  </si>
  <si>
    <t xml:space="preserve">         38.55亿</t>
  </si>
  <si>
    <t>皖通科技</t>
  </si>
  <si>
    <t xml:space="preserve">         19.30亿</t>
  </si>
  <si>
    <t xml:space="preserve">         30.51亿</t>
  </si>
  <si>
    <t>仙琚制药</t>
  </si>
  <si>
    <t xml:space="preserve">         51.95亿</t>
  </si>
  <si>
    <t xml:space="preserve">         58.33亿</t>
  </si>
  <si>
    <t>罗普斯金</t>
  </si>
  <si>
    <t xml:space="preserve">         28.20亿</t>
  </si>
  <si>
    <t>英威腾</t>
  </si>
  <si>
    <t xml:space="preserve">         39.23亿</t>
  </si>
  <si>
    <t>科华恒盛</t>
  </si>
  <si>
    <t xml:space="preserve">         33.16亿</t>
  </si>
  <si>
    <t>人人乐</t>
  </si>
  <si>
    <t xml:space="preserve">         46.04亿</t>
  </si>
  <si>
    <t>赛象科技</t>
  </si>
  <si>
    <t xml:space="preserve">         25.11亿</t>
  </si>
  <si>
    <t xml:space="preserve">         26.99亿</t>
  </si>
  <si>
    <t>奥普光电</t>
  </si>
  <si>
    <t xml:space="preserve">         49.89亿</t>
  </si>
  <si>
    <t>积成电子</t>
  </si>
  <si>
    <t xml:space="preserve">         27.76亿</t>
  </si>
  <si>
    <t xml:space="preserve">         37.02亿</t>
  </si>
  <si>
    <t>格林美</t>
  </si>
  <si>
    <t xml:space="preserve">         98.25亿</t>
  </si>
  <si>
    <t xml:space="preserve">        120.47亿</t>
  </si>
  <si>
    <t>新纶科技</t>
  </si>
  <si>
    <t xml:space="preserve">         51.47亿</t>
  </si>
  <si>
    <t xml:space="preserve">         76.63亿</t>
  </si>
  <si>
    <t>巨力索具</t>
  </si>
  <si>
    <t xml:space="preserve">         59.04亿</t>
  </si>
  <si>
    <t xml:space="preserve">         72.10亿</t>
  </si>
  <si>
    <t>禾欣股份</t>
  </si>
  <si>
    <t xml:space="preserve">         13.18亿</t>
  </si>
  <si>
    <t xml:space="preserve">         18.21亿</t>
  </si>
  <si>
    <t>海宁皮城</t>
  </si>
  <si>
    <t>商品城</t>
  </si>
  <si>
    <t xml:space="preserve">        159.68亿</t>
  </si>
  <si>
    <t xml:space="preserve">        162.62亿</t>
  </si>
  <si>
    <t>潮宏基</t>
  </si>
  <si>
    <t xml:space="preserve">         63.97亿</t>
  </si>
  <si>
    <t xml:space="preserve">         75.13亿</t>
  </si>
  <si>
    <t>柘中建设</t>
  </si>
  <si>
    <t xml:space="preserve">          8.13亿</t>
  </si>
  <si>
    <t xml:space="preserve">         31.35亿</t>
  </si>
  <si>
    <t>泰尔重工</t>
  </si>
  <si>
    <t xml:space="preserve">         10.86亿</t>
  </si>
  <si>
    <t>高乐股份</t>
  </si>
  <si>
    <t xml:space="preserve">         31.23亿</t>
  </si>
  <si>
    <t xml:space="preserve">         43.81亿</t>
  </si>
  <si>
    <t>精华制药</t>
  </si>
  <si>
    <t xml:space="preserve">         43.58亿</t>
  </si>
  <si>
    <t>北京科锐</t>
  </si>
  <si>
    <t xml:space="preserve">         25.97亿</t>
  </si>
  <si>
    <t xml:space="preserve">         25.98亿</t>
  </si>
  <si>
    <t>漫步者</t>
  </si>
  <si>
    <t xml:space="preserve">         17.81亿</t>
  </si>
  <si>
    <t xml:space="preserve">         42.10亿</t>
  </si>
  <si>
    <t>鼎泰新材</t>
  </si>
  <si>
    <t xml:space="preserve">          9.35亿</t>
  </si>
  <si>
    <t xml:space="preserve">         18.96亿</t>
  </si>
  <si>
    <t>杰瑞股份</t>
  </si>
  <si>
    <t xml:space="preserve">        228.43亿</t>
  </si>
  <si>
    <t xml:space="preserve">        413.42亿</t>
  </si>
  <si>
    <t>科冕木业</t>
  </si>
  <si>
    <t xml:space="preserve">         32.39亿</t>
  </si>
  <si>
    <t xml:space="preserve">         46.37亿</t>
  </si>
  <si>
    <t>兴民钢圈</t>
  </si>
  <si>
    <t xml:space="preserve">         23.98亿</t>
  </si>
  <si>
    <t xml:space="preserve">         36.27亿</t>
  </si>
  <si>
    <t>浩宁达</t>
  </si>
  <si>
    <t xml:space="preserve">         33.84亿</t>
  </si>
  <si>
    <t>富临运业</t>
  </si>
  <si>
    <t xml:space="preserve">         31.06亿</t>
  </si>
  <si>
    <t xml:space="preserve">         31.25亿</t>
  </si>
  <si>
    <t>森源电气</t>
  </si>
  <si>
    <t xml:space="preserve">         46.58亿</t>
  </si>
  <si>
    <t xml:space="preserve">        122.92亿</t>
  </si>
  <si>
    <t>齐星铁塔</t>
  </si>
  <si>
    <t xml:space="preserve">         24.74亿</t>
  </si>
  <si>
    <t>同德化工</t>
  </si>
  <si>
    <t xml:space="preserve">         19.00亿</t>
  </si>
  <si>
    <t xml:space="preserve">         32.26亿</t>
  </si>
  <si>
    <t>神剑股份</t>
  </si>
  <si>
    <t xml:space="preserve">         13.03亿</t>
  </si>
  <si>
    <t xml:space="preserve">         23.55亿</t>
  </si>
  <si>
    <t>汉王科技</t>
  </si>
  <si>
    <t xml:space="preserve">         35.77亿</t>
  </si>
  <si>
    <t>隆基机械</t>
  </si>
  <si>
    <t xml:space="preserve">         33.70亿</t>
  </si>
  <si>
    <t>中恒电气</t>
  </si>
  <si>
    <t xml:space="preserve">         43.79亿</t>
  </si>
  <si>
    <t xml:space="preserve">         56.24亿</t>
  </si>
  <si>
    <t>永安药业</t>
  </si>
  <si>
    <t xml:space="preserve">         17.02亿</t>
  </si>
  <si>
    <t xml:space="preserve">         23.00亿</t>
  </si>
  <si>
    <t>丹甫股份</t>
  </si>
  <si>
    <t xml:space="preserve">         41.34亿</t>
  </si>
  <si>
    <t>康力电梯</t>
  </si>
  <si>
    <t xml:space="preserve">         37.48亿</t>
  </si>
  <si>
    <t xml:space="preserve">         62.24亿</t>
  </si>
  <si>
    <t>太极股份</t>
  </si>
  <si>
    <t xml:space="preserve">         94.63亿</t>
  </si>
  <si>
    <t xml:space="preserve">        113.85亿</t>
  </si>
  <si>
    <t>卓翼科技</t>
  </si>
  <si>
    <t xml:space="preserve">         39.52亿</t>
  </si>
  <si>
    <t xml:space="preserve">         55.40亿</t>
  </si>
  <si>
    <t>亚太药业</t>
  </si>
  <si>
    <t xml:space="preserve">         22.41亿</t>
  </si>
  <si>
    <t>七星电子</t>
  </si>
  <si>
    <t xml:space="preserve">         78.61亿</t>
  </si>
  <si>
    <t xml:space="preserve">         83.19亿</t>
  </si>
  <si>
    <t>伟星新材</t>
  </si>
  <si>
    <t xml:space="preserve">         50.66亿</t>
  </si>
  <si>
    <t xml:space="preserve">         57.69亿</t>
  </si>
  <si>
    <t>千方科技</t>
  </si>
  <si>
    <t xml:space="preserve">         31.01亿</t>
  </si>
  <si>
    <t xml:space="preserve">        116.27亿</t>
  </si>
  <si>
    <t>丽鹏股份</t>
  </si>
  <si>
    <t xml:space="preserve">         16.41亿</t>
  </si>
  <si>
    <t xml:space="preserve">         20.88亿</t>
  </si>
  <si>
    <t>亚厦股份</t>
  </si>
  <si>
    <t xml:space="preserve">        121.23亿</t>
  </si>
  <si>
    <t xml:space="preserve">        158.55亿</t>
  </si>
  <si>
    <t>新北洋</t>
  </si>
  <si>
    <t xml:space="preserve">         56.47亿</t>
  </si>
  <si>
    <t xml:space="preserve">         69.42亿</t>
  </si>
  <si>
    <t>国创高新</t>
  </si>
  <si>
    <t xml:space="preserve">         31.29亿</t>
  </si>
  <si>
    <t xml:space="preserve">         32.04亿</t>
  </si>
  <si>
    <t>章源钨业</t>
  </si>
  <si>
    <t xml:space="preserve">         84.83亿</t>
  </si>
  <si>
    <t>鲁丰环保</t>
  </si>
  <si>
    <t xml:space="preserve">         30.09亿</t>
  </si>
  <si>
    <t>科远股份</t>
  </si>
  <si>
    <t>双箭股份</t>
  </si>
  <si>
    <t xml:space="preserve">         18.37亿</t>
  </si>
  <si>
    <t xml:space="preserve">         29.76亿</t>
  </si>
  <si>
    <t>蓝帆医疗</t>
  </si>
  <si>
    <t xml:space="preserve">         54.44亿</t>
  </si>
  <si>
    <t xml:space="preserve">         54.67亿</t>
  </si>
  <si>
    <t>合众思壮</t>
  </si>
  <si>
    <t xml:space="preserve">         50.08亿</t>
  </si>
  <si>
    <t>东山精密</t>
  </si>
  <si>
    <t xml:space="preserve">         54.92亿</t>
  </si>
  <si>
    <t xml:space="preserve">         93.16亿</t>
  </si>
  <si>
    <t>大北农</t>
  </si>
  <si>
    <t xml:space="preserve">        129.22亿</t>
  </si>
  <si>
    <t xml:space="preserve">        224.97亿</t>
  </si>
  <si>
    <t>天原集团</t>
  </si>
  <si>
    <t xml:space="preserve">         40.68亿</t>
  </si>
  <si>
    <t>黑牛食品</t>
  </si>
  <si>
    <t xml:space="preserve">         27.45亿</t>
  </si>
  <si>
    <t xml:space="preserve">         47.32亿</t>
  </si>
  <si>
    <t>新亚制程</t>
  </si>
  <si>
    <t xml:space="preserve">         36.54亿</t>
  </si>
  <si>
    <t xml:space="preserve">         39.12亿</t>
  </si>
  <si>
    <t>南洋科技</t>
  </si>
  <si>
    <t xml:space="preserve">         28.12亿</t>
  </si>
  <si>
    <t>信邦制药</t>
  </si>
  <si>
    <t xml:space="preserve">         50.79亿</t>
  </si>
  <si>
    <t xml:space="preserve">        111.60亿</t>
  </si>
  <si>
    <t>长青股份</t>
  </si>
  <si>
    <t xml:space="preserve">         24.93亿</t>
  </si>
  <si>
    <t xml:space="preserve">         50.76亿</t>
  </si>
  <si>
    <t>北京利尔</t>
  </si>
  <si>
    <t xml:space="preserve">         27.73亿</t>
  </si>
  <si>
    <t>力生制药</t>
  </si>
  <si>
    <t xml:space="preserve">         58.20亿</t>
  </si>
  <si>
    <t xml:space="preserve">         58.46亿</t>
  </si>
  <si>
    <t>联发股份</t>
  </si>
  <si>
    <t xml:space="preserve">         34.89亿</t>
  </si>
  <si>
    <t>双象股份</t>
  </si>
  <si>
    <t xml:space="preserve">         21.46亿</t>
  </si>
  <si>
    <t>星网锐捷</t>
  </si>
  <si>
    <t xml:space="preserve">         99.35亿</t>
  </si>
  <si>
    <t>梦洁家纺</t>
  </si>
  <si>
    <t xml:space="preserve">         14.19亿</t>
  </si>
  <si>
    <t xml:space="preserve">         29.60亿</t>
  </si>
  <si>
    <t>建研集团</t>
  </si>
  <si>
    <t xml:space="preserve">         26.53亿</t>
  </si>
  <si>
    <t>海普瑞</t>
  </si>
  <si>
    <t xml:space="preserve">        173.08亿</t>
  </si>
  <si>
    <t>省广股份</t>
  </si>
  <si>
    <t xml:space="preserve">        123.63亿</t>
  </si>
  <si>
    <t xml:space="preserve">        138.38亿</t>
  </si>
  <si>
    <t>中海科技</t>
  </si>
  <si>
    <t xml:space="preserve">         48.97亿</t>
  </si>
  <si>
    <t xml:space="preserve">         50.03亿</t>
  </si>
  <si>
    <t>和而泰</t>
  </si>
  <si>
    <t xml:space="preserve">         22.86亿</t>
  </si>
  <si>
    <t xml:space="preserve">         28.36亿</t>
  </si>
  <si>
    <t>爱仕达</t>
  </si>
  <si>
    <t xml:space="preserve">         26.91亿</t>
  </si>
  <si>
    <t>嘉欣丝绸</t>
  </si>
  <si>
    <t xml:space="preserve">         16.65亿</t>
  </si>
  <si>
    <t xml:space="preserve">         24.55亿</t>
  </si>
  <si>
    <t>四维图新</t>
  </si>
  <si>
    <t xml:space="preserve">        140.94亿</t>
  </si>
  <si>
    <t xml:space="preserve">        150.98亿</t>
  </si>
  <si>
    <t>远东传动</t>
  </si>
  <si>
    <t xml:space="preserve">         19.13亿</t>
  </si>
  <si>
    <t xml:space="preserve">         30.38亿</t>
  </si>
  <si>
    <t>多氟多</t>
  </si>
  <si>
    <t xml:space="preserve">         40.76亿</t>
  </si>
  <si>
    <t xml:space="preserve">         49.07亿</t>
  </si>
  <si>
    <t>齐翔腾达</t>
  </si>
  <si>
    <t xml:space="preserve">         89.64亿</t>
  </si>
  <si>
    <t xml:space="preserve">         91.61亿</t>
  </si>
  <si>
    <t>雅克科技</t>
  </si>
  <si>
    <t xml:space="preserve">         16.55亿</t>
  </si>
  <si>
    <t>广联达</t>
  </si>
  <si>
    <t xml:space="preserve">        101.02亿</t>
  </si>
  <si>
    <t xml:space="preserve">        206.87亿</t>
  </si>
  <si>
    <t>九九久</t>
  </si>
  <si>
    <t xml:space="preserve">         22.63亿</t>
  </si>
  <si>
    <t>汉森制药</t>
  </si>
  <si>
    <t xml:space="preserve">         53.51亿</t>
  </si>
  <si>
    <t xml:space="preserve">         55.23亿</t>
  </si>
  <si>
    <t>常发股份</t>
  </si>
  <si>
    <t>高德红外</t>
  </si>
  <si>
    <t xml:space="preserve">        107.52亿</t>
  </si>
  <si>
    <t xml:space="preserve">        138.90亿</t>
  </si>
  <si>
    <t>海康威视</t>
  </si>
  <si>
    <t xml:space="preserve">        628.73亿</t>
  </si>
  <si>
    <t xml:space="preserve">        803.04亿</t>
  </si>
  <si>
    <t>爱施德</t>
  </si>
  <si>
    <t xml:space="preserve">        158.19亿</t>
  </si>
  <si>
    <t>三元达</t>
  </si>
  <si>
    <t xml:space="preserve">         21.01亿</t>
  </si>
  <si>
    <t xml:space="preserve">         27.92亿</t>
  </si>
  <si>
    <t>康盛股份</t>
  </si>
  <si>
    <t xml:space="preserve">         20.05亿</t>
  </si>
  <si>
    <t xml:space="preserve">         28.07亿</t>
  </si>
  <si>
    <t>天虹商场</t>
  </si>
  <si>
    <t xml:space="preserve">         91.62亿</t>
  </si>
  <si>
    <t xml:space="preserve">         92.38亿</t>
  </si>
  <si>
    <t>毅昌股份</t>
  </si>
  <si>
    <t xml:space="preserve">         24.26亿</t>
  </si>
  <si>
    <t xml:space="preserve">         25.74亿</t>
  </si>
  <si>
    <t>达实智能</t>
  </si>
  <si>
    <t xml:space="preserve">         66.06亿</t>
  </si>
  <si>
    <t xml:space="preserve">         67.57亿</t>
  </si>
  <si>
    <t>科伦药业</t>
  </si>
  <si>
    <t xml:space="preserve">        104.73亿</t>
  </si>
  <si>
    <t xml:space="preserve">        212.47亿</t>
  </si>
  <si>
    <t>中原特钢</t>
  </si>
  <si>
    <t xml:space="preserve">         58.70亿</t>
  </si>
  <si>
    <t>贵州百灵</t>
  </si>
  <si>
    <t xml:space="preserve">         70.89亿</t>
  </si>
  <si>
    <t xml:space="preserve">        161.63亿</t>
  </si>
  <si>
    <t>凯撒股份</t>
  </si>
  <si>
    <t xml:space="preserve">         50.97亿</t>
  </si>
  <si>
    <t>胜利精密</t>
  </si>
  <si>
    <t xml:space="preserve">         40.43亿</t>
  </si>
  <si>
    <t xml:space="preserve">        112.85亿</t>
  </si>
  <si>
    <t>尤夫股份</t>
  </si>
  <si>
    <t xml:space="preserve">         33.20亿</t>
  </si>
  <si>
    <t>云南锗业</t>
  </si>
  <si>
    <t xml:space="preserve">         87.42亿</t>
  </si>
  <si>
    <t xml:space="preserve">         92.09亿</t>
  </si>
  <si>
    <t>兆驰股份</t>
  </si>
  <si>
    <t xml:space="preserve">        130.34亿</t>
  </si>
  <si>
    <t xml:space="preserve">        132.01亿</t>
  </si>
  <si>
    <t>杭氧股份</t>
  </si>
  <si>
    <t xml:space="preserve">         60.63亿</t>
  </si>
  <si>
    <t xml:space="preserve">         62.38亿</t>
  </si>
  <si>
    <t>棕榈园林</t>
  </si>
  <si>
    <t xml:space="preserve">         47.40亿</t>
  </si>
  <si>
    <t xml:space="preserve">         86.31亿</t>
  </si>
  <si>
    <t>九安医疗</t>
  </si>
  <si>
    <t xml:space="preserve">         78.05亿</t>
  </si>
  <si>
    <t>太安堂</t>
  </si>
  <si>
    <t xml:space="preserve">         62.35亿</t>
  </si>
  <si>
    <t xml:space="preserve">         85.48亿</t>
  </si>
  <si>
    <t>万里扬</t>
  </si>
  <si>
    <t xml:space="preserve">         45.15亿</t>
  </si>
  <si>
    <t>长江润发</t>
  </si>
  <si>
    <t xml:space="preserve">         18.52亿</t>
  </si>
  <si>
    <t>兴森科技</t>
  </si>
  <si>
    <t xml:space="preserve">         44.34亿</t>
  </si>
  <si>
    <t xml:space="preserve">         64.58亿</t>
  </si>
  <si>
    <t>誉衡药业</t>
  </si>
  <si>
    <t xml:space="preserve">        157.70亿</t>
  </si>
  <si>
    <t>江苏神通</t>
  </si>
  <si>
    <t xml:space="preserve">         22.99亿</t>
  </si>
  <si>
    <t xml:space="preserve">         37.61亿</t>
  </si>
  <si>
    <t>启明星辰</t>
  </si>
  <si>
    <t xml:space="preserve">         91.78亿</t>
  </si>
  <si>
    <t>闰土股份</t>
  </si>
  <si>
    <t xml:space="preserve">         86.19亿</t>
  </si>
  <si>
    <t xml:space="preserve">        148.49亿</t>
  </si>
  <si>
    <t>众业达</t>
  </si>
  <si>
    <t>龙星化工</t>
  </si>
  <si>
    <t xml:space="preserve">         15.09亿</t>
  </si>
  <si>
    <t>金洲管道</t>
  </si>
  <si>
    <t xml:space="preserve">         30.92亿</t>
  </si>
  <si>
    <t>巨星科技</t>
  </si>
  <si>
    <t xml:space="preserve">         98.48亿</t>
  </si>
  <si>
    <t xml:space="preserve">        114.18亿</t>
  </si>
  <si>
    <t>中南重工</t>
  </si>
  <si>
    <t xml:space="preserve">         44.42亿</t>
  </si>
  <si>
    <t xml:space="preserve">         44.68亿</t>
  </si>
  <si>
    <t>盛路通信</t>
  </si>
  <si>
    <t xml:space="preserve">         44.02亿</t>
  </si>
  <si>
    <t>壹桥苗业</t>
  </si>
  <si>
    <t xml:space="preserve">         38.19亿</t>
  </si>
  <si>
    <t xml:space="preserve">         82.74亿</t>
  </si>
  <si>
    <t>中原内配</t>
  </si>
  <si>
    <t xml:space="preserve">         26.02亿</t>
  </si>
  <si>
    <t>国星光电</t>
  </si>
  <si>
    <t xml:space="preserve">         37.62亿</t>
  </si>
  <si>
    <t xml:space="preserve">         45.92亿</t>
  </si>
  <si>
    <t>康得新</t>
  </si>
  <si>
    <t xml:space="preserve">        269.60亿</t>
  </si>
  <si>
    <t xml:space="preserve">        270.85亿</t>
  </si>
  <si>
    <t>摩恩电气</t>
  </si>
  <si>
    <t xml:space="preserve">         16.39亿</t>
  </si>
  <si>
    <t xml:space="preserve">         37.38亿</t>
  </si>
  <si>
    <t>长高集团</t>
  </si>
  <si>
    <t xml:space="preserve">         31.65亿</t>
  </si>
  <si>
    <t>天马精化</t>
  </si>
  <si>
    <t xml:space="preserve">         43.14亿</t>
  </si>
  <si>
    <t>松芝股份</t>
  </si>
  <si>
    <t xml:space="preserve">         36.24亿</t>
  </si>
  <si>
    <t>百川股份</t>
  </si>
  <si>
    <t xml:space="preserve">         13.56亿</t>
  </si>
  <si>
    <t xml:space="preserve">         24.25亿</t>
  </si>
  <si>
    <t>欧菲光</t>
  </si>
  <si>
    <t xml:space="preserve">        184.21亿</t>
  </si>
  <si>
    <t xml:space="preserve">        263.42亿</t>
  </si>
  <si>
    <t>青龙管业</t>
  </si>
  <si>
    <t xml:space="preserve">         23.62亿</t>
  </si>
  <si>
    <t xml:space="preserve">         31.19亿</t>
  </si>
  <si>
    <t>益生股份</t>
  </si>
  <si>
    <t xml:space="preserve">         18.01亿</t>
  </si>
  <si>
    <t xml:space="preserve">         36.13亿</t>
  </si>
  <si>
    <t>*ST天业</t>
  </si>
  <si>
    <t xml:space="preserve">         21.51亿</t>
  </si>
  <si>
    <t xml:space="preserve">         27.37亿</t>
  </si>
  <si>
    <t>赣锋锂业</t>
  </si>
  <si>
    <t xml:space="preserve">         42.06亿</t>
  </si>
  <si>
    <t xml:space="preserve">         75.69亿</t>
  </si>
  <si>
    <t>珠江啤酒</t>
  </si>
  <si>
    <t>嘉事堂</t>
  </si>
  <si>
    <t xml:space="preserve">         38.43亿</t>
  </si>
  <si>
    <t xml:space="preserve">         47.14亿</t>
  </si>
  <si>
    <t>沪电股份</t>
  </si>
  <si>
    <t xml:space="preserve">         66.08亿</t>
  </si>
  <si>
    <t xml:space="preserve">         66.13亿</t>
  </si>
  <si>
    <t>金利科技</t>
  </si>
  <si>
    <t xml:space="preserve">         23.46亿</t>
  </si>
  <si>
    <t xml:space="preserve">         25.30亿</t>
  </si>
  <si>
    <t>海格通信</t>
  </si>
  <si>
    <t xml:space="preserve">        155.54亿</t>
  </si>
  <si>
    <t xml:space="preserve">        171.57亿</t>
  </si>
  <si>
    <t>天齐锂业</t>
  </si>
  <si>
    <t xml:space="preserve">        153.88亿</t>
  </si>
  <si>
    <t>二六三</t>
  </si>
  <si>
    <t xml:space="preserve">         52.46亿</t>
  </si>
  <si>
    <t xml:space="preserve">         64.41亿</t>
  </si>
  <si>
    <t>艾迪西</t>
  </si>
  <si>
    <t xml:space="preserve">         33.01亿</t>
  </si>
  <si>
    <t>三维工程</t>
  </si>
  <si>
    <t xml:space="preserve">         32.22亿</t>
  </si>
  <si>
    <t xml:space="preserve">         42.64亿</t>
  </si>
  <si>
    <t>金正大</t>
  </si>
  <si>
    <t xml:space="preserve">        125.09亿</t>
  </si>
  <si>
    <t xml:space="preserve">        147.77亿</t>
  </si>
  <si>
    <t>中超电缆</t>
  </si>
  <si>
    <t xml:space="preserve">         47.24亿</t>
  </si>
  <si>
    <t xml:space="preserve">         49.91亿</t>
  </si>
  <si>
    <t>双环传动</t>
  </si>
  <si>
    <t xml:space="preserve">         19.07亿</t>
  </si>
  <si>
    <t xml:space="preserve">         33.06亿</t>
  </si>
  <si>
    <t>圣莱达</t>
  </si>
  <si>
    <t>榕基软件</t>
  </si>
  <si>
    <t xml:space="preserve">         36.71亿</t>
  </si>
  <si>
    <t xml:space="preserve">         57.62亿</t>
  </si>
  <si>
    <t>立讯精密</t>
  </si>
  <si>
    <t xml:space="preserve">        257.53亿</t>
  </si>
  <si>
    <t>宝莫股份</t>
  </si>
  <si>
    <t xml:space="preserve">         56.87亿</t>
  </si>
  <si>
    <t xml:space="preserve">         57.83亿</t>
  </si>
  <si>
    <t>雏鹰农牧</t>
  </si>
  <si>
    <t xml:space="preserve">        103.67亿</t>
  </si>
  <si>
    <t>常宝股份</t>
  </si>
  <si>
    <t xml:space="preserve">         28.82亿</t>
  </si>
  <si>
    <t>富春环保</t>
  </si>
  <si>
    <t xml:space="preserve">         64.51亿</t>
  </si>
  <si>
    <t xml:space="preserve">         64.80亿</t>
  </si>
  <si>
    <t>新筑股份</t>
  </si>
  <si>
    <t xml:space="preserve">         50.49亿</t>
  </si>
  <si>
    <t xml:space="preserve">         58.86亿</t>
  </si>
  <si>
    <t>双塔食品</t>
  </si>
  <si>
    <t xml:space="preserve">         53.79亿</t>
  </si>
  <si>
    <t xml:space="preserve">         62.04亿</t>
  </si>
  <si>
    <t>广田股份</t>
  </si>
  <si>
    <t xml:space="preserve">         66.43亿</t>
  </si>
  <si>
    <t>润邦股份</t>
  </si>
  <si>
    <t xml:space="preserve">         42.30亿</t>
  </si>
  <si>
    <t>江海股份</t>
  </si>
  <si>
    <t xml:space="preserve">         55.43亿</t>
  </si>
  <si>
    <t xml:space="preserve">         60.57亿</t>
  </si>
  <si>
    <t>希努尔</t>
  </si>
  <si>
    <t xml:space="preserve">         28.32亿</t>
  </si>
  <si>
    <t>嘉麟杰</t>
  </si>
  <si>
    <t xml:space="preserve">         33.94亿</t>
  </si>
  <si>
    <t xml:space="preserve">         35.28亿</t>
  </si>
  <si>
    <t>大金重工</t>
  </si>
  <si>
    <t xml:space="preserve">         30.31亿</t>
  </si>
  <si>
    <t>金固股份</t>
  </si>
  <si>
    <t xml:space="preserve">         30.19亿</t>
  </si>
  <si>
    <t>浙江永强</t>
  </si>
  <si>
    <t xml:space="preserve">         48.24亿</t>
  </si>
  <si>
    <t>山东墨龙</t>
  </si>
  <si>
    <t xml:space="preserve">         25.16亿</t>
  </si>
  <si>
    <t xml:space="preserve">         51.36亿</t>
  </si>
  <si>
    <t>通鼎光电</t>
  </si>
  <si>
    <t xml:space="preserve">         65.74亿</t>
  </si>
  <si>
    <t xml:space="preserve">         71.19亿</t>
  </si>
  <si>
    <t>恒基达鑫</t>
  </si>
  <si>
    <t>荣盛石化</t>
  </si>
  <si>
    <t xml:space="preserve">        122.29亿</t>
  </si>
  <si>
    <t xml:space="preserve">        133.44亿</t>
  </si>
  <si>
    <t>华斯股份</t>
  </si>
  <si>
    <t xml:space="preserve">         13.64亿</t>
  </si>
  <si>
    <t xml:space="preserve">         24.43亿</t>
  </si>
  <si>
    <t>佳隆股份</t>
  </si>
  <si>
    <t xml:space="preserve">         14.26亿</t>
  </si>
  <si>
    <t xml:space="preserve">         26.89亿</t>
  </si>
  <si>
    <t>辉丰股份</t>
  </si>
  <si>
    <t xml:space="preserve">         26.82亿</t>
  </si>
  <si>
    <t xml:space="preserve">         46.29亿</t>
  </si>
  <si>
    <t>雅化集团</t>
  </si>
  <si>
    <t xml:space="preserve">         36.86亿</t>
  </si>
  <si>
    <t xml:space="preserve">         52.66亿</t>
  </si>
  <si>
    <t>汉缆股份</t>
  </si>
  <si>
    <t xml:space="preserve">         88.30亿</t>
  </si>
  <si>
    <t xml:space="preserve">         89.61亿</t>
  </si>
  <si>
    <t>科林环保</t>
  </si>
  <si>
    <t xml:space="preserve">         18.53亿</t>
  </si>
  <si>
    <t>山西证券</t>
  </si>
  <si>
    <t xml:space="preserve">        180.70亿</t>
  </si>
  <si>
    <t xml:space="preserve">        189.66亿</t>
  </si>
  <si>
    <t>利源精制</t>
  </si>
  <si>
    <t xml:space="preserve">         50.62亿</t>
  </si>
  <si>
    <t xml:space="preserve">         70.57亿</t>
  </si>
  <si>
    <t>骅威股份</t>
  </si>
  <si>
    <t xml:space="preserve">         26.15亿</t>
  </si>
  <si>
    <t xml:space="preserve">         46.75亿</t>
  </si>
  <si>
    <t>搜于特</t>
  </si>
  <si>
    <t xml:space="preserve">         35.55亿</t>
  </si>
  <si>
    <t xml:space="preserve">         58.53亿</t>
  </si>
  <si>
    <t>东光微电</t>
  </si>
  <si>
    <t xml:space="preserve">         13.45亿</t>
  </si>
  <si>
    <t xml:space="preserve">         18.83亿</t>
  </si>
  <si>
    <t>大康牧业</t>
  </si>
  <si>
    <t xml:space="preserve">        196.97亿</t>
  </si>
  <si>
    <t>涪陵榨菜</t>
  </si>
  <si>
    <t xml:space="preserve">         29.28亿</t>
  </si>
  <si>
    <t xml:space="preserve">         51.02亿</t>
  </si>
  <si>
    <t>老板电器</t>
  </si>
  <si>
    <t xml:space="preserve">         94.09亿</t>
  </si>
  <si>
    <t xml:space="preserve">         96.58亿</t>
  </si>
  <si>
    <t>天广消防</t>
  </si>
  <si>
    <t xml:space="preserve">         56.01亿</t>
  </si>
  <si>
    <t>天汽模</t>
  </si>
  <si>
    <t xml:space="preserve">         31.86亿</t>
  </si>
  <si>
    <t xml:space="preserve">         42.55亿</t>
  </si>
  <si>
    <t>中顺洁柔</t>
  </si>
  <si>
    <t xml:space="preserve">         36.69亿</t>
  </si>
  <si>
    <t xml:space="preserve">         36.79亿</t>
  </si>
  <si>
    <t>达华智能</t>
  </si>
  <si>
    <t xml:space="preserve">         27.11亿</t>
  </si>
  <si>
    <t xml:space="preserve">         59.52亿</t>
  </si>
  <si>
    <t>蓝丰生化</t>
  </si>
  <si>
    <t xml:space="preserve">         23.76亿</t>
  </si>
  <si>
    <t>宝馨科技</t>
  </si>
  <si>
    <t>金字火腿</t>
  </si>
  <si>
    <t xml:space="preserve">         18.84亿</t>
  </si>
  <si>
    <t>江苏旷达</t>
  </si>
  <si>
    <t xml:space="preserve">         19.71亿</t>
  </si>
  <si>
    <t xml:space="preserve">         45.25亿</t>
  </si>
  <si>
    <t>泰亚股份</t>
  </si>
  <si>
    <t>科士达</t>
  </si>
  <si>
    <t xml:space="preserve">         59.00亿</t>
  </si>
  <si>
    <t xml:space="preserve">         63.49亿</t>
  </si>
  <si>
    <t>银河电子</t>
  </si>
  <si>
    <t xml:space="preserve">         23.16亿</t>
  </si>
  <si>
    <t>日发精机</t>
  </si>
  <si>
    <t xml:space="preserve">         23.74亿</t>
  </si>
  <si>
    <t xml:space="preserve">         51.84亿</t>
  </si>
  <si>
    <t>齐峰新材</t>
  </si>
  <si>
    <t xml:space="preserve">         31.38亿</t>
  </si>
  <si>
    <t xml:space="preserve">         42.88亿</t>
  </si>
  <si>
    <t>浙江众成</t>
  </si>
  <si>
    <t>天桥起重</t>
  </si>
  <si>
    <t xml:space="preserve">         21.07亿</t>
  </si>
  <si>
    <t>光正集团</t>
  </si>
  <si>
    <t xml:space="preserve">         34.98亿</t>
  </si>
  <si>
    <t>山东矿机</t>
  </si>
  <si>
    <t xml:space="preserve">         37.00亿</t>
  </si>
  <si>
    <t>新时达</t>
  </si>
  <si>
    <t xml:space="preserve">         31.09亿</t>
  </si>
  <si>
    <t xml:space="preserve">         74.99亿</t>
  </si>
  <si>
    <t>英飞拓</t>
  </si>
  <si>
    <t xml:space="preserve">         41.94亿</t>
  </si>
  <si>
    <t xml:space="preserve">         57.06亿</t>
  </si>
  <si>
    <t>海源机械</t>
  </si>
  <si>
    <t xml:space="preserve">         21.54亿</t>
  </si>
  <si>
    <t>丰东股份</t>
  </si>
  <si>
    <t xml:space="preserve">         22.91亿</t>
  </si>
  <si>
    <t>天顺风能</t>
  </si>
  <si>
    <t xml:space="preserve">         57.44亿</t>
  </si>
  <si>
    <t xml:space="preserve">         57.57亿</t>
  </si>
  <si>
    <t>新界泵业</t>
  </si>
  <si>
    <t>金杯电工</t>
  </si>
  <si>
    <t xml:space="preserve">         27.10亿</t>
  </si>
  <si>
    <t>杭锅股份</t>
  </si>
  <si>
    <t xml:space="preserve">         55.42亿</t>
  </si>
  <si>
    <t>林州重机</t>
  </si>
  <si>
    <t xml:space="preserve">         61.60亿</t>
  </si>
  <si>
    <t>西泵股份</t>
  </si>
  <si>
    <t xml:space="preserve">         21.47亿</t>
  </si>
  <si>
    <t>海立美达</t>
  </si>
  <si>
    <t xml:space="preserve">         25.63亿</t>
  </si>
  <si>
    <t>司尔特</t>
  </si>
  <si>
    <t xml:space="preserve">         34.04亿</t>
  </si>
  <si>
    <t>新都化工</t>
  </si>
  <si>
    <t xml:space="preserve">         48.36亿</t>
  </si>
  <si>
    <t>亚太科技</t>
  </si>
  <si>
    <t xml:space="preserve">         38.71亿</t>
  </si>
  <si>
    <t xml:space="preserve">         63.98亿</t>
  </si>
  <si>
    <t>鸿路钢构</t>
  </si>
  <si>
    <t xml:space="preserve">         21.86亿</t>
  </si>
  <si>
    <t xml:space="preserve">         38.00亿</t>
  </si>
  <si>
    <t>中化岩土</t>
  </si>
  <si>
    <t xml:space="preserve">         67.94亿</t>
  </si>
  <si>
    <t>万和电气</t>
  </si>
  <si>
    <t xml:space="preserve">         35.79亿</t>
  </si>
  <si>
    <t xml:space="preserve">         49.41亿</t>
  </si>
  <si>
    <t>杰赛科技</t>
  </si>
  <si>
    <t xml:space="preserve">         79.24亿</t>
  </si>
  <si>
    <t xml:space="preserve">         80.72亿</t>
  </si>
  <si>
    <t>东方铁塔</t>
  </si>
  <si>
    <t xml:space="preserve">         17.80亿</t>
  </si>
  <si>
    <t xml:space="preserve">         40.63亿</t>
  </si>
  <si>
    <t>新联电子</t>
  </si>
  <si>
    <t xml:space="preserve">         32.12亿</t>
  </si>
  <si>
    <t xml:space="preserve">         35.05亿</t>
  </si>
  <si>
    <t>春兴精工</t>
  </si>
  <si>
    <t xml:space="preserve">         38.60亿</t>
  </si>
  <si>
    <t>金新农</t>
  </si>
  <si>
    <t>凯美特气</t>
  </si>
  <si>
    <t xml:space="preserve">         22.49亿</t>
  </si>
  <si>
    <t xml:space="preserve">         66.14亿</t>
  </si>
  <si>
    <t>千红制药</t>
  </si>
  <si>
    <t xml:space="preserve">         50.67亿</t>
  </si>
  <si>
    <t xml:space="preserve">         79.04亿</t>
  </si>
  <si>
    <t>尚荣医疗</t>
  </si>
  <si>
    <t xml:space="preserve">         57.03亿</t>
  </si>
  <si>
    <t xml:space="preserve">         93.83亿</t>
  </si>
  <si>
    <t>宝鼎重工</t>
  </si>
  <si>
    <t xml:space="preserve">         18.64亿</t>
  </si>
  <si>
    <t xml:space="preserve">         33.21亿</t>
  </si>
  <si>
    <t>南方轴承</t>
  </si>
  <si>
    <t xml:space="preserve">         14.71亿</t>
  </si>
  <si>
    <t xml:space="preserve">         23.51亿</t>
  </si>
  <si>
    <t>惠博普</t>
  </si>
  <si>
    <t>顺荣股份</t>
  </si>
  <si>
    <t xml:space="preserve">         25.87亿</t>
  </si>
  <si>
    <t xml:space="preserve">         58.85亿</t>
  </si>
  <si>
    <t>辉隆股份</t>
  </si>
  <si>
    <t xml:space="preserve">         53.45亿</t>
  </si>
  <si>
    <t>洽洽食品</t>
  </si>
  <si>
    <t xml:space="preserve">         61.99亿</t>
  </si>
  <si>
    <t>世纪游轮</t>
  </si>
  <si>
    <t xml:space="preserve">          8.95亿</t>
  </si>
  <si>
    <t>亚威股份</t>
  </si>
  <si>
    <t xml:space="preserve">         26.49亿</t>
  </si>
  <si>
    <t xml:space="preserve">         35.01亿</t>
  </si>
  <si>
    <t>通达股份</t>
  </si>
  <si>
    <t xml:space="preserve">          8.15亿</t>
  </si>
  <si>
    <t xml:space="preserve">         24.95亿</t>
  </si>
  <si>
    <t>徐家汇</t>
  </si>
  <si>
    <t xml:space="preserve">         42.66亿</t>
  </si>
  <si>
    <t>兄弟科技</t>
  </si>
  <si>
    <t xml:space="preserve">         10.10亿</t>
  </si>
  <si>
    <t xml:space="preserve">         29.39亿</t>
  </si>
  <si>
    <t>森马服饰</t>
  </si>
  <si>
    <t xml:space="preserve">         21.70亿</t>
  </si>
  <si>
    <t xml:space="preserve">        207.70亿</t>
  </si>
  <si>
    <t>张化机</t>
  </si>
  <si>
    <t xml:space="preserve">         37.41亿</t>
  </si>
  <si>
    <t xml:space="preserve">         78.71亿</t>
  </si>
  <si>
    <t>上海绿新</t>
  </si>
  <si>
    <t xml:space="preserve">         34.12亿</t>
  </si>
  <si>
    <t xml:space="preserve">         64.94亿</t>
  </si>
  <si>
    <t>益盛药业</t>
  </si>
  <si>
    <t xml:space="preserve">         32.97亿</t>
  </si>
  <si>
    <t xml:space="preserve">         53.42亿</t>
  </si>
  <si>
    <t>唐人神</t>
  </si>
  <si>
    <t xml:space="preserve">         34.13亿</t>
  </si>
  <si>
    <t xml:space="preserve">         34.21亿</t>
  </si>
  <si>
    <t>百润股份</t>
  </si>
  <si>
    <t xml:space="preserve">         19.64亿</t>
  </si>
  <si>
    <t xml:space="preserve">         28.93亿</t>
  </si>
  <si>
    <t>步森股份</t>
  </si>
  <si>
    <t xml:space="preserve">         27.80亿</t>
  </si>
  <si>
    <t xml:space="preserve">         28.21亿</t>
  </si>
  <si>
    <t>贝因美</t>
  </si>
  <si>
    <t xml:space="preserve">        161.04亿</t>
  </si>
  <si>
    <t xml:space="preserve">        161.56亿</t>
  </si>
  <si>
    <t>德力股份</t>
  </si>
  <si>
    <t xml:space="preserve">         26.88亿</t>
  </si>
  <si>
    <t>索菲亚</t>
  </si>
  <si>
    <t xml:space="preserve">         47.08亿</t>
  </si>
  <si>
    <t xml:space="preserve">         82.60亿</t>
  </si>
  <si>
    <t>国电清新</t>
  </si>
  <si>
    <t xml:space="preserve">        114.95亿</t>
  </si>
  <si>
    <t xml:space="preserve">        115.24亿</t>
  </si>
  <si>
    <t>明牌珠宝</t>
  </si>
  <si>
    <t xml:space="preserve">         62.20亿</t>
  </si>
  <si>
    <t>群兴玩具</t>
  </si>
  <si>
    <t xml:space="preserve">         38.68亿</t>
  </si>
  <si>
    <t>通达动力</t>
  </si>
  <si>
    <t xml:space="preserve">         16.18亿</t>
  </si>
  <si>
    <t>雷柏科技</t>
  </si>
  <si>
    <t xml:space="preserve">         76.94亿</t>
  </si>
  <si>
    <t>闽发铝业</t>
  </si>
  <si>
    <t xml:space="preserve">         11.44亿</t>
  </si>
  <si>
    <t xml:space="preserve">         22.08亿</t>
  </si>
  <si>
    <t>中京电子</t>
  </si>
  <si>
    <t xml:space="preserve">         47.41亿</t>
  </si>
  <si>
    <t>圣阳股份</t>
  </si>
  <si>
    <t xml:space="preserve">         19.73亿</t>
  </si>
  <si>
    <t>万昌科技</t>
  </si>
  <si>
    <t xml:space="preserve">         44.58亿</t>
  </si>
  <si>
    <t xml:space="preserve">         55.46亿</t>
  </si>
  <si>
    <t>好想你</t>
  </si>
  <si>
    <t xml:space="preserve">         18.27亿</t>
  </si>
  <si>
    <t>海能达</t>
  </si>
  <si>
    <t xml:space="preserve">         43.61亿</t>
  </si>
  <si>
    <t xml:space="preserve">         81.79亿</t>
  </si>
  <si>
    <t>西陇化工</t>
  </si>
  <si>
    <t xml:space="preserve">         35.16亿</t>
  </si>
  <si>
    <t>双星新材</t>
  </si>
  <si>
    <t xml:space="preserve">         42.15亿</t>
  </si>
  <si>
    <t xml:space="preserve">         82.77亿</t>
  </si>
  <si>
    <t>围海股份</t>
  </si>
  <si>
    <t xml:space="preserve">         36.57亿</t>
  </si>
  <si>
    <t xml:space="preserve">         47.55亿</t>
  </si>
  <si>
    <t>奥拓电子</t>
  </si>
  <si>
    <t xml:space="preserve">         20.82亿</t>
  </si>
  <si>
    <t xml:space="preserve">         32.88亿</t>
  </si>
  <si>
    <t>史丹利</t>
  </si>
  <si>
    <t xml:space="preserve">         41.16亿</t>
  </si>
  <si>
    <t xml:space="preserve">         71.40亿</t>
  </si>
  <si>
    <t>瑞康医药</t>
  </si>
  <si>
    <t xml:space="preserve">         36.39亿</t>
  </si>
  <si>
    <t>万安科技</t>
  </si>
  <si>
    <t xml:space="preserve">         23.28亿</t>
  </si>
  <si>
    <t xml:space="preserve">         26.75亿</t>
  </si>
  <si>
    <t>恒大高新</t>
  </si>
  <si>
    <t>八菱科技</t>
  </si>
  <si>
    <t xml:space="preserve">          9.00亿</t>
  </si>
  <si>
    <t xml:space="preserve">         26.51亿</t>
  </si>
  <si>
    <t>日上集团</t>
  </si>
  <si>
    <t xml:space="preserve">         15.10亿</t>
  </si>
  <si>
    <t>比亚迪</t>
  </si>
  <si>
    <t xml:space="preserve">        357.11亿</t>
  </si>
  <si>
    <t xml:space="preserve">        844.97亿</t>
  </si>
  <si>
    <t>豪迈科技</t>
  </si>
  <si>
    <t xml:space="preserve">         59.97亿</t>
  </si>
  <si>
    <t xml:space="preserve">        106.80亿</t>
  </si>
  <si>
    <t>海南瑞泽</t>
  </si>
  <si>
    <t xml:space="preserve">         21.58亿</t>
  </si>
  <si>
    <t>金禾实业</t>
  </si>
  <si>
    <t xml:space="preserve">         42.87亿</t>
  </si>
  <si>
    <t xml:space="preserve">         44.22亿</t>
  </si>
  <si>
    <t>山东章鼓</t>
  </si>
  <si>
    <t xml:space="preserve">         27.77亿</t>
  </si>
  <si>
    <t>盛通股份</t>
  </si>
  <si>
    <t xml:space="preserve">         14.32亿</t>
  </si>
  <si>
    <t>江粉磁材</t>
  </si>
  <si>
    <t xml:space="preserve">         24.04亿</t>
  </si>
  <si>
    <t xml:space="preserve">         39.34亿</t>
  </si>
  <si>
    <t>佰利联</t>
  </si>
  <si>
    <t xml:space="preserve">         35.38亿</t>
  </si>
  <si>
    <t xml:space="preserve">         41.31亿</t>
  </si>
  <si>
    <t>世纪华通</t>
  </si>
  <si>
    <t xml:space="preserve">         27.34亿</t>
  </si>
  <si>
    <t xml:space="preserve">        111.44亿</t>
  </si>
  <si>
    <t>以岭药业</t>
  </si>
  <si>
    <t xml:space="preserve">         62.39亿</t>
  </si>
  <si>
    <t xml:space="preserve">        182.67亿</t>
  </si>
  <si>
    <t>龙力生物</t>
  </si>
  <si>
    <t xml:space="preserve">         37.54亿</t>
  </si>
  <si>
    <t>姚记扑克</t>
  </si>
  <si>
    <t xml:space="preserve">         59.99亿</t>
  </si>
  <si>
    <t>大连电瓷</t>
  </si>
  <si>
    <t xml:space="preserve">         16.70亿</t>
  </si>
  <si>
    <t xml:space="preserve">         27.72亿</t>
  </si>
  <si>
    <t>亚夏汽车</t>
  </si>
  <si>
    <t xml:space="preserve">         25.15亿</t>
  </si>
  <si>
    <t>舜天船舶</t>
  </si>
  <si>
    <t>船舶</t>
  </si>
  <si>
    <t xml:space="preserve">         42.45亿</t>
  </si>
  <si>
    <t xml:space="preserve">         48.43亿</t>
  </si>
  <si>
    <t>捷顺科技</t>
  </si>
  <si>
    <t xml:space="preserve">         26.90亿</t>
  </si>
  <si>
    <t>爱康科技</t>
  </si>
  <si>
    <t xml:space="preserve">         61.72亿</t>
  </si>
  <si>
    <t xml:space="preserve">         62.19亿</t>
  </si>
  <si>
    <t>东方精工</t>
  </si>
  <si>
    <t xml:space="preserve">         26.08亿</t>
  </si>
  <si>
    <t xml:space="preserve">         47.68亿</t>
  </si>
  <si>
    <t>朗姿股份</t>
  </si>
  <si>
    <t xml:space="preserve">         24.35亿</t>
  </si>
  <si>
    <t xml:space="preserve">         46.62亿</t>
  </si>
  <si>
    <t>北玻股份</t>
  </si>
  <si>
    <t xml:space="preserve">         19.62亿</t>
  </si>
  <si>
    <t xml:space="preserve">         43.21亿</t>
  </si>
  <si>
    <t>蒙发利</t>
  </si>
  <si>
    <t xml:space="preserve">         29.94亿</t>
  </si>
  <si>
    <t xml:space="preserve">         64.55亿</t>
  </si>
  <si>
    <t>哈尔斯</t>
  </si>
  <si>
    <t xml:space="preserve">          8.30亿</t>
  </si>
  <si>
    <t>长青集团</t>
  </si>
  <si>
    <t xml:space="preserve">          7.23亿</t>
  </si>
  <si>
    <t>露笑科技</t>
  </si>
  <si>
    <t xml:space="preserve">         16.33亿</t>
  </si>
  <si>
    <t xml:space="preserve">         52.29亿</t>
  </si>
  <si>
    <t>丹邦科技</t>
  </si>
  <si>
    <t xml:space="preserve">         24.81亿</t>
  </si>
  <si>
    <t xml:space="preserve">         69.40亿</t>
  </si>
  <si>
    <t>巨龙管业</t>
  </si>
  <si>
    <t>瑞和股份</t>
  </si>
  <si>
    <t xml:space="preserve">          8.80亿</t>
  </si>
  <si>
    <t xml:space="preserve">         19.87亿</t>
  </si>
  <si>
    <t>大连三垒</t>
  </si>
  <si>
    <t xml:space="preserve">          7.17亿</t>
  </si>
  <si>
    <t xml:space="preserve">         28.66亿</t>
  </si>
  <si>
    <t>永大集团</t>
  </si>
  <si>
    <t xml:space="preserve">          6.60亿</t>
  </si>
  <si>
    <t>亚玛顿</t>
  </si>
  <si>
    <t xml:space="preserve">         17.41亿</t>
  </si>
  <si>
    <t xml:space="preserve">         36.66亿</t>
  </si>
  <si>
    <t>金磊股份</t>
  </si>
  <si>
    <t xml:space="preserve">         11.21亿</t>
  </si>
  <si>
    <t xml:space="preserve">         28.56亿</t>
  </si>
  <si>
    <t>龙生股份</t>
  </si>
  <si>
    <t xml:space="preserve">          7.09亿</t>
  </si>
  <si>
    <t>金达威</t>
  </si>
  <si>
    <t xml:space="preserve">         46.49亿</t>
  </si>
  <si>
    <t xml:space="preserve">         72.00亿</t>
  </si>
  <si>
    <t>宜昌交运</t>
  </si>
  <si>
    <t xml:space="preserve">         10.25亿</t>
  </si>
  <si>
    <t>成都路桥</t>
  </si>
  <si>
    <t xml:space="preserve">         35.25亿</t>
  </si>
  <si>
    <t>仁智油服</t>
  </si>
  <si>
    <t xml:space="preserve">         21.69亿</t>
  </si>
  <si>
    <t xml:space="preserve">         30.90亿</t>
  </si>
  <si>
    <t>华西能源</t>
  </si>
  <si>
    <t xml:space="preserve">         45.21亿</t>
  </si>
  <si>
    <t xml:space="preserve">         80.11亿</t>
  </si>
  <si>
    <t>德尔家居</t>
  </si>
  <si>
    <t xml:space="preserve">         17.34亿</t>
  </si>
  <si>
    <t xml:space="preserve">         40.17亿</t>
  </si>
  <si>
    <t>道明光学</t>
  </si>
  <si>
    <t xml:space="preserve">          8.49亿</t>
  </si>
  <si>
    <t>申科股份</t>
  </si>
  <si>
    <t xml:space="preserve">         14.62亿</t>
  </si>
  <si>
    <t xml:space="preserve">         35.10亿</t>
  </si>
  <si>
    <t>棒杰股份</t>
  </si>
  <si>
    <t xml:space="preserve">          7.45亿</t>
  </si>
  <si>
    <t xml:space="preserve">         19.61亿</t>
  </si>
  <si>
    <t>安洁科技</t>
  </si>
  <si>
    <t xml:space="preserve">         23.50亿</t>
  </si>
  <si>
    <t>金安国纪</t>
  </si>
  <si>
    <t>赞宇科技</t>
  </si>
  <si>
    <t xml:space="preserve">         15.78亿</t>
  </si>
  <si>
    <t xml:space="preserve">         26.16亿</t>
  </si>
  <si>
    <t>勤上光电</t>
  </si>
  <si>
    <t xml:space="preserve">         64.37亿</t>
  </si>
  <si>
    <t>雪人股份</t>
  </si>
  <si>
    <t xml:space="preserve">         17.33亿</t>
  </si>
  <si>
    <t xml:space="preserve">         29.81亿</t>
  </si>
  <si>
    <t>百圆裤业</t>
  </si>
  <si>
    <t xml:space="preserve">         14.99亿</t>
  </si>
  <si>
    <t xml:space="preserve">         59.95亿</t>
  </si>
  <si>
    <t>永高股份</t>
  </si>
  <si>
    <t xml:space="preserve">         10.83亿</t>
  </si>
  <si>
    <t xml:space="preserve">         43.33亿</t>
  </si>
  <si>
    <t>荣之联</t>
  </si>
  <si>
    <t xml:space="preserve">         22.33亿</t>
  </si>
  <si>
    <t xml:space="preserve">         98.12亿</t>
  </si>
  <si>
    <t>烟台万润</t>
  </si>
  <si>
    <t xml:space="preserve">         36.38亿</t>
  </si>
  <si>
    <t>佛慈制药</t>
  </si>
  <si>
    <t xml:space="preserve">         10.05亿</t>
  </si>
  <si>
    <t>华宏科技</t>
  </si>
  <si>
    <t xml:space="preserve">          6.54亿</t>
  </si>
  <si>
    <t>青青稞酒</t>
  </si>
  <si>
    <t xml:space="preserve">         27.56亿</t>
  </si>
  <si>
    <t xml:space="preserve">         78.75亿</t>
  </si>
  <si>
    <t>宏磊股份</t>
  </si>
  <si>
    <t xml:space="preserve">          6.47亿</t>
  </si>
  <si>
    <t xml:space="preserve">         18.47亿</t>
  </si>
  <si>
    <t>卫星石化</t>
  </si>
  <si>
    <t xml:space="preserve">        128.16亿</t>
  </si>
  <si>
    <t>博彦科技</t>
  </si>
  <si>
    <t>加加食品</t>
  </si>
  <si>
    <t xml:space="preserve">         25.27亿</t>
  </si>
  <si>
    <t xml:space="preserve">         51.89亿</t>
  </si>
  <si>
    <t>利君股份</t>
  </si>
  <si>
    <t xml:space="preserve">         98.57亿</t>
  </si>
  <si>
    <t>扬子新材</t>
  </si>
  <si>
    <t xml:space="preserve">          5.69亿</t>
  </si>
  <si>
    <t xml:space="preserve">         21.60亿</t>
  </si>
  <si>
    <t>海思科</t>
  </si>
  <si>
    <t xml:space="preserve">        226.64亿</t>
  </si>
  <si>
    <t>万润科技</t>
  </si>
  <si>
    <t xml:space="preserve">         10.52亿</t>
  </si>
  <si>
    <t>共达电声</t>
  </si>
  <si>
    <t xml:space="preserve">         24.19亿</t>
  </si>
  <si>
    <t>卡奴迪路</t>
  </si>
  <si>
    <t xml:space="preserve">          9.36亿</t>
  </si>
  <si>
    <t xml:space="preserve">         31.32亿</t>
  </si>
  <si>
    <t>中科金财</t>
  </si>
  <si>
    <t xml:space="preserve">         21.89亿</t>
  </si>
  <si>
    <t xml:space="preserve">         43.07亿</t>
  </si>
  <si>
    <t>雪迪龙</t>
  </si>
  <si>
    <t xml:space="preserve">         17.84亿</t>
  </si>
  <si>
    <t xml:space="preserve">         65.46亿</t>
  </si>
  <si>
    <t>中泰桥梁</t>
  </si>
  <si>
    <t xml:space="preserve">         13.36亿</t>
  </si>
  <si>
    <t xml:space="preserve">         28.58亿</t>
  </si>
  <si>
    <t>茂硕电源</t>
  </si>
  <si>
    <t xml:space="preserve">         14.97亿</t>
  </si>
  <si>
    <t xml:space="preserve">         24.41亿</t>
  </si>
  <si>
    <t>克明面业</t>
  </si>
  <si>
    <t xml:space="preserve">          7.52亿</t>
  </si>
  <si>
    <t xml:space="preserve">         30.26亿</t>
  </si>
  <si>
    <t>京威股份</t>
  </si>
  <si>
    <t xml:space="preserve">         18.34亿</t>
  </si>
  <si>
    <t xml:space="preserve">         73.38亿</t>
  </si>
  <si>
    <t>普邦园林</t>
  </si>
  <si>
    <t xml:space="preserve">         75.80亿</t>
  </si>
  <si>
    <t>信质电机</t>
  </si>
  <si>
    <t xml:space="preserve">         24.27亿</t>
  </si>
  <si>
    <t>首航节能</t>
  </si>
  <si>
    <t xml:space="preserve">         54.33亿</t>
  </si>
  <si>
    <t xml:space="preserve">        114.52亿</t>
  </si>
  <si>
    <t>德联集团</t>
  </si>
  <si>
    <t xml:space="preserve">         15.65亿</t>
  </si>
  <si>
    <t xml:space="preserve">         44.13亿</t>
  </si>
  <si>
    <t>鞍重股份</t>
  </si>
  <si>
    <t xml:space="preserve">          7.78亿</t>
  </si>
  <si>
    <t xml:space="preserve">         18.91亿</t>
  </si>
  <si>
    <t>奥马电器</t>
  </si>
  <si>
    <t xml:space="preserve">         15.81亿</t>
  </si>
  <si>
    <t>康达新材</t>
  </si>
  <si>
    <t xml:space="preserve">         12.67亿</t>
  </si>
  <si>
    <t xml:space="preserve">         35.06亿</t>
  </si>
  <si>
    <t>华声股份</t>
  </si>
  <si>
    <t xml:space="preserve">          9.63亿</t>
  </si>
  <si>
    <t xml:space="preserve">         23.38亿</t>
  </si>
  <si>
    <t>龙泉股份</t>
  </si>
  <si>
    <t xml:space="preserve">         42.82亿</t>
  </si>
  <si>
    <t>东江环保</t>
  </si>
  <si>
    <t xml:space="preserve">         42.31亿</t>
  </si>
  <si>
    <t xml:space="preserve">         89.36亿</t>
  </si>
  <si>
    <t>西部证券</t>
  </si>
  <si>
    <t xml:space="preserve">         83.82亿</t>
  </si>
  <si>
    <t xml:space="preserve">        146.28亿</t>
  </si>
  <si>
    <t>兴业科技</t>
  </si>
  <si>
    <t xml:space="preserve">         33.32亿</t>
  </si>
  <si>
    <t>东诚药业</t>
  </si>
  <si>
    <t>顺威股份</t>
  </si>
  <si>
    <t xml:space="preserve">          6.32亿</t>
  </si>
  <si>
    <t xml:space="preserve">         23.66亿</t>
  </si>
  <si>
    <t>浙江美大</t>
  </si>
  <si>
    <t xml:space="preserve">          7.14亿</t>
  </si>
  <si>
    <t>珠江钢琴</t>
  </si>
  <si>
    <t xml:space="preserve">         17.14亿</t>
  </si>
  <si>
    <t xml:space="preserve">        107.55亿</t>
  </si>
  <si>
    <t>福建金森</t>
  </si>
  <si>
    <t xml:space="preserve">          5.93亿</t>
  </si>
  <si>
    <t xml:space="preserve">         23.70亿</t>
  </si>
  <si>
    <t>黄海机械</t>
  </si>
  <si>
    <t xml:space="preserve">          6.08亿</t>
  </si>
  <si>
    <t xml:space="preserve">         20.28亿</t>
  </si>
  <si>
    <t>奋达科技</t>
  </si>
  <si>
    <t xml:space="preserve">         20.59亿</t>
  </si>
  <si>
    <t xml:space="preserve">         82.35亿</t>
  </si>
  <si>
    <t>龙洲股份</t>
  </si>
  <si>
    <t xml:space="preserve">         13.76亿</t>
  </si>
  <si>
    <t xml:space="preserve">         19.97亿</t>
  </si>
  <si>
    <t>宏大爆破</t>
  </si>
  <si>
    <t xml:space="preserve">         32.43亿</t>
  </si>
  <si>
    <t xml:space="preserve">         67.46亿</t>
  </si>
  <si>
    <t>猛狮科技</t>
  </si>
  <si>
    <t xml:space="preserve">         13.74亿</t>
  </si>
  <si>
    <t xml:space="preserve">         28.35亿</t>
  </si>
  <si>
    <t>华东重机</t>
  </si>
  <si>
    <t xml:space="preserve">         10.82亿</t>
  </si>
  <si>
    <t xml:space="preserve">         21.74亿</t>
  </si>
  <si>
    <t>亿利达</t>
  </si>
  <si>
    <t xml:space="preserve">          9.04亿</t>
  </si>
  <si>
    <t>乔治白</t>
  </si>
  <si>
    <t xml:space="preserve">          6.88亿</t>
  </si>
  <si>
    <t xml:space="preserve">         23.37亿</t>
  </si>
  <si>
    <t>金河生物</t>
  </si>
  <si>
    <t xml:space="preserve">         17.57亿</t>
  </si>
  <si>
    <t xml:space="preserve">         35.27亿</t>
  </si>
  <si>
    <t>博林特</t>
  </si>
  <si>
    <t xml:space="preserve">         13.52亿</t>
  </si>
  <si>
    <t xml:space="preserve">         41.48亿</t>
  </si>
  <si>
    <t>美亚光电</t>
  </si>
  <si>
    <t xml:space="preserve">         42.24亿</t>
  </si>
  <si>
    <t xml:space="preserve">        128.68亿</t>
  </si>
  <si>
    <t>石中装备</t>
  </si>
  <si>
    <t xml:space="preserve">          8.82亿</t>
  </si>
  <si>
    <t xml:space="preserve">         26.74亿</t>
  </si>
  <si>
    <t>远程电缆</t>
  </si>
  <si>
    <t xml:space="preserve">          9.89亿</t>
  </si>
  <si>
    <t>双成药业</t>
  </si>
  <si>
    <t xml:space="preserve">         37.75亿</t>
  </si>
  <si>
    <t>顾地科技</t>
  </si>
  <si>
    <t xml:space="preserve">         10.76亿</t>
  </si>
  <si>
    <t>煌上煌</t>
  </si>
  <si>
    <t xml:space="preserve">         13.06亿</t>
  </si>
  <si>
    <t xml:space="preserve">         38.52亿</t>
  </si>
  <si>
    <t>百洋股份</t>
  </si>
  <si>
    <t xml:space="preserve">          9.72亿</t>
  </si>
  <si>
    <t>红旗连锁</t>
  </si>
  <si>
    <t xml:space="preserve">         59.76亿</t>
  </si>
  <si>
    <t>博实股份</t>
  </si>
  <si>
    <t xml:space="preserve">         28.17亿</t>
  </si>
  <si>
    <t xml:space="preserve">        105.62亿</t>
  </si>
  <si>
    <t>美盛文化</t>
  </si>
  <si>
    <t xml:space="preserve">         16.48亿</t>
  </si>
  <si>
    <t xml:space="preserve">         48.85亿</t>
  </si>
  <si>
    <t>新疆浩源</t>
  </si>
  <si>
    <t xml:space="preserve">         19.92亿</t>
  </si>
  <si>
    <t xml:space="preserve">         50.74亿</t>
  </si>
  <si>
    <t>奥瑞金</t>
  </si>
  <si>
    <t xml:space="preserve">         69.13亿</t>
  </si>
  <si>
    <t xml:space="preserve">        130.83亿</t>
  </si>
  <si>
    <t>海欣食品</t>
  </si>
  <si>
    <t xml:space="preserve">         10.48亿</t>
  </si>
  <si>
    <t xml:space="preserve">         24.29亿</t>
  </si>
  <si>
    <t>浙江世宝</t>
  </si>
  <si>
    <t xml:space="preserve">          3.47亿</t>
  </si>
  <si>
    <t xml:space="preserve">         44.17亿</t>
  </si>
  <si>
    <t>新宝股份</t>
  </si>
  <si>
    <t xml:space="preserve">         11.67亿</t>
  </si>
  <si>
    <t xml:space="preserve">         67.89亿</t>
  </si>
  <si>
    <t>良信电器</t>
  </si>
  <si>
    <t xml:space="preserve">          7.59亿</t>
  </si>
  <si>
    <t xml:space="preserve">         30.36亿</t>
  </si>
  <si>
    <t>众信旅游</t>
  </si>
  <si>
    <t>光洋股份</t>
  </si>
  <si>
    <t xml:space="preserve">          8.83亿</t>
  </si>
  <si>
    <t xml:space="preserve">         35.32亿</t>
  </si>
  <si>
    <t>天赐材料</t>
  </si>
  <si>
    <t xml:space="preserve">         11.16亿</t>
  </si>
  <si>
    <t xml:space="preserve">         44.65亿</t>
  </si>
  <si>
    <t>欧浦钢网</t>
  </si>
  <si>
    <t xml:space="preserve">         14.67亿</t>
  </si>
  <si>
    <t xml:space="preserve">         58.65亿</t>
  </si>
  <si>
    <t>思美传媒</t>
  </si>
  <si>
    <t xml:space="preserve">         10.96亿</t>
  </si>
  <si>
    <t xml:space="preserve">         43.85亿</t>
  </si>
  <si>
    <t>东易日盛</t>
  </si>
  <si>
    <t xml:space="preserve">         13.55亿</t>
  </si>
  <si>
    <t xml:space="preserve">         54.22亿</t>
  </si>
  <si>
    <t>牧原股份</t>
  </si>
  <si>
    <t xml:space="preserve">        125.60亿</t>
  </si>
  <si>
    <t>登云股份</t>
  </si>
  <si>
    <t xml:space="preserve">          6.83亿</t>
  </si>
  <si>
    <t xml:space="preserve">         27.31亿</t>
  </si>
  <si>
    <t>金贵银业</t>
  </si>
  <si>
    <t xml:space="preserve">         14.66亿</t>
  </si>
  <si>
    <t>岭南园林</t>
  </si>
  <si>
    <t xml:space="preserve">         11.43亿</t>
  </si>
  <si>
    <t xml:space="preserve">         45.73亿</t>
  </si>
  <si>
    <t>友邦吊顶</t>
  </si>
  <si>
    <t xml:space="preserve">          7.74亿</t>
  </si>
  <si>
    <t>麦趣尔</t>
  </si>
  <si>
    <t>金一文化</t>
  </si>
  <si>
    <t xml:space="preserve">          9.67亿</t>
  </si>
  <si>
    <t>金轮股份</t>
  </si>
  <si>
    <t xml:space="preserve">          8.74亿</t>
  </si>
  <si>
    <t xml:space="preserve">         34.87亿</t>
  </si>
  <si>
    <t>金莱特</t>
  </si>
  <si>
    <t xml:space="preserve">          6.55亿</t>
  </si>
  <si>
    <t xml:space="preserve">         26.19亿</t>
  </si>
  <si>
    <t>跃岭股份</t>
  </si>
  <si>
    <t xml:space="preserve">          7.51亿</t>
  </si>
  <si>
    <t xml:space="preserve">         30.05亿</t>
  </si>
  <si>
    <t>龙大肉食</t>
  </si>
  <si>
    <t xml:space="preserve">         13.39亿</t>
  </si>
  <si>
    <t>一心堂</t>
  </si>
  <si>
    <t xml:space="preserve">         30.69亿</t>
  </si>
  <si>
    <t xml:space="preserve">        122.71亿</t>
  </si>
  <si>
    <t>台城制药</t>
  </si>
  <si>
    <t xml:space="preserve">          9.64亿</t>
  </si>
  <si>
    <t>特锐德</t>
  </si>
  <si>
    <t xml:space="preserve">         77.64亿</t>
  </si>
  <si>
    <t xml:space="preserve">         80.68亿</t>
  </si>
  <si>
    <t>神州泰岳</t>
  </si>
  <si>
    <t xml:space="preserve">        101.61亿</t>
  </si>
  <si>
    <t xml:space="preserve">        185.82亿</t>
  </si>
  <si>
    <t>乐普医疗</t>
  </si>
  <si>
    <t xml:space="preserve">        154.99亿</t>
  </si>
  <si>
    <t xml:space="preserve">        183.43亿</t>
  </si>
  <si>
    <t>南风股份</t>
  </si>
  <si>
    <t xml:space="preserve">         55.03亿</t>
  </si>
  <si>
    <t xml:space="preserve">        101.92亿</t>
  </si>
  <si>
    <t>探路者</t>
  </si>
  <si>
    <t xml:space="preserve">         54.10亿</t>
  </si>
  <si>
    <t xml:space="preserve">         85.70亿</t>
  </si>
  <si>
    <t>莱美药业</t>
  </si>
  <si>
    <t>汉威电子</t>
  </si>
  <si>
    <t xml:space="preserve">         30.17亿</t>
  </si>
  <si>
    <t>上海佳豪</t>
  </si>
  <si>
    <t xml:space="preserve">         27.14亿</t>
  </si>
  <si>
    <t xml:space="preserve">         40.32亿</t>
  </si>
  <si>
    <t>安科生物</t>
  </si>
  <si>
    <t xml:space="preserve">         34.18亿</t>
  </si>
  <si>
    <t xml:space="preserve">         53.19亿</t>
  </si>
  <si>
    <t>立思辰</t>
  </si>
  <si>
    <t xml:space="preserve">         39.65亿</t>
  </si>
  <si>
    <t xml:space="preserve">         66.78亿</t>
  </si>
  <si>
    <t>鼎汉技术</t>
  </si>
  <si>
    <t xml:space="preserve">         50.39亿</t>
  </si>
  <si>
    <t xml:space="preserve">         82.63亿</t>
  </si>
  <si>
    <t>华测检测</t>
  </si>
  <si>
    <t xml:space="preserve">         71.80亿</t>
  </si>
  <si>
    <t>新宁物流</t>
  </si>
  <si>
    <t xml:space="preserve">         16.67亿</t>
  </si>
  <si>
    <t>亿纬锂能</t>
  </si>
  <si>
    <t xml:space="preserve">         56.99亿</t>
  </si>
  <si>
    <t xml:space="preserve">         72.77亿</t>
  </si>
  <si>
    <t>爱尔眼科</t>
  </si>
  <si>
    <t xml:space="preserve">        136.68亿</t>
  </si>
  <si>
    <t xml:space="preserve">        170.68亿</t>
  </si>
  <si>
    <t>北陆药业</t>
  </si>
  <si>
    <t xml:space="preserve">         37.60亿</t>
  </si>
  <si>
    <t>网宿科技</t>
  </si>
  <si>
    <t xml:space="preserve">        121.59亿</t>
  </si>
  <si>
    <t xml:space="preserve">        179.49亿</t>
  </si>
  <si>
    <t>中元华电</t>
  </si>
  <si>
    <t xml:space="preserve">         17.30亿</t>
  </si>
  <si>
    <t xml:space="preserve">         22.04亿</t>
  </si>
  <si>
    <t>硅宝科技</t>
  </si>
  <si>
    <t xml:space="preserve">         15.00亿</t>
  </si>
  <si>
    <t xml:space="preserve">         22.78亿</t>
  </si>
  <si>
    <t>银江股份</t>
  </si>
  <si>
    <t xml:space="preserve">         69.72亿</t>
  </si>
  <si>
    <t xml:space="preserve">         79.58亿</t>
  </si>
  <si>
    <t>大禹节水</t>
  </si>
  <si>
    <t xml:space="preserve">         24.52亿</t>
  </si>
  <si>
    <t xml:space="preserve">         40.79亿</t>
  </si>
  <si>
    <t>吉峰农机</t>
  </si>
  <si>
    <t xml:space="preserve">         22.57亿</t>
  </si>
  <si>
    <t xml:space="preserve">         25.55亿</t>
  </si>
  <si>
    <t>宝德股份</t>
  </si>
  <si>
    <t xml:space="preserve">          9.18亿</t>
  </si>
  <si>
    <t xml:space="preserve">         16.61亿</t>
  </si>
  <si>
    <t>机器人</t>
  </si>
  <si>
    <t xml:space="preserve">        214.47亿</t>
  </si>
  <si>
    <t xml:space="preserve">        221.47亿</t>
  </si>
  <si>
    <t>华星创业</t>
  </si>
  <si>
    <t xml:space="preserve">         16.86亿</t>
  </si>
  <si>
    <t>红日药业</t>
  </si>
  <si>
    <t xml:space="preserve">        115.27亿</t>
  </si>
  <si>
    <t xml:space="preserve">        157.89亿</t>
  </si>
  <si>
    <t>华谊兄弟</t>
  </si>
  <si>
    <t xml:space="preserve">        207.00亿</t>
  </si>
  <si>
    <t xml:space="preserve">        295.55亿</t>
  </si>
  <si>
    <t>金亚科技</t>
  </si>
  <si>
    <t>天龙光电</t>
  </si>
  <si>
    <t xml:space="preserve">         19.35亿</t>
  </si>
  <si>
    <t xml:space="preserve">         20.00亿</t>
  </si>
  <si>
    <t>阳普医疗</t>
  </si>
  <si>
    <t xml:space="preserve">         31.94亿</t>
  </si>
  <si>
    <t xml:space="preserve">         39.22亿</t>
  </si>
  <si>
    <t>宝通带业</t>
  </si>
  <si>
    <t xml:space="preserve">         15.12亿</t>
  </si>
  <si>
    <t xml:space="preserve">         21.21亿</t>
  </si>
  <si>
    <t>金龙机电</t>
  </si>
  <si>
    <t xml:space="preserve">         64.13亿</t>
  </si>
  <si>
    <t xml:space="preserve">         68.27亿</t>
  </si>
  <si>
    <t>同花顺</t>
  </si>
  <si>
    <t xml:space="preserve">         69.54亿</t>
  </si>
  <si>
    <t>钢研高纳</t>
  </si>
  <si>
    <t xml:space="preserve">         71.61亿</t>
  </si>
  <si>
    <t>中科电气</t>
  </si>
  <si>
    <t xml:space="preserve">         14.79亿</t>
  </si>
  <si>
    <t>超图软件</t>
  </si>
  <si>
    <t xml:space="preserve">         22.43亿</t>
  </si>
  <si>
    <t>新宙邦</t>
  </si>
  <si>
    <t xml:space="preserve">         41.39亿</t>
  </si>
  <si>
    <t xml:space="preserve">         70.11亿</t>
  </si>
  <si>
    <t>梅泰诺</t>
  </si>
  <si>
    <t xml:space="preserve">         33.99亿</t>
  </si>
  <si>
    <t>上海凯宝</t>
  </si>
  <si>
    <t xml:space="preserve">         88.63亿</t>
  </si>
  <si>
    <t>九洲电气</t>
  </si>
  <si>
    <t xml:space="preserve">         14.94亿</t>
  </si>
  <si>
    <t>回天新材</t>
  </si>
  <si>
    <t xml:space="preserve">         24.40亿</t>
  </si>
  <si>
    <t>朗科科技</t>
  </si>
  <si>
    <t xml:space="preserve">         21.28亿</t>
  </si>
  <si>
    <t>互动娱乐</t>
  </si>
  <si>
    <t xml:space="preserve">         28.69亿</t>
  </si>
  <si>
    <t xml:space="preserve">         86.47亿</t>
  </si>
  <si>
    <t>赛为智能</t>
  </si>
  <si>
    <t xml:space="preserve">         27.62亿</t>
  </si>
  <si>
    <t xml:space="preserve">         41.99亿</t>
  </si>
  <si>
    <t>华力创通</t>
  </si>
  <si>
    <t xml:space="preserve">         58.96亿</t>
  </si>
  <si>
    <t>台基股份</t>
  </si>
  <si>
    <t xml:space="preserve">         23.14亿</t>
  </si>
  <si>
    <t>天源迪科</t>
  </si>
  <si>
    <t xml:space="preserve">         48.77亿</t>
  </si>
  <si>
    <t>合康变频</t>
  </si>
  <si>
    <t xml:space="preserve">         30.29亿</t>
  </si>
  <si>
    <t xml:space="preserve">         34.36亿</t>
  </si>
  <si>
    <t>福瑞股份</t>
  </si>
  <si>
    <t xml:space="preserve">         46.18亿</t>
  </si>
  <si>
    <t>世纪鼎利</t>
  </si>
  <si>
    <t xml:space="preserve">         38.56亿</t>
  </si>
  <si>
    <t>三五互联</t>
  </si>
  <si>
    <t xml:space="preserve">         24.16亿</t>
  </si>
  <si>
    <t>中青宝</t>
  </si>
  <si>
    <t xml:space="preserve">         80.34亿</t>
  </si>
  <si>
    <t>欧比特</t>
  </si>
  <si>
    <t xml:space="preserve">         29.23亿</t>
  </si>
  <si>
    <t xml:space="preserve">         36.98亿</t>
  </si>
  <si>
    <t>鼎龙股份</t>
  </si>
  <si>
    <t xml:space="preserve">         38.87亿</t>
  </si>
  <si>
    <t xml:space="preserve">         60.80亿</t>
  </si>
  <si>
    <t>万邦达</t>
  </si>
  <si>
    <t xml:space="preserve">         60.20亿</t>
  </si>
  <si>
    <t>三维丝</t>
  </si>
  <si>
    <t xml:space="preserve">         20.45亿</t>
  </si>
  <si>
    <t>万顺股份</t>
  </si>
  <si>
    <t xml:space="preserve">         46.38亿</t>
  </si>
  <si>
    <t>蓝色光标</t>
  </si>
  <si>
    <t xml:space="preserve">        149.17亿</t>
  </si>
  <si>
    <t xml:space="preserve">        233.28亿</t>
  </si>
  <si>
    <t>东方财富</t>
  </si>
  <si>
    <t xml:space="preserve">        130.81亿</t>
  </si>
  <si>
    <t xml:space="preserve">        172.73亿</t>
  </si>
  <si>
    <t>康耐特</t>
  </si>
  <si>
    <t xml:space="preserve">         12.01亿</t>
  </si>
  <si>
    <t xml:space="preserve">         20.71亿</t>
  </si>
  <si>
    <t>中能电气</t>
  </si>
  <si>
    <t xml:space="preserve">         10.13亿</t>
  </si>
  <si>
    <t>天龙集团</t>
  </si>
  <si>
    <t xml:space="preserve">         14.43亿</t>
  </si>
  <si>
    <t>豫金刚石</t>
  </si>
  <si>
    <t xml:space="preserve">         49.37亿</t>
  </si>
  <si>
    <t xml:space="preserve">         49.55亿</t>
  </si>
  <si>
    <t>海兰信</t>
  </si>
  <si>
    <t xml:space="preserve">         39.76亿</t>
  </si>
  <si>
    <t>三川股份</t>
  </si>
  <si>
    <t xml:space="preserve">         32.96亿</t>
  </si>
  <si>
    <t xml:space="preserve">         35.56亿</t>
  </si>
  <si>
    <t>安诺其</t>
  </si>
  <si>
    <t xml:space="preserve">         17.93亿</t>
  </si>
  <si>
    <t xml:space="preserve">         31.47亿</t>
  </si>
  <si>
    <t>南都电源</t>
  </si>
  <si>
    <t xml:space="preserve">         63.39亿</t>
  </si>
  <si>
    <t>金利华电</t>
  </si>
  <si>
    <t xml:space="preserve">         10.26亿</t>
  </si>
  <si>
    <t xml:space="preserve">         20.11亿</t>
  </si>
  <si>
    <t>碧水源</t>
  </si>
  <si>
    <t xml:space="preserve">        211.22亿</t>
  </si>
  <si>
    <t xml:space="preserve">        349.47亿</t>
  </si>
  <si>
    <t>华谊嘉信</t>
  </si>
  <si>
    <t xml:space="preserve">         35.18亿</t>
  </si>
  <si>
    <t xml:space="preserve">         55.15亿</t>
  </si>
  <si>
    <t>三聚环保</t>
  </si>
  <si>
    <t xml:space="preserve">        116.66亿</t>
  </si>
  <si>
    <t>当升科技</t>
  </si>
  <si>
    <t xml:space="preserve">         34.40亿</t>
  </si>
  <si>
    <t>华平股份</t>
  </si>
  <si>
    <t xml:space="preserve">         38.18亿</t>
  </si>
  <si>
    <t xml:space="preserve">         58.81亿</t>
  </si>
  <si>
    <t>数字政通</t>
  </si>
  <si>
    <t xml:space="preserve">         34.65亿</t>
  </si>
  <si>
    <t>GQY视讯</t>
  </si>
  <si>
    <t xml:space="preserve">         26.11亿</t>
  </si>
  <si>
    <t>国民技术</t>
  </si>
  <si>
    <t xml:space="preserve">         75.57亿</t>
  </si>
  <si>
    <t xml:space="preserve">         81.49亿</t>
  </si>
  <si>
    <t>中瑞思创</t>
  </si>
  <si>
    <t xml:space="preserve">         19.23亿</t>
  </si>
  <si>
    <t xml:space="preserve">         39.93亿</t>
  </si>
  <si>
    <t>数码视讯</t>
  </si>
  <si>
    <t xml:space="preserve">         78.23亿</t>
  </si>
  <si>
    <t xml:space="preserve">         91.60亿</t>
  </si>
  <si>
    <t>新大新材</t>
  </si>
  <si>
    <t>恒信移动</t>
  </si>
  <si>
    <t>奥克股份</t>
  </si>
  <si>
    <t xml:space="preserve">         47.51亿</t>
  </si>
  <si>
    <t>劲胜精密</t>
  </si>
  <si>
    <t xml:space="preserve">         17.39亿</t>
  </si>
  <si>
    <t xml:space="preserve">         39.84亿</t>
  </si>
  <si>
    <t>海默科技</t>
  </si>
  <si>
    <t xml:space="preserve">         24.63亿</t>
  </si>
  <si>
    <t xml:space="preserve">         31.04亿</t>
  </si>
  <si>
    <t>银之杰</t>
  </si>
  <si>
    <t xml:space="preserve">         29.27亿</t>
  </si>
  <si>
    <t>康芝药业</t>
  </si>
  <si>
    <t xml:space="preserve">         45.64亿</t>
  </si>
  <si>
    <t xml:space="preserve">         47.85亿</t>
  </si>
  <si>
    <t>荃银高科</t>
  </si>
  <si>
    <t xml:space="preserve">         11.95亿</t>
  </si>
  <si>
    <t xml:space="preserve">         17.72亿</t>
  </si>
  <si>
    <t>长信科技</t>
  </si>
  <si>
    <t xml:space="preserve">         92.26亿</t>
  </si>
  <si>
    <t xml:space="preserve">         96.83亿</t>
  </si>
  <si>
    <t>长城集团</t>
  </si>
  <si>
    <t xml:space="preserve">         11.26亿</t>
  </si>
  <si>
    <t xml:space="preserve">         19.53亿</t>
  </si>
  <si>
    <t>盛运股份</t>
  </si>
  <si>
    <t xml:space="preserve">         50.89亿</t>
  </si>
  <si>
    <t xml:space="preserve">         80.43亿</t>
  </si>
  <si>
    <t>金通灵</t>
  </si>
  <si>
    <t xml:space="preserve">         26.76亿</t>
  </si>
  <si>
    <t xml:space="preserve">         44.25亿</t>
  </si>
  <si>
    <t>科新机电</t>
  </si>
  <si>
    <t xml:space="preserve">          9.51亿</t>
  </si>
  <si>
    <t xml:space="preserve">         16.42亿</t>
  </si>
  <si>
    <t>金刚玻璃</t>
  </si>
  <si>
    <t xml:space="preserve">         27.53亿</t>
  </si>
  <si>
    <t>国联水产</t>
  </si>
  <si>
    <t xml:space="preserve">         31.99亿</t>
  </si>
  <si>
    <t xml:space="preserve">         32.10亿</t>
  </si>
  <si>
    <t>华伍股份</t>
  </si>
  <si>
    <t xml:space="preserve">         14.70亿</t>
  </si>
  <si>
    <t xml:space="preserve">         19.91亿</t>
  </si>
  <si>
    <t>易联众</t>
  </si>
  <si>
    <t>智云股份</t>
  </si>
  <si>
    <t xml:space="preserve">         26.50亿</t>
  </si>
  <si>
    <t>高新兴</t>
  </si>
  <si>
    <t xml:space="preserve">         27.28亿</t>
  </si>
  <si>
    <t xml:space="preserve">         44.33亿</t>
  </si>
  <si>
    <t>尤洛卡</t>
  </si>
  <si>
    <t xml:space="preserve">         13.93亿</t>
  </si>
  <si>
    <t xml:space="preserve">         27.58亿</t>
  </si>
  <si>
    <t>双林股份</t>
  </si>
  <si>
    <t>振芯科技</t>
  </si>
  <si>
    <t xml:space="preserve">         75.20亿</t>
  </si>
  <si>
    <t>乾照光电</t>
  </si>
  <si>
    <t xml:space="preserve">         42.42亿</t>
  </si>
  <si>
    <t>达刚路机</t>
  </si>
  <si>
    <t xml:space="preserve">         36.04亿</t>
  </si>
  <si>
    <t>乐视网</t>
  </si>
  <si>
    <t xml:space="preserve">        185.35亿</t>
  </si>
  <si>
    <t xml:space="preserve">        327.22亿</t>
  </si>
  <si>
    <t>龙源技术</t>
  </si>
  <si>
    <t xml:space="preserve">         67.85亿</t>
  </si>
  <si>
    <t>西部牧业</t>
  </si>
  <si>
    <t xml:space="preserve">         22.00亿</t>
  </si>
  <si>
    <t>建新股份</t>
  </si>
  <si>
    <t xml:space="preserve">         19.43亿</t>
  </si>
  <si>
    <t xml:space="preserve">         31.12亿</t>
  </si>
  <si>
    <t>双龙股份</t>
  </si>
  <si>
    <t xml:space="preserve">         20.62亿</t>
  </si>
  <si>
    <t>新开源</t>
  </si>
  <si>
    <t xml:space="preserve">          9.91亿</t>
  </si>
  <si>
    <t>华仁药业</t>
  </si>
  <si>
    <t xml:space="preserve">         52.73亿</t>
  </si>
  <si>
    <t>向日葵</t>
  </si>
  <si>
    <t xml:space="preserve">         45.52亿</t>
  </si>
  <si>
    <t xml:space="preserve">         46.02亿</t>
  </si>
  <si>
    <t>万讯自控</t>
  </si>
  <si>
    <t xml:space="preserve">         13.78亿</t>
  </si>
  <si>
    <t xml:space="preserve">         26.28亿</t>
  </si>
  <si>
    <t>顺网科技</t>
  </si>
  <si>
    <t xml:space="preserve">         48.82亿</t>
  </si>
  <si>
    <t xml:space="preserve">         83.20亿</t>
  </si>
  <si>
    <t>中航电测</t>
  </si>
  <si>
    <t xml:space="preserve">         41.45亿</t>
  </si>
  <si>
    <t>长盈精密</t>
  </si>
  <si>
    <t xml:space="preserve">        114.14亿</t>
  </si>
  <si>
    <t xml:space="preserve">        114.81亿</t>
  </si>
  <si>
    <t>坚瑞消防</t>
  </si>
  <si>
    <t xml:space="preserve">         12.30亿</t>
  </si>
  <si>
    <t xml:space="preserve">         19.01亿</t>
  </si>
  <si>
    <t>嘉寓股份</t>
  </si>
  <si>
    <t xml:space="preserve">         17.95亿</t>
  </si>
  <si>
    <t>东方日升</t>
  </si>
  <si>
    <t xml:space="preserve">         33.88亿</t>
  </si>
  <si>
    <t>瑞普生物</t>
  </si>
  <si>
    <t xml:space="preserve">         42.14亿</t>
  </si>
  <si>
    <t>经纬电材</t>
  </si>
  <si>
    <t xml:space="preserve">         12.35亿</t>
  </si>
  <si>
    <t>阳谷华泰</t>
  </si>
  <si>
    <t xml:space="preserve">         12.76亿</t>
  </si>
  <si>
    <t xml:space="preserve">         27.13亿</t>
  </si>
  <si>
    <t>智飞生物</t>
  </si>
  <si>
    <t xml:space="preserve">         78.59亿</t>
  </si>
  <si>
    <t xml:space="preserve">        195.60亿</t>
  </si>
  <si>
    <t>太阳鸟</t>
  </si>
  <si>
    <t xml:space="preserve">         24.23亿</t>
  </si>
  <si>
    <t xml:space="preserve">         27.19亿</t>
  </si>
  <si>
    <t>汇川技术</t>
  </si>
  <si>
    <t xml:space="preserve">        177.34亿</t>
  </si>
  <si>
    <t xml:space="preserve">        227.46亿</t>
  </si>
  <si>
    <t>易世达</t>
  </si>
  <si>
    <t xml:space="preserve">         15.90亿</t>
  </si>
  <si>
    <t>锐奇股份</t>
  </si>
  <si>
    <t xml:space="preserve">         18.29亿</t>
  </si>
  <si>
    <t>银河磁体</t>
  </si>
  <si>
    <t xml:space="preserve">         32.99亿</t>
  </si>
  <si>
    <t xml:space="preserve">         48.05亿</t>
  </si>
  <si>
    <t>锦富新材</t>
  </si>
  <si>
    <t xml:space="preserve">         55.93亿</t>
  </si>
  <si>
    <t>泰胜风能</t>
  </si>
  <si>
    <t xml:space="preserve">         41.86亿</t>
  </si>
  <si>
    <t>新国都</t>
  </si>
  <si>
    <t xml:space="preserve">         22.80亿</t>
  </si>
  <si>
    <t xml:space="preserve">         40.60亿</t>
  </si>
  <si>
    <t>英唐智控</t>
  </si>
  <si>
    <t xml:space="preserve">         16.99亿</t>
  </si>
  <si>
    <t xml:space="preserve">         28.22亿</t>
  </si>
  <si>
    <t>青松股份</t>
  </si>
  <si>
    <t xml:space="preserve">         20.43亿</t>
  </si>
  <si>
    <t xml:space="preserve">         33.40亿</t>
  </si>
  <si>
    <t>华策影视</t>
  </si>
  <si>
    <t xml:space="preserve">        124.78亿</t>
  </si>
  <si>
    <t xml:space="preserve">        188.62亿</t>
  </si>
  <si>
    <t>大富科技</t>
  </si>
  <si>
    <t xml:space="preserve">        140.92亿</t>
  </si>
  <si>
    <t xml:space="preserve">        153.91亿</t>
  </si>
  <si>
    <t>宝利沥青</t>
  </si>
  <si>
    <t xml:space="preserve">         31.16亿</t>
  </si>
  <si>
    <t xml:space="preserve">         43.88亿</t>
  </si>
  <si>
    <t>信维通信</t>
  </si>
  <si>
    <t>先河环保</t>
  </si>
  <si>
    <t>晨光生物</t>
  </si>
  <si>
    <t>福星晓程</t>
  </si>
  <si>
    <t xml:space="preserve">         39.92亿</t>
  </si>
  <si>
    <t xml:space="preserve">         51.75亿</t>
  </si>
  <si>
    <t>启源装备</t>
  </si>
  <si>
    <t xml:space="preserve">         23.27亿</t>
  </si>
  <si>
    <t>和顺电气</t>
  </si>
  <si>
    <t xml:space="preserve">         17.91亿</t>
  </si>
  <si>
    <t xml:space="preserve">         28.25亿</t>
  </si>
  <si>
    <t>沃森生物</t>
  </si>
  <si>
    <t xml:space="preserve">         70.99亿</t>
  </si>
  <si>
    <t xml:space="preserve">        100.04亿</t>
  </si>
  <si>
    <t>星河生物</t>
  </si>
  <si>
    <t xml:space="preserve">         14.11亿</t>
  </si>
  <si>
    <t>宋城演艺</t>
  </si>
  <si>
    <t xml:space="preserve">         49.39亿</t>
  </si>
  <si>
    <t xml:space="preserve">        140.89亿</t>
  </si>
  <si>
    <t>南方泵业</t>
  </si>
  <si>
    <t xml:space="preserve">         36.02亿</t>
  </si>
  <si>
    <t xml:space="preserve">         54.25亿</t>
  </si>
  <si>
    <t>汤臣倍健</t>
  </si>
  <si>
    <t xml:space="preserve">         95.58亿</t>
  </si>
  <si>
    <t xml:space="preserve">        191.22亿</t>
  </si>
  <si>
    <t>香雪制药</t>
  </si>
  <si>
    <t xml:space="preserve">        101.71亿</t>
  </si>
  <si>
    <t xml:space="preserve">        102.02亿</t>
  </si>
  <si>
    <t>天舟文化</t>
  </si>
  <si>
    <t xml:space="preserve">         77.29亿</t>
  </si>
  <si>
    <t>量子高科</t>
  </si>
  <si>
    <t xml:space="preserve">         15.23亿</t>
  </si>
  <si>
    <t>世纪瑞尔</t>
  </si>
  <si>
    <t xml:space="preserve">         31.48亿</t>
  </si>
  <si>
    <t xml:space="preserve">         47.52亿</t>
  </si>
  <si>
    <t>昌红科技</t>
  </si>
  <si>
    <t xml:space="preserve">         18.14亿</t>
  </si>
  <si>
    <t>燃控科技</t>
  </si>
  <si>
    <t xml:space="preserve">         31.39亿</t>
  </si>
  <si>
    <t>科泰电源</t>
  </si>
  <si>
    <t xml:space="preserve">         24.37亿</t>
  </si>
  <si>
    <t>瑞凌股份</t>
  </si>
  <si>
    <t xml:space="preserve">         34.51亿</t>
  </si>
  <si>
    <t>安居宝</t>
  </si>
  <si>
    <t xml:space="preserve">         27.88亿</t>
  </si>
  <si>
    <t xml:space="preserve">         57.40亿</t>
  </si>
  <si>
    <t>神雾环保</t>
  </si>
  <si>
    <t xml:space="preserve">         47.18亿</t>
  </si>
  <si>
    <t>恒泰艾普</t>
  </si>
  <si>
    <t xml:space="preserve">         61.36亿</t>
  </si>
  <si>
    <t xml:space="preserve">         88.46亿</t>
  </si>
  <si>
    <t>振东制药</t>
  </si>
  <si>
    <t xml:space="preserve">         44.84亿</t>
  </si>
  <si>
    <t>新研股份</t>
  </si>
  <si>
    <t xml:space="preserve">         25.34亿</t>
  </si>
  <si>
    <t xml:space="preserve">         32.47亿</t>
  </si>
  <si>
    <t>秀强股份</t>
  </si>
  <si>
    <t>华中数控</t>
  </si>
  <si>
    <t xml:space="preserve">         18.92亿</t>
  </si>
  <si>
    <t>雷曼光电</t>
  </si>
  <si>
    <t xml:space="preserve">         20.81亿</t>
  </si>
  <si>
    <t>先锋新材</t>
  </si>
  <si>
    <t xml:space="preserve">         12.68亿</t>
  </si>
  <si>
    <t xml:space="preserve">         21.03亿</t>
  </si>
  <si>
    <t>通源石油</t>
  </si>
  <si>
    <t xml:space="preserve">         39.99亿</t>
  </si>
  <si>
    <t xml:space="preserve">         50.71亿</t>
  </si>
  <si>
    <t>天瑞仪器</t>
  </si>
  <si>
    <t xml:space="preserve">         21.10亿</t>
  </si>
  <si>
    <t xml:space="preserve">         36.51亿</t>
  </si>
  <si>
    <t>东方国信</t>
  </si>
  <si>
    <t xml:space="preserve">         37.88亿</t>
  </si>
  <si>
    <t xml:space="preserve">         64.00亿</t>
  </si>
  <si>
    <t>迪威视讯</t>
  </si>
  <si>
    <t xml:space="preserve">         22.19亿</t>
  </si>
  <si>
    <t xml:space="preserve">         45.88亿</t>
  </si>
  <si>
    <t>万达信息</t>
  </si>
  <si>
    <t xml:space="preserve">        109.37亿</t>
  </si>
  <si>
    <t xml:space="preserve">        111.31亿</t>
  </si>
  <si>
    <t>天晟新材</t>
  </si>
  <si>
    <t xml:space="preserve">         20.68亿</t>
  </si>
  <si>
    <t>汉得信息</t>
  </si>
  <si>
    <t xml:space="preserve">         55.00亿</t>
  </si>
  <si>
    <t xml:space="preserve">         74.18亿</t>
  </si>
  <si>
    <t>东富龙</t>
  </si>
  <si>
    <t xml:space="preserve">         39.14亿</t>
  </si>
  <si>
    <t xml:space="preserve">         79.03亿</t>
  </si>
  <si>
    <t>中电环保</t>
  </si>
  <si>
    <t xml:space="preserve">         20.08亿</t>
  </si>
  <si>
    <t xml:space="preserve">         33.19亿</t>
  </si>
  <si>
    <t>松德股份</t>
  </si>
  <si>
    <t xml:space="preserve">         28.51亿</t>
  </si>
  <si>
    <t>元力股份</t>
  </si>
  <si>
    <t xml:space="preserve">          8.84亿</t>
  </si>
  <si>
    <t xml:space="preserve">         18.24亿</t>
  </si>
  <si>
    <t>朗源股份</t>
  </si>
  <si>
    <t xml:space="preserve">         26.87亿</t>
  </si>
  <si>
    <t>鸿特精密</t>
  </si>
  <si>
    <t xml:space="preserve">         16.23亿</t>
  </si>
  <si>
    <t>中海达</t>
  </si>
  <si>
    <t xml:space="preserve">         39.98亿</t>
  </si>
  <si>
    <t xml:space="preserve">         68.54亿</t>
  </si>
  <si>
    <t>腾邦国际</t>
  </si>
  <si>
    <t xml:space="preserve">         32.63亿</t>
  </si>
  <si>
    <t xml:space="preserve">         51.87亿</t>
  </si>
  <si>
    <t>四方达</t>
  </si>
  <si>
    <t xml:space="preserve">         13.17亿</t>
  </si>
  <si>
    <t xml:space="preserve">         21.38亿</t>
  </si>
  <si>
    <t>华峰超纤</t>
  </si>
  <si>
    <t xml:space="preserve">         22.38亿</t>
  </si>
  <si>
    <t xml:space="preserve">         30.67亿</t>
  </si>
  <si>
    <t>佐力药业</t>
  </si>
  <si>
    <t xml:space="preserve">         30.59亿</t>
  </si>
  <si>
    <t>捷成股份</t>
  </si>
  <si>
    <t xml:space="preserve">         49.28亿</t>
  </si>
  <si>
    <t xml:space="preserve">        101.51亿</t>
  </si>
  <si>
    <t>东软载波</t>
  </si>
  <si>
    <t xml:space="preserve">         57.91亿</t>
  </si>
  <si>
    <t xml:space="preserve">        102.22亿</t>
  </si>
  <si>
    <t>力源信息</t>
  </si>
  <si>
    <t xml:space="preserve">         16.92亿</t>
  </si>
  <si>
    <t xml:space="preserve">         29.37亿</t>
  </si>
  <si>
    <t>通裕重工</t>
  </si>
  <si>
    <t xml:space="preserve">         40.05亿</t>
  </si>
  <si>
    <t xml:space="preserve">         51.39亿</t>
  </si>
  <si>
    <t>大华农</t>
  </si>
  <si>
    <t xml:space="preserve">         45.28亿</t>
  </si>
  <si>
    <t>永清环保</t>
  </si>
  <si>
    <t xml:space="preserve">         71.34亿</t>
  </si>
  <si>
    <t xml:space="preserve">         72.40亿</t>
  </si>
  <si>
    <t>美亚柏科</t>
  </si>
  <si>
    <t xml:space="preserve">         65.54亿</t>
  </si>
  <si>
    <t>神农大丰</t>
  </si>
  <si>
    <t xml:space="preserve">         28.30亿</t>
  </si>
  <si>
    <t>维尔利</t>
  </si>
  <si>
    <t xml:space="preserve">         18.32亿</t>
  </si>
  <si>
    <t xml:space="preserve">         44.83亿</t>
  </si>
  <si>
    <t>潜能恒信</t>
  </si>
  <si>
    <t xml:space="preserve">         78.85亿</t>
  </si>
  <si>
    <t>科斯伍德</t>
  </si>
  <si>
    <t xml:space="preserve">         14.63亿</t>
  </si>
  <si>
    <t>佳士科技</t>
  </si>
  <si>
    <t xml:space="preserve">         24.24亿</t>
  </si>
  <si>
    <t xml:space="preserve">         35.31亿</t>
  </si>
  <si>
    <t>福安药业</t>
  </si>
  <si>
    <t xml:space="preserve">         56.14亿</t>
  </si>
  <si>
    <t>长荣股份</t>
  </si>
  <si>
    <t xml:space="preserve">         20.07亿</t>
  </si>
  <si>
    <t xml:space="preserve">         53.07亿</t>
  </si>
  <si>
    <t>长海股份</t>
  </si>
  <si>
    <t xml:space="preserve">         18.97亿</t>
  </si>
  <si>
    <t xml:space="preserve">         33.60亿</t>
  </si>
  <si>
    <t>铁汉生态</t>
  </si>
  <si>
    <t xml:space="preserve">         73.57亿</t>
  </si>
  <si>
    <t>纳川股份</t>
  </si>
  <si>
    <t xml:space="preserve">         28.50亿</t>
  </si>
  <si>
    <t xml:space="preserve">         34.56亿</t>
  </si>
  <si>
    <t>翰宇药业</t>
  </si>
  <si>
    <t xml:space="preserve">         55.71亿</t>
  </si>
  <si>
    <t xml:space="preserve">        111.72亿</t>
  </si>
  <si>
    <t>高盟新材</t>
  </si>
  <si>
    <t xml:space="preserve">         12.28亿</t>
  </si>
  <si>
    <t xml:space="preserve">         27.81亿</t>
  </si>
  <si>
    <t>海伦哲</t>
  </si>
  <si>
    <t xml:space="preserve">         27.00亿</t>
  </si>
  <si>
    <t>聚龙股份</t>
  </si>
  <si>
    <t xml:space="preserve">        148.31亿</t>
  </si>
  <si>
    <t>聚光科技</t>
  </si>
  <si>
    <t xml:space="preserve">         79.65亿</t>
  </si>
  <si>
    <t>舒泰神</t>
  </si>
  <si>
    <t xml:space="preserve">         61.01亿</t>
  </si>
  <si>
    <t xml:space="preserve">         62.14亿</t>
  </si>
  <si>
    <t>天喻信息</t>
  </si>
  <si>
    <t xml:space="preserve">         78.20亿</t>
  </si>
  <si>
    <t xml:space="preserve">         79.17亿</t>
  </si>
  <si>
    <t>理邦仪器</t>
  </si>
  <si>
    <t>欣旺达</t>
  </si>
  <si>
    <t xml:space="preserve">         44.48亿</t>
  </si>
  <si>
    <t xml:space="preserve">         82.86亿</t>
  </si>
  <si>
    <t>恒顺电气</t>
  </si>
  <si>
    <t>天泽信息</t>
  </si>
  <si>
    <t xml:space="preserve">         30.82亿</t>
  </si>
  <si>
    <t>森远股份</t>
  </si>
  <si>
    <t xml:space="preserve">         37.30亿</t>
  </si>
  <si>
    <t>亿通科技</t>
  </si>
  <si>
    <t xml:space="preserve">         10.56亿</t>
  </si>
  <si>
    <t xml:space="preserve">         18.68亿</t>
  </si>
  <si>
    <t>易华录</t>
  </si>
  <si>
    <t xml:space="preserve">        104.64亿</t>
  </si>
  <si>
    <t xml:space="preserve">        113.27亿</t>
  </si>
  <si>
    <t>佳讯飞鸿</t>
  </si>
  <si>
    <t xml:space="preserve">         41.40亿</t>
  </si>
  <si>
    <t>日科化学</t>
  </si>
  <si>
    <t xml:space="preserve">         16.60亿</t>
  </si>
  <si>
    <t xml:space="preserve">         25.03亿</t>
  </si>
  <si>
    <t>电科院</t>
  </si>
  <si>
    <t xml:space="preserve">         43.44亿</t>
  </si>
  <si>
    <t xml:space="preserve">         65.16亿</t>
  </si>
  <si>
    <t>千山药机</t>
  </si>
  <si>
    <t xml:space="preserve">         40.45亿</t>
  </si>
  <si>
    <t>东方电热</t>
  </si>
  <si>
    <t xml:space="preserve">         15.99亿</t>
  </si>
  <si>
    <t>安利股份</t>
  </si>
  <si>
    <t>鸿利光电</t>
  </si>
  <si>
    <t>金运激光</t>
  </si>
  <si>
    <t xml:space="preserve">         17.62亿</t>
  </si>
  <si>
    <t xml:space="preserve">         34.02亿</t>
  </si>
  <si>
    <t>银禧科技</t>
  </si>
  <si>
    <t xml:space="preserve">         16.04亿</t>
  </si>
  <si>
    <t xml:space="preserve">         25.80亿</t>
  </si>
  <si>
    <t>科大智能</t>
  </si>
  <si>
    <t>北京君正</t>
  </si>
  <si>
    <t xml:space="preserve">         18.17亿</t>
  </si>
  <si>
    <t xml:space="preserve">         33.09亿</t>
  </si>
  <si>
    <t>正海磁材</t>
  </si>
  <si>
    <t xml:space="preserve">         60.00亿</t>
  </si>
  <si>
    <t>金力泰</t>
  </si>
  <si>
    <t>上海钢联</t>
  </si>
  <si>
    <t xml:space="preserve">         65.02亿</t>
  </si>
  <si>
    <t xml:space="preserve">         75.78亿</t>
  </si>
  <si>
    <t>光韵达</t>
  </si>
  <si>
    <t>富瑞特装</t>
  </si>
  <si>
    <t xml:space="preserve">         53.65亿</t>
  </si>
  <si>
    <t xml:space="preserve">         72.63亿</t>
  </si>
  <si>
    <t>拓尔思</t>
  </si>
  <si>
    <t xml:space="preserve">         52.47亿</t>
  </si>
  <si>
    <t>永利带业</t>
  </si>
  <si>
    <t xml:space="preserve">          9.75亿</t>
  </si>
  <si>
    <t xml:space="preserve">         15.55亿</t>
  </si>
  <si>
    <t>银信科技</t>
  </si>
  <si>
    <t xml:space="preserve">         19.39亿</t>
  </si>
  <si>
    <t>洲明科技</t>
  </si>
  <si>
    <t xml:space="preserve">         33.69亿</t>
  </si>
  <si>
    <t>金城医药</t>
  </si>
  <si>
    <t xml:space="preserve">         38.16亿</t>
  </si>
  <si>
    <t>开尔新材</t>
  </si>
  <si>
    <t xml:space="preserve">         21.35亿</t>
  </si>
  <si>
    <t xml:space="preserve">         41.79亿</t>
  </si>
  <si>
    <t>方直科技</t>
  </si>
  <si>
    <t xml:space="preserve">         18.76亿</t>
  </si>
  <si>
    <t>上海新阳</t>
  </si>
  <si>
    <t>美晨科技</t>
  </si>
  <si>
    <t xml:space="preserve">         10.01亿</t>
  </si>
  <si>
    <t xml:space="preserve">         24.33亿</t>
  </si>
  <si>
    <t>冠昊生物</t>
  </si>
  <si>
    <t xml:space="preserve">         67.93亿</t>
  </si>
  <si>
    <t>东宝生物</t>
  </si>
  <si>
    <t xml:space="preserve">         14.48亿</t>
  </si>
  <si>
    <t>飞力达</t>
  </si>
  <si>
    <t xml:space="preserve">         22.31亿</t>
  </si>
  <si>
    <t>瑞丰光电</t>
  </si>
  <si>
    <t xml:space="preserve">         37.77亿</t>
  </si>
  <si>
    <t>明家科技</t>
  </si>
  <si>
    <t xml:space="preserve">          6.12亿</t>
  </si>
  <si>
    <t xml:space="preserve">         17.09亿</t>
  </si>
  <si>
    <t>瑞丰高材</t>
  </si>
  <si>
    <t xml:space="preserve">          9.82亿</t>
  </si>
  <si>
    <t xml:space="preserve">         15.34亿</t>
  </si>
  <si>
    <t>迪安诊断</t>
  </si>
  <si>
    <t xml:space="preserve">         58.66亿</t>
  </si>
  <si>
    <t xml:space="preserve">         88.07亿</t>
  </si>
  <si>
    <t>天玑科技</t>
  </si>
  <si>
    <t xml:space="preserve">         54.13亿</t>
  </si>
  <si>
    <t>宝莱特</t>
  </si>
  <si>
    <t xml:space="preserve">         37.14亿</t>
  </si>
  <si>
    <t>桑乐金</t>
  </si>
  <si>
    <t xml:space="preserve">         26.44亿</t>
  </si>
  <si>
    <t>新开普</t>
  </si>
  <si>
    <t xml:space="preserve">         21.65亿</t>
  </si>
  <si>
    <t>依米康</t>
  </si>
  <si>
    <t xml:space="preserve">         12.73亿</t>
  </si>
  <si>
    <t>初灵信息</t>
  </si>
  <si>
    <t xml:space="preserve">          9.88亿</t>
  </si>
  <si>
    <t>光线传媒</t>
  </si>
  <si>
    <t xml:space="preserve">        111.45亿</t>
  </si>
  <si>
    <t>金信诺</t>
  </si>
  <si>
    <t xml:space="preserve">         48.48亿</t>
  </si>
  <si>
    <t>卫宁软件</t>
  </si>
  <si>
    <t xml:space="preserve">         92.52亿</t>
  </si>
  <si>
    <t>仟源制药</t>
  </si>
  <si>
    <t>常山药业</t>
  </si>
  <si>
    <t xml:space="preserve">         32.42亿</t>
  </si>
  <si>
    <t xml:space="preserve">         50.10亿</t>
  </si>
  <si>
    <t>星星科技</t>
  </si>
  <si>
    <t xml:space="preserve">         17.46亿</t>
  </si>
  <si>
    <t xml:space="preserve">         38.01亿</t>
  </si>
  <si>
    <t>开山股份</t>
  </si>
  <si>
    <t xml:space="preserve">        160.81亿</t>
  </si>
  <si>
    <t xml:space="preserve">        169.88亿</t>
  </si>
  <si>
    <t>精锻科技</t>
  </si>
  <si>
    <t>新天科技</t>
  </si>
  <si>
    <t xml:space="preserve">         18.79亿</t>
  </si>
  <si>
    <t xml:space="preserve">         35.99亿</t>
  </si>
  <si>
    <t>新莱应材</t>
  </si>
  <si>
    <t xml:space="preserve">          5.59亿</t>
  </si>
  <si>
    <t>雅本化学</t>
  </si>
  <si>
    <t xml:space="preserve">         40.08亿</t>
  </si>
  <si>
    <t xml:space="preserve">         42.47亿</t>
  </si>
  <si>
    <t>巴安水务</t>
  </si>
  <si>
    <t xml:space="preserve">         44.64亿</t>
  </si>
  <si>
    <t>隆华节能</t>
  </si>
  <si>
    <t xml:space="preserve">         61.74亿</t>
  </si>
  <si>
    <t>佳创视讯</t>
  </si>
  <si>
    <t xml:space="preserve">         14.65亿</t>
  </si>
  <si>
    <t>通光线缆</t>
  </si>
  <si>
    <t xml:space="preserve">          8.22亿</t>
  </si>
  <si>
    <t xml:space="preserve">         31.27亿</t>
  </si>
  <si>
    <t>兴源过滤</t>
  </si>
  <si>
    <t xml:space="preserve">         10.24亿</t>
  </si>
  <si>
    <t xml:space="preserve">         49.17亿</t>
  </si>
  <si>
    <t>尔康制药</t>
  </si>
  <si>
    <t xml:space="preserve">        159.52亿</t>
  </si>
  <si>
    <t>万福生科</t>
  </si>
  <si>
    <t xml:space="preserve">          1.92亿</t>
  </si>
  <si>
    <t xml:space="preserve">          7.57亿</t>
  </si>
  <si>
    <t>联建光电</t>
  </si>
  <si>
    <t xml:space="preserve">         18.49亿</t>
  </si>
  <si>
    <t xml:space="preserve">         54.99亿</t>
  </si>
  <si>
    <t>中威电子</t>
  </si>
  <si>
    <t xml:space="preserve">          9.25亿</t>
  </si>
  <si>
    <t xml:space="preserve">         25.65亿</t>
  </si>
  <si>
    <t>华宇软件</t>
  </si>
  <si>
    <t xml:space="preserve">         60.06亿</t>
  </si>
  <si>
    <t>开能环保</t>
  </si>
  <si>
    <t xml:space="preserve">         21.56亿</t>
  </si>
  <si>
    <t xml:space="preserve">         46.57亿</t>
  </si>
  <si>
    <t>和佳股份</t>
  </si>
  <si>
    <t xml:space="preserve">         70.21亿</t>
  </si>
  <si>
    <t xml:space="preserve">        134.15亿</t>
  </si>
  <si>
    <t>阳光电源</t>
  </si>
  <si>
    <t xml:space="preserve">         55.18亿</t>
  </si>
  <si>
    <t xml:space="preserve">        126.71亿</t>
  </si>
  <si>
    <t>梅安森</t>
  </si>
  <si>
    <t xml:space="preserve">         15.83亿</t>
  </si>
  <si>
    <t xml:space="preserve">         30.41亿</t>
  </si>
  <si>
    <t>三丰智能</t>
  </si>
  <si>
    <t>海联讯</t>
  </si>
  <si>
    <t xml:space="preserve">          6.50亿</t>
  </si>
  <si>
    <t>华昌达</t>
  </si>
  <si>
    <t xml:space="preserve">         13.26亿</t>
  </si>
  <si>
    <t>和晶科技</t>
  </si>
  <si>
    <t xml:space="preserve">         10.08亿</t>
  </si>
  <si>
    <t>南通锻压</t>
  </si>
  <si>
    <t xml:space="preserve">          6.09亿</t>
  </si>
  <si>
    <t xml:space="preserve">         19.48亿</t>
  </si>
  <si>
    <t>金明精机</t>
  </si>
  <si>
    <t xml:space="preserve">         10.64亿</t>
  </si>
  <si>
    <t>汇冠股份</t>
  </si>
  <si>
    <t>温州宏丰</t>
  </si>
  <si>
    <t xml:space="preserve">          5.94亿</t>
  </si>
  <si>
    <t>苏交科</t>
  </si>
  <si>
    <t xml:space="preserve">         25.69亿</t>
  </si>
  <si>
    <t xml:space="preserve">         45.16亿</t>
  </si>
  <si>
    <t>国瓷材料</t>
  </si>
  <si>
    <t xml:space="preserve">         11.73亿</t>
  </si>
  <si>
    <t xml:space="preserve">         45.97亿</t>
  </si>
  <si>
    <t>安科瑞</t>
  </si>
  <si>
    <t xml:space="preserve">          9.41亿</t>
  </si>
  <si>
    <t xml:space="preserve">         38.14亿</t>
  </si>
  <si>
    <t>飞利信</t>
  </si>
  <si>
    <t xml:space="preserve">         28.02亿</t>
  </si>
  <si>
    <t xml:space="preserve">         60.25亿</t>
  </si>
  <si>
    <t>朗玛信息</t>
  </si>
  <si>
    <t xml:space="preserve">         98.67亿</t>
  </si>
  <si>
    <t>利德曼</t>
  </si>
  <si>
    <t xml:space="preserve">         15.64亿</t>
  </si>
  <si>
    <t xml:space="preserve">         44.14亿</t>
  </si>
  <si>
    <t>荣科科技</t>
  </si>
  <si>
    <t xml:space="preserve">         11.41亿</t>
  </si>
  <si>
    <t xml:space="preserve">         27.23亿</t>
  </si>
  <si>
    <t>华录百纳</t>
  </si>
  <si>
    <t xml:space="preserve">         51.73亿</t>
  </si>
  <si>
    <t xml:space="preserve">         94.06亿</t>
  </si>
  <si>
    <t>吴通通讯</t>
  </si>
  <si>
    <t xml:space="preserve">         11.05亿</t>
  </si>
  <si>
    <t xml:space="preserve">         29.83亿</t>
  </si>
  <si>
    <t>蓝英装备</t>
  </si>
  <si>
    <t xml:space="preserve">         10.75亿</t>
  </si>
  <si>
    <t xml:space="preserve">         42.98亿</t>
  </si>
  <si>
    <t>博雅生物</t>
  </si>
  <si>
    <t xml:space="preserve">         17.32亿</t>
  </si>
  <si>
    <t xml:space="preserve">         41.18亿</t>
  </si>
  <si>
    <t>三六五网</t>
  </si>
  <si>
    <t xml:space="preserve">         30.83亿</t>
  </si>
  <si>
    <t xml:space="preserve">         65.22亿</t>
  </si>
  <si>
    <t>利亚德</t>
  </si>
  <si>
    <t xml:space="preserve">         28.13亿</t>
  </si>
  <si>
    <t xml:space="preserve">         78.70亿</t>
  </si>
  <si>
    <t>蓝盾股份</t>
  </si>
  <si>
    <t xml:space="preserve">         19.08亿</t>
  </si>
  <si>
    <t>三诺生物</t>
  </si>
  <si>
    <t xml:space="preserve">         26.83亿</t>
  </si>
  <si>
    <t xml:space="preserve">         85.53亿</t>
  </si>
  <si>
    <t>富春通信</t>
  </si>
  <si>
    <t xml:space="preserve">          8.17亿</t>
  </si>
  <si>
    <t xml:space="preserve">         20.10亿</t>
  </si>
  <si>
    <t>汉鼎股份</t>
  </si>
  <si>
    <t xml:space="preserve">         48.06亿</t>
  </si>
  <si>
    <t>长方照明</t>
  </si>
  <si>
    <t xml:space="preserve">         11.65亿</t>
  </si>
  <si>
    <t xml:space="preserve">         39.67亿</t>
  </si>
  <si>
    <t>同有科技</t>
  </si>
  <si>
    <t xml:space="preserve">          9.83亿</t>
  </si>
  <si>
    <t xml:space="preserve">         25.81亿</t>
  </si>
  <si>
    <t>聚飞光电</t>
  </si>
  <si>
    <t xml:space="preserve">         27.05亿</t>
  </si>
  <si>
    <t xml:space="preserve">         53.61亿</t>
  </si>
  <si>
    <t>云意电气</t>
  </si>
  <si>
    <t xml:space="preserve">         11.99亿</t>
  </si>
  <si>
    <t xml:space="preserve">         37.47亿</t>
  </si>
  <si>
    <t>裕兴股份</t>
  </si>
  <si>
    <t xml:space="preserve">          7.86亿</t>
  </si>
  <si>
    <t xml:space="preserve">         31.45亿</t>
  </si>
  <si>
    <t>远方光电</t>
  </si>
  <si>
    <t xml:space="preserve">         10.79亿</t>
  </si>
  <si>
    <t xml:space="preserve">         34.93亿</t>
  </si>
  <si>
    <t>慈星股份</t>
  </si>
  <si>
    <t xml:space="preserve">         13.44亿</t>
  </si>
  <si>
    <t xml:space="preserve">         88.38亿</t>
  </si>
  <si>
    <t>中际装备</t>
  </si>
  <si>
    <t xml:space="preserve">          6.77亿</t>
  </si>
  <si>
    <t xml:space="preserve">         19.42亿</t>
  </si>
  <si>
    <t>吉艾科技</t>
  </si>
  <si>
    <t xml:space="preserve">         17.53亿</t>
  </si>
  <si>
    <t>宜通世纪</t>
  </si>
  <si>
    <t xml:space="preserve">         43.17亿</t>
  </si>
  <si>
    <t>任子行</t>
  </si>
  <si>
    <t xml:space="preserve">         10.74亿</t>
  </si>
  <si>
    <t>邦讯技术</t>
  </si>
  <si>
    <t xml:space="preserve">         13.68亿</t>
  </si>
  <si>
    <t xml:space="preserve">         34.23亿</t>
  </si>
  <si>
    <t>天山生物</t>
  </si>
  <si>
    <t xml:space="preserve">          8.36亿</t>
  </si>
  <si>
    <t xml:space="preserve">         18.18亿</t>
  </si>
  <si>
    <t>戴维医疗</t>
  </si>
  <si>
    <t>掌趣科技</t>
  </si>
  <si>
    <t xml:space="preserve">         86.28亿</t>
  </si>
  <si>
    <t xml:space="preserve">        205.41亿</t>
  </si>
  <si>
    <t>晶盛机电</t>
  </si>
  <si>
    <t xml:space="preserve">         32.46亿</t>
  </si>
  <si>
    <t xml:space="preserve">         97.45亿</t>
  </si>
  <si>
    <t>珈伟股份</t>
  </si>
  <si>
    <t xml:space="preserve">         14.14亿</t>
  </si>
  <si>
    <t xml:space="preserve">         36.61亿</t>
  </si>
  <si>
    <t>博晖创新</t>
  </si>
  <si>
    <t xml:space="preserve">         12.88亿</t>
  </si>
  <si>
    <t>麦捷科技</t>
  </si>
  <si>
    <t xml:space="preserve">          6.36亿</t>
  </si>
  <si>
    <t xml:space="preserve">         14.76亿</t>
  </si>
  <si>
    <t>海达股份</t>
  </si>
  <si>
    <t xml:space="preserve">         11.68亿</t>
  </si>
  <si>
    <t>同大股份</t>
  </si>
  <si>
    <t xml:space="preserve">          7.65亿</t>
  </si>
  <si>
    <t>硕贝德</t>
  </si>
  <si>
    <t xml:space="preserve">         45.81亿</t>
  </si>
  <si>
    <t>华灿光电</t>
  </si>
  <si>
    <t xml:space="preserve">         62.51亿</t>
  </si>
  <si>
    <t>旋极信息</t>
  </si>
  <si>
    <t xml:space="preserve">         79.59亿</t>
  </si>
  <si>
    <t>德威新材</t>
  </si>
  <si>
    <t xml:space="preserve">         16.19亿</t>
  </si>
  <si>
    <t xml:space="preserve">         27.36亿</t>
  </si>
  <si>
    <t>凯利泰</t>
  </si>
  <si>
    <t xml:space="preserve">         15.69亿</t>
  </si>
  <si>
    <t>中颖电子</t>
  </si>
  <si>
    <t xml:space="preserve">         18.22亿</t>
  </si>
  <si>
    <t xml:space="preserve">         26.39亿</t>
  </si>
  <si>
    <t>宜安科技</t>
  </si>
  <si>
    <t xml:space="preserve">          7.97亿</t>
  </si>
  <si>
    <t xml:space="preserve">         31.89亿</t>
  </si>
  <si>
    <t>海伦钢琴</t>
  </si>
  <si>
    <t xml:space="preserve">         12.17亿</t>
  </si>
  <si>
    <t xml:space="preserve">         23.78亿</t>
  </si>
  <si>
    <t>华虹计通</t>
  </si>
  <si>
    <t xml:space="preserve">         17.50亿</t>
  </si>
  <si>
    <t>苏大维格</t>
  </si>
  <si>
    <t xml:space="preserve">         32.13亿</t>
  </si>
  <si>
    <t>天壕节能</t>
  </si>
  <si>
    <t>兆日科技</t>
  </si>
  <si>
    <t xml:space="preserve">         28.55亿</t>
  </si>
  <si>
    <t>津膜科技</t>
  </si>
  <si>
    <t xml:space="preserve">         24.71亿</t>
  </si>
  <si>
    <t xml:space="preserve">         61.41亿</t>
  </si>
  <si>
    <t>迪森股份</t>
  </si>
  <si>
    <t xml:space="preserve">         43.66亿</t>
  </si>
  <si>
    <t>新文化</t>
  </si>
  <si>
    <t xml:space="preserve">         19.52亿</t>
  </si>
  <si>
    <t xml:space="preserve">         50.65亿</t>
  </si>
  <si>
    <t>银邦股份</t>
  </si>
  <si>
    <t xml:space="preserve">         27.69亿</t>
  </si>
  <si>
    <t xml:space="preserve">         69.38亿</t>
  </si>
  <si>
    <t>开元仪器</t>
  </si>
  <si>
    <t xml:space="preserve">          9.49亿</t>
  </si>
  <si>
    <t>润和软件</t>
  </si>
  <si>
    <t xml:space="preserve">         26.09亿</t>
  </si>
  <si>
    <t xml:space="preserve">         55.36亿</t>
  </si>
  <si>
    <t>科恒股份</t>
  </si>
  <si>
    <t xml:space="preserve">         15.38亿</t>
  </si>
  <si>
    <t>麦迪电气</t>
  </si>
  <si>
    <t xml:space="preserve">          7.43亿</t>
  </si>
  <si>
    <t xml:space="preserve">         18.77亿</t>
  </si>
  <si>
    <t>天银机电</t>
  </si>
  <si>
    <t xml:space="preserve">         11.64亿</t>
  </si>
  <si>
    <t xml:space="preserve">         35.02亿</t>
  </si>
  <si>
    <t>联创节能</t>
  </si>
  <si>
    <t xml:space="preserve">          8.77亿</t>
  </si>
  <si>
    <t>太空板业</t>
  </si>
  <si>
    <t xml:space="preserve">          8.47亿</t>
  </si>
  <si>
    <t>红宇新材</t>
  </si>
  <si>
    <t xml:space="preserve">         11.86亿</t>
  </si>
  <si>
    <t xml:space="preserve">         18.42亿</t>
  </si>
  <si>
    <t>南大光电</t>
  </si>
  <si>
    <t xml:space="preserve">         11.70亿</t>
  </si>
  <si>
    <t xml:space="preserve">         32.83亿</t>
  </si>
  <si>
    <t>泰格医药</t>
  </si>
  <si>
    <t xml:space="preserve">         37.84亿</t>
  </si>
  <si>
    <t>长亮科技</t>
  </si>
  <si>
    <t xml:space="preserve">          7.05亿</t>
  </si>
  <si>
    <t xml:space="preserve">         30.52亿</t>
  </si>
  <si>
    <t>金卡股份</t>
  </si>
  <si>
    <t xml:space="preserve">         11.55亿</t>
  </si>
  <si>
    <t>华鹏飞</t>
  </si>
  <si>
    <t xml:space="preserve">          4.75亿</t>
  </si>
  <si>
    <t>永贵电器</t>
  </si>
  <si>
    <t xml:space="preserve">         14.37亿</t>
  </si>
  <si>
    <t xml:space="preserve">         51.81亿</t>
  </si>
  <si>
    <t>北信源</t>
  </si>
  <si>
    <t xml:space="preserve">         29.88亿</t>
  </si>
  <si>
    <t>东土科技</t>
  </si>
  <si>
    <t xml:space="preserve">         10.95亿</t>
  </si>
  <si>
    <t xml:space="preserve">         21.08亿</t>
  </si>
  <si>
    <t>东华测试</t>
  </si>
  <si>
    <t xml:space="preserve">          5.88亿</t>
  </si>
  <si>
    <t>蒙草抗旱</t>
  </si>
  <si>
    <t xml:space="preserve">         30.93亿</t>
  </si>
  <si>
    <t xml:space="preserve">         67.64亿</t>
  </si>
  <si>
    <t>光一科技</t>
  </si>
  <si>
    <t>我武生物</t>
  </si>
  <si>
    <t xml:space="preserve">         13.92亿</t>
  </si>
  <si>
    <t xml:space="preserve">         55.69亿</t>
  </si>
  <si>
    <t>楚天科技</t>
  </si>
  <si>
    <t xml:space="preserve">         13.19亿</t>
  </si>
  <si>
    <t xml:space="preserve">         52.76亿</t>
  </si>
  <si>
    <t>全通教育</t>
  </si>
  <si>
    <t xml:space="preserve">         23.11亿</t>
  </si>
  <si>
    <t xml:space="preserve">         91.85亿</t>
  </si>
  <si>
    <t>炬华科技</t>
  </si>
  <si>
    <t xml:space="preserve">         14.21亿</t>
  </si>
  <si>
    <t xml:space="preserve">         56.68亿</t>
  </si>
  <si>
    <t>天保重装</t>
  </si>
  <si>
    <t xml:space="preserve">          6.72亿</t>
  </si>
  <si>
    <t xml:space="preserve">         26.86亿</t>
  </si>
  <si>
    <t>博腾股份</t>
  </si>
  <si>
    <t xml:space="preserve">         18.90亿</t>
  </si>
  <si>
    <t>恒华科技</t>
  </si>
  <si>
    <t xml:space="preserve">          7.21亿</t>
  </si>
  <si>
    <t xml:space="preserve">         28.84亿</t>
  </si>
  <si>
    <t>创意信息</t>
  </si>
  <si>
    <t xml:space="preserve">          6.62亿</t>
  </si>
  <si>
    <t xml:space="preserve">         26.47亿</t>
  </si>
  <si>
    <t>东方网力</t>
  </si>
  <si>
    <t xml:space="preserve">         25.07亿</t>
  </si>
  <si>
    <t xml:space="preserve">        100.28亿</t>
  </si>
  <si>
    <t>汇金股份</t>
  </si>
  <si>
    <t xml:space="preserve">          9.94亿</t>
  </si>
  <si>
    <t>绿盟科技</t>
  </si>
  <si>
    <t xml:space="preserve">         20.73亿</t>
  </si>
  <si>
    <t xml:space="preserve">         82.94亿</t>
  </si>
  <si>
    <t>安控科技</t>
  </si>
  <si>
    <t xml:space="preserve">          7.81亿</t>
  </si>
  <si>
    <t xml:space="preserve">         28.23亿</t>
  </si>
  <si>
    <t>汇中股份</t>
  </si>
  <si>
    <t>欣泰电气</t>
  </si>
  <si>
    <t xml:space="preserve">          5.80亿</t>
  </si>
  <si>
    <t xml:space="preserve">         23.20亿</t>
  </si>
  <si>
    <t>扬杰科技</t>
  </si>
  <si>
    <t xml:space="preserve">         11.93亿</t>
  </si>
  <si>
    <t xml:space="preserve">         47.71亿</t>
  </si>
  <si>
    <t>鹏翎股份</t>
  </si>
  <si>
    <t xml:space="preserve">          8.52亿</t>
  </si>
  <si>
    <t>易事特</t>
  </si>
  <si>
    <t xml:space="preserve">         66.50亿</t>
  </si>
  <si>
    <t>赢时胜</t>
  </si>
  <si>
    <t xml:space="preserve">          8.23亿</t>
  </si>
  <si>
    <t>鼎捷软件</t>
  </si>
  <si>
    <t xml:space="preserve">         10.80亿</t>
  </si>
  <si>
    <t xml:space="preserve">         42.77亿</t>
  </si>
  <si>
    <t>东方通</t>
  </si>
  <si>
    <t xml:space="preserve">          9.54亿</t>
  </si>
  <si>
    <t>安硕信息</t>
  </si>
  <si>
    <t>溢多利</t>
  </si>
  <si>
    <t xml:space="preserve">          7.20亿</t>
  </si>
  <si>
    <t xml:space="preserve">         28.81亿</t>
  </si>
  <si>
    <t>斯莱克</t>
  </si>
  <si>
    <t xml:space="preserve">          8.20亿</t>
  </si>
  <si>
    <t xml:space="preserve">         32.80亿</t>
  </si>
  <si>
    <t>光环新网</t>
  </si>
  <si>
    <t xml:space="preserve">         13.30亿</t>
  </si>
  <si>
    <t>三联虹普</t>
  </si>
  <si>
    <t xml:space="preserve">          8.26亿</t>
  </si>
  <si>
    <t xml:space="preserve">         33.03亿</t>
  </si>
  <si>
    <t>雪浪环境</t>
  </si>
  <si>
    <t xml:space="preserve">          9.71亿</t>
  </si>
  <si>
    <t xml:space="preserve">         38.82亿</t>
  </si>
  <si>
    <t>飞天诚信</t>
  </si>
  <si>
    <t xml:space="preserve">         24.97亿</t>
  </si>
  <si>
    <t xml:space="preserve">        118.57亿</t>
  </si>
  <si>
    <t>富邦股份</t>
  </si>
  <si>
    <t xml:space="preserve">          6.46亿</t>
  </si>
  <si>
    <t>国祯环保</t>
  </si>
  <si>
    <t xml:space="preserve">          7.69亿</t>
  </si>
  <si>
    <t xml:space="preserve">         30.74亿</t>
  </si>
  <si>
    <t>艾比森</t>
  </si>
  <si>
    <t xml:space="preserve">         65.75亿</t>
  </si>
  <si>
    <t>天华超净</t>
  </si>
  <si>
    <t xml:space="preserve">          5.65亿</t>
  </si>
  <si>
    <t xml:space="preserve">         28.29亿</t>
  </si>
  <si>
    <t>康跃科技</t>
  </si>
  <si>
    <t xml:space="preserve">          4.86亿</t>
  </si>
  <si>
    <t xml:space="preserve">         19.44亿</t>
  </si>
  <si>
    <t>浦发银行</t>
  </si>
  <si>
    <t xml:space="preserve">       1447.51亿</t>
  </si>
  <si>
    <t xml:space="preserve">       1809.39亿</t>
  </si>
  <si>
    <t>白云机场</t>
  </si>
  <si>
    <t xml:space="preserve">         92.12亿</t>
  </si>
  <si>
    <t>武钢股份</t>
  </si>
  <si>
    <t xml:space="preserve">        227.11亿</t>
  </si>
  <si>
    <t>东风汽车</t>
  </si>
  <si>
    <t xml:space="preserve">         97.60亿</t>
  </si>
  <si>
    <t>中国国贸</t>
  </si>
  <si>
    <t xml:space="preserve">        113.52亿</t>
  </si>
  <si>
    <t>首创股份</t>
  </si>
  <si>
    <t xml:space="preserve">        159.72亿</t>
  </si>
  <si>
    <t>上海机场</t>
  </si>
  <si>
    <t xml:space="preserve">        158.44亿</t>
  </si>
  <si>
    <t xml:space="preserve">        279.22亿</t>
  </si>
  <si>
    <t>包钢股份</t>
  </si>
  <si>
    <t xml:space="preserve">        400.63亿</t>
  </si>
  <si>
    <t xml:space="preserve">        407.33亿</t>
  </si>
  <si>
    <t>华能国际</t>
  </si>
  <si>
    <t xml:space="preserve">        666.75亿</t>
  </si>
  <si>
    <t>皖通高速</t>
  </si>
  <si>
    <t xml:space="preserve">         53.50亿</t>
  </si>
  <si>
    <t>华夏银行</t>
  </si>
  <si>
    <t xml:space="preserve">        559.89亿</t>
  </si>
  <si>
    <t xml:space="preserve">        768.47亿</t>
  </si>
  <si>
    <t>民生银行</t>
  </si>
  <si>
    <t xml:space="preserve">       1734.79亿</t>
  </si>
  <si>
    <t>日照港</t>
  </si>
  <si>
    <t xml:space="preserve">         90.76亿</t>
  </si>
  <si>
    <t xml:space="preserve">        106.11亿</t>
  </si>
  <si>
    <t>上港集团</t>
  </si>
  <si>
    <t xml:space="preserve">       1206.02亿</t>
  </si>
  <si>
    <t>宝钢股份</t>
  </si>
  <si>
    <t xml:space="preserve">        750.59亿</t>
  </si>
  <si>
    <t xml:space="preserve">        752.76亿</t>
  </si>
  <si>
    <t>中原高速</t>
  </si>
  <si>
    <t xml:space="preserve">         55.73亿</t>
  </si>
  <si>
    <t>上海电力</t>
  </si>
  <si>
    <t xml:space="preserve">        102.71亿</t>
  </si>
  <si>
    <t>山东钢铁</t>
  </si>
  <si>
    <t xml:space="preserve">         97.78亿</t>
  </si>
  <si>
    <t xml:space="preserve">        117.78亿</t>
  </si>
  <si>
    <t>浙能电力</t>
  </si>
  <si>
    <t xml:space="preserve">         43.09亿</t>
  </si>
  <si>
    <t xml:space="preserve">        645.12亿</t>
  </si>
  <si>
    <t>中海发展</t>
  </si>
  <si>
    <t xml:space="preserve">        119.34亿</t>
  </si>
  <si>
    <t>华电国际</t>
  </si>
  <si>
    <t xml:space="preserve">        229.91亿</t>
  </si>
  <si>
    <t xml:space="preserve">        288.41亿</t>
  </si>
  <si>
    <t>中国石化</t>
  </si>
  <si>
    <t xml:space="preserve">       5203.08亿</t>
  </si>
  <si>
    <t>南方航空</t>
  </si>
  <si>
    <t xml:space="preserve">        186.10亿</t>
  </si>
  <si>
    <t>中信证券</t>
  </si>
  <si>
    <t xml:space="preserve">       1318.11亿</t>
  </si>
  <si>
    <t xml:space="preserve">       1321.32亿</t>
  </si>
  <si>
    <t>三一重工</t>
  </si>
  <si>
    <t xml:space="preserve">        433.60亿</t>
  </si>
  <si>
    <t xml:space="preserve">        434.90亿</t>
  </si>
  <si>
    <t>福建高速</t>
  </si>
  <si>
    <t xml:space="preserve">         66.96亿</t>
  </si>
  <si>
    <t>楚天高速</t>
  </si>
  <si>
    <t xml:space="preserve">         35.49亿</t>
  </si>
  <si>
    <t>招商银行</t>
  </si>
  <si>
    <t xml:space="preserve">       2227.93亿</t>
  </si>
  <si>
    <t>歌华有线</t>
  </si>
  <si>
    <t xml:space="preserve">        143.89亿</t>
  </si>
  <si>
    <t>哈飞股份</t>
  </si>
  <si>
    <t xml:space="preserve">        115.68亿</t>
  </si>
  <si>
    <t xml:space="preserve">        202.13亿</t>
  </si>
  <si>
    <t>四川路桥</t>
  </si>
  <si>
    <t xml:space="preserve">         42.57亿</t>
  </si>
  <si>
    <t xml:space="preserve">        117.47亿</t>
  </si>
  <si>
    <t>保利地产</t>
  </si>
  <si>
    <t xml:space="preserve">        621.01亿</t>
  </si>
  <si>
    <t>中国联通</t>
  </si>
  <si>
    <t xml:space="preserve">        756.72亿</t>
  </si>
  <si>
    <t>宁波联合</t>
  </si>
  <si>
    <t xml:space="preserve">         29.01亿</t>
  </si>
  <si>
    <t>浙江广厦</t>
  </si>
  <si>
    <t>中江地产</t>
  </si>
  <si>
    <t xml:space="preserve">         39.50亿</t>
  </si>
  <si>
    <t>黄山旅游</t>
  </si>
  <si>
    <t xml:space="preserve">         16.82亿</t>
  </si>
  <si>
    <t xml:space="preserve">         67.40亿</t>
  </si>
  <si>
    <t>华润万东</t>
  </si>
  <si>
    <t xml:space="preserve">         28.90亿</t>
  </si>
  <si>
    <t>中国医药</t>
  </si>
  <si>
    <t xml:space="preserve">        119.40亿</t>
  </si>
  <si>
    <t xml:space="preserve">        136.69亿</t>
  </si>
  <si>
    <t>象屿股份</t>
  </si>
  <si>
    <t xml:space="preserve">         24.17亿</t>
  </si>
  <si>
    <t xml:space="preserve">         71.62亿</t>
  </si>
  <si>
    <t>五矿发展</t>
  </si>
  <si>
    <t xml:space="preserve">        127.24亿</t>
  </si>
  <si>
    <t>古越龙山</t>
  </si>
  <si>
    <t xml:space="preserve">         71.07亿</t>
  </si>
  <si>
    <t>海信电器</t>
  </si>
  <si>
    <t xml:space="preserve">        135.95亿</t>
  </si>
  <si>
    <t>中纺投资</t>
  </si>
  <si>
    <t>华润双鹤</t>
  </si>
  <si>
    <t xml:space="preserve">        104.56亿</t>
  </si>
  <si>
    <t>皖维高新</t>
  </si>
  <si>
    <t>南京高科</t>
  </si>
  <si>
    <t xml:space="preserve">         63.60亿</t>
  </si>
  <si>
    <t>宇通客车</t>
  </si>
  <si>
    <t xml:space="preserve">        240.88亿</t>
  </si>
  <si>
    <t xml:space="preserve">        245.94亿</t>
  </si>
  <si>
    <t>冠城大通</t>
  </si>
  <si>
    <t xml:space="preserve">         74.77亿</t>
  </si>
  <si>
    <t>葛洲坝</t>
  </si>
  <si>
    <t xml:space="preserve">        151.36亿</t>
  </si>
  <si>
    <t xml:space="preserve">        199.85亿</t>
  </si>
  <si>
    <t>银鸽投资</t>
  </si>
  <si>
    <t>浙江富润</t>
  </si>
  <si>
    <t xml:space="preserve">         26.31亿</t>
  </si>
  <si>
    <t>凤凰光学</t>
  </si>
  <si>
    <t xml:space="preserve">         36.52亿</t>
  </si>
  <si>
    <t>*ST钢构</t>
  </si>
  <si>
    <t xml:space="preserve">         58.22亿</t>
  </si>
  <si>
    <t>上海梅林</t>
  </si>
  <si>
    <t>中达股份</t>
  </si>
  <si>
    <t>*ST新业</t>
  </si>
  <si>
    <t xml:space="preserve">         27.24亿</t>
  </si>
  <si>
    <t>青鸟华光</t>
  </si>
  <si>
    <t>宋都股份</t>
  </si>
  <si>
    <t xml:space="preserve">         24.57亿</t>
  </si>
  <si>
    <t xml:space="preserve">         55.09亿</t>
  </si>
  <si>
    <t>澄星股份</t>
  </si>
  <si>
    <t xml:space="preserve">         44.79亿</t>
  </si>
  <si>
    <t>人福医药</t>
  </si>
  <si>
    <t xml:space="preserve">        141.66亿</t>
  </si>
  <si>
    <t xml:space="preserve">        148.06亿</t>
  </si>
  <si>
    <t>金花股份</t>
  </si>
  <si>
    <t xml:space="preserve">         40.70亿</t>
  </si>
  <si>
    <t>东风科技</t>
  </si>
  <si>
    <t>海泰发展</t>
  </si>
  <si>
    <t xml:space="preserve">         33.77亿</t>
  </si>
  <si>
    <t xml:space="preserve">         34.63亿</t>
  </si>
  <si>
    <t>博信股份</t>
  </si>
  <si>
    <t xml:space="preserve">         20.61亿</t>
  </si>
  <si>
    <t xml:space="preserve">         20.98亿</t>
  </si>
  <si>
    <t>中葡股份</t>
  </si>
  <si>
    <t>同仁堂</t>
  </si>
  <si>
    <t xml:space="preserve">        249.38亿</t>
  </si>
  <si>
    <t>东方金钰</t>
  </si>
  <si>
    <t xml:space="preserve">         74.79亿</t>
  </si>
  <si>
    <t>中视传媒</t>
  </si>
  <si>
    <t>特变电工</t>
  </si>
  <si>
    <t xml:space="preserve">        318.81亿</t>
  </si>
  <si>
    <t xml:space="preserve">        326.28亿</t>
  </si>
  <si>
    <t>啤酒花</t>
  </si>
  <si>
    <t xml:space="preserve">         29.91亿</t>
  </si>
  <si>
    <t>ST明科</t>
  </si>
  <si>
    <t>禾嘉股份</t>
  </si>
  <si>
    <t>大名城</t>
  </si>
  <si>
    <t xml:space="preserve">         15.59亿</t>
  </si>
  <si>
    <t xml:space="preserve">        118.20亿</t>
  </si>
  <si>
    <t>哈高科</t>
  </si>
  <si>
    <t xml:space="preserve">         22.25亿</t>
  </si>
  <si>
    <t>云天化</t>
  </si>
  <si>
    <t xml:space="preserve">        106.02亿</t>
  </si>
  <si>
    <t>开创国际</t>
  </si>
  <si>
    <t xml:space="preserve">         14.36亿</t>
  </si>
  <si>
    <t xml:space="preserve">         25.20亿</t>
  </si>
  <si>
    <t>广州发展</t>
  </si>
  <si>
    <t xml:space="preserve">        127.72亿</t>
  </si>
  <si>
    <t xml:space="preserve">        142.85亿</t>
  </si>
  <si>
    <t>林海股份</t>
  </si>
  <si>
    <t>同方股份</t>
  </si>
  <si>
    <t xml:space="preserve">        215.51亿</t>
  </si>
  <si>
    <t xml:space="preserve">        228.80亿</t>
  </si>
  <si>
    <t>明星电力</t>
  </si>
  <si>
    <t xml:space="preserve">         27.68亿</t>
  </si>
  <si>
    <t>青山纸业</t>
  </si>
  <si>
    <t xml:space="preserve">         30.58亿</t>
  </si>
  <si>
    <t>上汽集团</t>
  </si>
  <si>
    <t xml:space="preserve">       1722.79亿</t>
  </si>
  <si>
    <t xml:space="preserve">       2055.17亿</t>
  </si>
  <si>
    <t>永鼎股份</t>
  </si>
  <si>
    <t xml:space="preserve">         33.83亿</t>
  </si>
  <si>
    <t>重庆路桥</t>
  </si>
  <si>
    <t xml:space="preserve">         40.12亿</t>
  </si>
  <si>
    <t>美尔雅</t>
  </si>
  <si>
    <t>亚盛集团</t>
  </si>
  <si>
    <t xml:space="preserve">        138.62亿</t>
  </si>
  <si>
    <t>国金证券</t>
  </si>
  <si>
    <t xml:space="preserve">        290.39亿</t>
  </si>
  <si>
    <t>中科英华</t>
  </si>
  <si>
    <t xml:space="preserve">         73.39亿</t>
  </si>
  <si>
    <t>包钢稀土</t>
  </si>
  <si>
    <t xml:space="preserve">        337.17亿</t>
  </si>
  <si>
    <t xml:space="preserve">        551.98亿</t>
  </si>
  <si>
    <t>天成控股</t>
  </si>
  <si>
    <t xml:space="preserve">         81.93亿</t>
  </si>
  <si>
    <t>浙江东日</t>
  </si>
  <si>
    <t>东睦股份</t>
  </si>
  <si>
    <t xml:space="preserve">         21.85亿</t>
  </si>
  <si>
    <t xml:space="preserve">         49.64亿</t>
  </si>
  <si>
    <t>东方航空</t>
  </si>
  <si>
    <t xml:space="preserve">        221.79亿</t>
  </si>
  <si>
    <t xml:space="preserve">        261.63亿</t>
  </si>
  <si>
    <t>三峡水利</t>
  </si>
  <si>
    <t xml:space="preserve">         29.80亿</t>
  </si>
  <si>
    <t>西宁特钢</t>
  </si>
  <si>
    <t xml:space="preserve">         35.13亿</t>
  </si>
  <si>
    <t>中国卫星</t>
  </si>
  <si>
    <t xml:space="preserve">        275.87亿</t>
  </si>
  <si>
    <t>长江投资</t>
  </si>
  <si>
    <t xml:space="preserve">         52.35亿</t>
  </si>
  <si>
    <t>浙江东方</t>
  </si>
  <si>
    <t xml:space="preserve">         63.79亿</t>
  </si>
  <si>
    <t>郑州煤电</t>
  </si>
  <si>
    <t xml:space="preserve">         31.52亿</t>
  </si>
  <si>
    <t xml:space="preserve">         50.87亿</t>
  </si>
  <si>
    <t>宏图高科</t>
  </si>
  <si>
    <t xml:space="preserve">         64.57亿</t>
  </si>
  <si>
    <t>兰花科创</t>
  </si>
  <si>
    <t xml:space="preserve">         97.79亿</t>
  </si>
  <si>
    <t>铁龙物流</t>
  </si>
  <si>
    <t>铁路</t>
  </si>
  <si>
    <t>杭钢股份</t>
  </si>
  <si>
    <t xml:space="preserve">         39.01亿</t>
  </si>
  <si>
    <t>金健米业</t>
  </si>
  <si>
    <t xml:space="preserve">         28.64亿</t>
  </si>
  <si>
    <t>弘业股份</t>
  </si>
  <si>
    <t xml:space="preserve">         26.43亿</t>
  </si>
  <si>
    <t>太极集团</t>
  </si>
  <si>
    <t xml:space="preserve">         57.76亿</t>
  </si>
  <si>
    <t>波导股份</t>
  </si>
  <si>
    <t xml:space="preserve">         42.39亿</t>
  </si>
  <si>
    <t>岷江水电</t>
  </si>
  <si>
    <t xml:space="preserve">         25.41亿</t>
  </si>
  <si>
    <t>重庆啤酒</t>
  </si>
  <si>
    <t xml:space="preserve">         76.03亿</t>
  </si>
  <si>
    <t>东湖高新</t>
  </si>
  <si>
    <t>乐凯胶片</t>
  </si>
  <si>
    <t>道博股份</t>
  </si>
  <si>
    <t xml:space="preserve">         17.68亿</t>
  </si>
  <si>
    <t>浪莎股份</t>
  </si>
  <si>
    <t>中青旅</t>
  </si>
  <si>
    <t xml:space="preserve">         99.85亿</t>
  </si>
  <si>
    <t xml:space="preserve">        116.01亿</t>
  </si>
  <si>
    <t>西部资源</t>
  </si>
  <si>
    <t xml:space="preserve">        113.10亿</t>
  </si>
  <si>
    <t xml:space="preserve">        118.88亿</t>
  </si>
  <si>
    <t>兴发集团</t>
  </si>
  <si>
    <t xml:space="preserve">         48.54亿</t>
  </si>
  <si>
    <t xml:space="preserve">         63.32亿</t>
  </si>
  <si>
    <t>金发科技</t>
  </si>
  <si>
    <t xml:space="preserve">        134.91亿</t>
  </si>
  <si>
    <t>*ST国创</t>
  </si>
  <si>
    <t xml:space="preserve">         17.03亿</t>
  </si>
  <si>
    <t>大元股份</t>
  </si>
  <si>
    <t>长春一东</t>
  </si>
  <si>
    <t>廊坊发展</t>
  </si>
  <si>
    <t xml:space="preserve">         42.12亿</t>
  </si>
  <si>
    <t>中国船舶</t>
  </si>
  <si>
    <t xml:space="preserve">        408.06亿</t>
  </si>
  <si>
    <t>航天机电</t>
  </si>
  <si>
    <t xml:space="preserve">        119.39亿</t>
  </si>
  <si>
    <t xml:space="preserve">        123.89亿</t>
  </si>
  <si>
    <t>维科精华</t>
  </si>
  <si>
    <t xml:space="preserve">         28.03亿</t>
  </si>
  <si>
    <t>建发股份</t>
  </si>
  <si>
    <t xml:space="preserve">        177.20亿</t>
  </si>
  <si>
    <t>宝硕股份</t>
  </si>
  <si>
    <t xml:space="preserve">         34.57亿</t>
  </si>
  <si>
    <t>华升股份</t>
  </si>
  <si>
    <t xml:space="preserve">         24.45亿</t>
  </si>
  <si>
    <t>永泰能源</t>
  </si>
  <si>
    <t xml:space="preserve">        159.69亿</t>
  </si>
  <si>
    <t xml:space="preserve">        187.36亿</t>
  </si>
  <si>
    <t>中体产业</t>
  </si>
  <si>
    <t xml:space="preserve">         92.31亿</t>
  </si>
  <si>
    <t xml:space="preserve">        118.46亿</t>
  </si>
  <si>
    <t>大龙地产</t>
  </si>
  <si>
    <t xml:space="preserve">         29.22亿</t>
  </si>
  <si>
    <t>巨化股份</t>
  </si>
  <si>
    <t xml:space="preserve">         99.61亿</t>
  </si>
  <si>
    <t xml:space="preserve">        100.69亿</t>
  </si>
  <si>
    <t>天坛生物</t>
  </si>
  <si>
    <t xml:space="preserve">        116.86亿</t>
  </si>
  <si>
    <t>香江控股</t>
  </si>
  <si>
    <t xml:space="preserve">         40.62亿</t>
  </si>
  <si>
    <t>福建南纸</t>
  </si>
  <si>
    <t xml:space="preserve">         27.41亿</t>
  </si>
  <si>
    <t>新日恒力</t>
  </si>
  <si>
    <t xml:space="preserve">         15.85亿</t>
  </si>
  <si>
    <t>福田汽车</t>
  </si>
  <si>
    <t xml:space="preserve">        144.67亿</t>
  </si>
  <si>
    <t xml:space="preserve">        160.15亿</t>
  </si>
  <si>
    <t>联美控股</t>
  </si>
  <si>
    <t>武汉控股</t>
  </si>
  <si>
    <t xml:space="preserve">         41.25亿</t>
  </si>
  <si>
    <t xml:space="preserve">         66.34亿</t>
  </si>
  <si>
    <t>太原重工</t>
  </si>
  <si>
    <t xml:space="preserve">         89.93亿</t>
  </si>
  <si>
    <t>上海建工</t>
  </si>
  <si>
    <t xml:space="preserve">         53.33亿</t>
  </si>
  <si>
    <t xml:space="preserve">        174.98亿</t>
  </si>
  <si>
    <t>上海贝岭</t>
  </si>
  <si>
    <t xml:space="preserve">         68.93亿</t>
  </si>
  <si>
    <t>黄河旋风</t>
  </si>
  <si>
    <t xml:space="preserve">         37.20亿</t>
  </si>
  <si>
    <t xml:space="preserve">         39.95亿</t>
  </si>
  <si>
    <t>卧龙地产</t>
  </si>
  <si>
    <t xml:space="preserve">         34.88亿</t>
  </si>
  <si>
    <t>美都控股</t>
  </si>
  <si>
    <t xml:space="preserve">         95.32亿</t>
  </si>
  <si>
    <t xml:space="preserve">        162.67亿</t>
  </si>
  <si>
    <t>中国玻纤</t>
  </si>
  <si>
    <t xml:space="preserve">         87.70亿</t>
  </si>
  <si>
    <t>雅戈尔</t>
  </si>
  <si>
    <t xml:space="preserve">        174.57亿</t>
  </si>
  <si>
    <t>*ST东安</t>
  </si>
  <si>
    <t>黑化股份</t>
  </si>
  <si>
    <t>瑞茂通</t>
  </si>
  <si>
    <t xml:space="preserve">         30.99亿</t>
  </si>
  <si>
    <t xml:space="preserve">        105.39亿</t>
  </si>
  <si>
    <t>S佳通</t>
  </si>
  <si>
    <t xml:space="preserve">         62.15亿</t>
  </si>
  <si>
    <t>生益科技</t>
  </si>
  <si>
    <t xml:space="preserve">        102.32亿</t>
  </si>
  <si>
    <t>光电股份</t>
  </si>
  <si>
    <t xml:space="preserve">         65.24亿</t>
  </si>
  <si>
    <t>格力地产</t>
  </si>
  <si>
    <t xml:space="preserve">         62.73亿</t>
  </si>
  <si>
    <t>莲花味精</t>
  </si>
  <si>
    <t xml:space="preserve">         32.82亿</t>
  </si>
  <si>
    <t>国中水务</t>
  </si>
  <si>
    <t xml:space="preserve">         95.05亿</t>
  </si>
  <si>
    <t>兖州煤业</t>
  </si>
  <si>
    <t xml:space="preserve">        258.41亿</t>
  </si>
  <si>
    <t>吉林森工</t>
  </si>
  <si>
    <t xml:space="preserve">         26.18亿</t>
  </si>
  <si>
    <t>锦州港</t>
  </si>
  <si>
    <t xml:space="preserve">         66.41亿</t>
  </si>
  <si>
    <t xml:space="preserve">         99.31亿</t>
  </si>
  <si>
    <t>华资实业</t>
  </si>
  <si>
    <t>长城电工</t>
  </si>
  <si>
    <t xml:space="preserve">         49.43亿</t>
  </si>
  <si>
    <t>创兴资源</t>
  </si>
  <si>
    <t>中牧股份</t>
  </si>
  <si>
    <t xml:space="preserve">         58.97亿</t>
  </si>
  <si>
    <t xml:space="preserve">         64.99亿</t>
  </si>
  <si>
    <t>复星医药</t>
  </si>
  <si>
    <t xml:space="preserve">        370.59亿</t>
  </si>
  <si>
    <t xml:space="preserve">        371.36亿</t>
  </si>
  <si>
    <t>伊力特</t>
  </si>
  <si>
    <t xml:space="preserve">         45.78亿</t>
  </si>
  <si>
    <t>大唐电信</t>
  </si>
  <si>
    <t xml:space="preserve">         72.99亿</t>
  </si>
  <si>
    <t xml:space="preserve">        142.81亿</t>
  </si>
  <si>
    <t>金种子酒</t>
  </si>
  <si>
    <t xml:space="preserve">         53.08亿</t>
  </si>
  <si>
    <t>江苏吴中</t>
  </si>
  <si>
    <t xml:space="preserve">         62.65亿</t>
  </si>
  <si>
    <t>金宇集团</t>
  </si>
  <si>
    <t xml:space="preserve">         91.24亿</t>
  </si>
  <si>
    <t>哈空调</t>
  </si>
  <si>
    <t xml:space="preserve">         26.80亿</t>
  </si>
  <si>
    <t>福日电子</t>
  </si>
  <si>
    <t xml:space="preserve">         25.40亿</t>
  </si>
  <si>
    <t xml:space="preserve">         29.97亿</t>
  </si>
  <si>
    <t>有研新材</t>
  </si>
  <si>
    <t xml:space="preserve">         57.51亿</t>
  </si>
  <si>
    <t xml:space="preserve">        110.89亿</t>
  </si>
  <si>
    <t>安彩高科</t>
  </si>
  <si>
    <t xml:space="preserve">         33.67亿</t>
  </si>
  <si>
    <t>新湖中宝</t>
  </si>
  <si>
    <t xml:space="preserve">        237.79亿</t>
  </si>
  <si>
    <t xml:space="preserve">        237.84亿</t>
  </si>
  <si>
    <t>罗顿发展</t>
  </si>
  <si>
    <t>紫江企业</t>
  </si>
  <si>
    <t xml:space="preserve">         65.66亿</t>
  </si>
  <si>
    <t>西藏药业</t>
  </si>
  <si>
    <t xml:space="preserve">         32.40亿</t>
  </si>
  <si>
    <t>江泉实业</t>
  </si>
  <si>
    <t>亚星客车</t>
  </si>
  <si>
    <t>长春经开</t>
  </si>
  <si>
    <t>浙江医药</t>
  </si>
  <si>
    <t xml:space="preserve">         98.29亿</t>
  </si>
  <si>
    <t>秦岭水泥</t>
  </si>
  <si>
    <t xml:space="preserve">         54.05亿</t>
  </si>
  <si>
    <t>全柴动力</t>
  </si>
  <si>
    <t>南山铝业</t>
  </si>
  <si>
    <t xml:space="preserve">        130.56亿</t>
  </si>
  <si>
    <t>江苏阳光</t>
  </si>
  <si>
    <t>海南航空</t>
  </si>
  <si>
    <t xml:space="preserve">        242.43亿</t>
  </si>
  <si>
    <t>太龙药业</t>
  </si>
  <si>
    <t>鲁商置业</t>
  </si>
  <si>
    <t xml:space="preserve">         41.24亿</t>
  </si>
  <si>
    <t>天津松江</t>
  </si>
  <si>
    <t xml:space="preserve">         46.30亿</t>
  </si>
  <si>
    <t xml:space="preserve">         46.92亿</t>
  </si>
  <si>
    <t>升华拜克</t>
  </si>
  <si>
    <t xml:space="preserve">         34.31亿</t>
  </si>
  <si>
    <t>赤天化</t>
  </si>
  <si>
    <t>*ST昌九</t>
  </si>
  <si>
    <t xml:space="preserve">         25.75亿</t>
  </si>
  <si>
    <t>青岛碱业</t>
  </si>
  <si>
    <t xml:space="preserve">         23.95亿</t>
  </si>
  <si>
    <t>沧州大化</t>
  </si>
  <si>
    <t>凌钢股份</t>
  </si>
  <si>
    <t xml:space="preserve">         27.09亿</t>
  </si>
  <si>
    <t>金鹰股份</t>
  </si>
  <si>
    <t xml:space="preserve">         21.48亿</t>
  </si>
  <si>
    <t>大杨创世</t>
  </si>
  <si>
    <t>山水文化</t>
  </si>
  <si>
    <t>民丰特纸</t>
  </si>
  <si>
    <t xml:space="preserve">         25.54亿</t>
  </si>
  <si>
    <t>桂冠电力</t>
  </si>
  <si>
    <t xml:space="preserve">         39.60亿</t>
  </si>
  <si>
    <t xml:space="preserve">         80.04亿</t>
  </si>
  <si>
    <t>铜峰电子</t>
  </si>
  <si>
    <t>海南椰岛</t>
  </si>
  <si>
    <t xml:space="preserve">         31.21亿</t>
  </si>
  <si>
    <t xml:space="preserve">         31.64亿</t>
  </si>
  <si>
    <t>云南城投</t>
  </si>
  <si>
    <t xml:space="preserve">         43.15亿</t>
  </si>
  <si>
    <t>华业地产</t>
  </si>
  <si>
    <t>时代万恒</t>
  </si>
  <si>
    <t xml:space="preserve">         14.92亿</t>
  </si>
  <si>
    <t>中昌海运</t>
  </si>
  <si>
    <t>青海华鼎</t>
  </si>
  <si>
    <t xml:space="preserve">         21.53亿</t>
  </si>
  <si>
    <t>万通地产</t>
  </si>
  <si>
    <t xml:space="preserve">         41.37亿</t>
  </si>
  <si>
    <t>*ST成城</t>
  </si>
  <si>
    <t>延长化建</t>
  </si>
  <si>
    <t xml:space="preserve">         34.83亿</t>
  </si>
  <si>
    <t xml:space="preserve">         39.32亿</t>
  </si>
  <si>
    <t>两面针</t>
  </si>
  <si>
    <t>南纺股份</t>
  </si>
  <si>
    <t xml:space="preserve">         20.95亿</t>
  </si>
  <si>
    <t>冠农股份</t>
  </si>
  <si>
    <t xml:space="preserve">         63.04亿</t>
  </si>
  <si>
    <t>中恒集团</t>
  </si>
  <si>
    <t xml:space="preserve">        142.36亿</t>
  </si>
  <si>
    <t>鑫科材料</t>
  </si>
  <si>
    <t xml:space="preserve">         65.09亿</t>
  </si>
  <si>
    <t xml:space="preserve">         90.57亿</t>
  </si>
  <si>
    <t>广汇能源</t>
  </si>
  <si>
    <t xml:space="preserve">        275.97亿</t>
  </si>
  <si>
    <t xml:space="preserve">        473.06亿</t>
  </si>
  <si>
    <t>大湖股份</t>
  </si>
  <si>
    <t xml:space="preserve">         31.17亿</t>
  </si>
  <si>
    <t>首旅酒店</t>
  </si>
  <si>
    <t>广晟有色</t>
  </si>
  <si>
    <t xml:space="preserve">        112.48亿</t>
  </si>
  <si>
    <t>凯乐科技</t>
  </si>
  <si>
    <t>阳光照明</t>
  </si>
  <si>
    <t xml:space="preserve">        104.75亿</t>
  </si>
  <si>
    <t>北方股份</t>
  </si>
  <si>
    <t xml:space="preserve">         32.35亿</t>
  </si>
  <si>
    <t>ST景谷</t>
  </si>
  <si>
    <t>北京城建</t>
  </si>
  <si>
    <t xml:space="preserve">        105.74亿</t>
  </si>
  <si>
    <t xml:space="preserve">        155.29亿</t>
  </si>
  <si>
    <t>海正药业</t>
  </si>
  <si>
    <t xml:space="preserve">        137.54亿</t>
  </si>
  <si>
    <t>国电南自</t>
  </si>
  <si>
    <t xml:space="preserve">         46.56亿</t>
  </si>
  <si>
    <t>赣粤高速</t>
  </si>
  <si>
    <t xml:space="preserve">         73.10亿</t>
  </si>
  <si>
    <t>外运发展</t>
  </si>
  <si>
    <t xml:space="preserve">         43.51亿</t>
  </si>
  <si>
    <t xml:space="preserve">        119.07亿</t>
  </si>
  <si>
    <t>航天信息</t>
  </si>
  <si>
    <t xml:space="preserve">        222.17亿</t>
  </si>
  <si>
    <t>开开实业</t>
  </si>
  <si>
    <t xml:space="preserve">         20.91亿</t>
  </si>
  <si>
    <t xml:space="preserve">         31.76亿</t>
  </si>
  <si>
    <t>华芳纺织</t>
  </si>
  <si>
    <t xml:space="preserve">         34.08亿</t>
  </si>
  <si>
    <t>武昌鱼</t>
  </si>
  <si>
    <t xml:space="preserve">         21.63亿</t>
  </si>
  <si>
    <t>恒瑞医药</t>
  </si>
  <si>
    <t xml:space="preserve">        508.27亿</t>
  </si>
  <si>
    <t xml:space="preserve">        510.91亿</t>
  </si>
  <si>
    <t>亿利能源</t>
  </si>
  <si>
    <t xml:space="preserve">        163.82亿</t>
  </si>
  <si>
    <t>东方创业</t>
  </si>
  <si>
    <t>重庆港九</t>
  </si>
  <si>
    <t xml:space="preserve">         41.02亿</t>
  </si>
  <si>
    <t>中央商场</t>
  </si>
  <si>
    <t xml:space="preserve">         72.12亿</t>
  </si>
  <si>
    <t>太化股份</t>
  </si>
  <si>
    <t>*ST南钢</t>
  </si>
  <si>
    <t xml:space="preserve">         90.31亿</t>
  </si>
  <si>
    <t>钱江水利</t>
  </si>
  <si>
    <t>浦东建设</t>
  </si>
  <si>
    <t xml:space="preserve">         65.91亿</t>
  </si>
  <si>
    <t>羚锐制药</t>
  </si>
  <si>
    <t xml:space="preserve">         39.24亿</t>
  </si>
  <si>
    <t xml:space="preserve">         45.84亿</t>
  </si>
  <si>
    <t>江苏舜天</t>
  </si>
  <si>
    <t>大恒科技</t>
  </si>
  <si>
    <t xml:space="preserve">         46.87亿</t>
  </si>
  <si>
    <t>亿阳信通</t>
  </si>
  <si>
    <t xml:space="preserve">         60.82亿</t>
  </si>
  <si>
    <t>华仪电气</t>
  </si>
  <si>
    <t xml:space="preserve">         59.49亿</t>
  </si>
  <si>
    <t>西水股份</t>
  </si>
  <si>
    <t>中电远达</t>
  </si>
  <si>
    <t xml:space="preserve">        118.86亿</t>
  </si>
  <si>
    <t xml:space="preserve">        139.47亿</t>
  </si>
  <si>
    <t>三峡新材</t>
  </si>
  <si>
    <t>鄂尔多斯</t>
  </si>
  <si>
    <t xml:space="preserve">         45.17亿</t>
  </si>
  <si>
    <t xml:space="preserve">         76.16亿</t>
  </si>
  <si>
    <t>美罗药业</t>
  </si>
  <si>
    <t xml:space="preserve">         35.24亿</t>
  </si>
  <si>
    <t>安琪酵母</t>
  </si>
  <si>
    <t xml:space="preserve">         58.57亿</t>
  </si>
  <si>
    <t xml:space="preserve">         60.36亿</t>
  </si>
  <si>
    <t>*ST新材</t>
  </si>
  <si>
    <t xml:space="preserve">         20.44亿</t>
  </si>
  <si>
    <t>维维股份</t>
  </si>
  <si>
    <t xml:space="preserve">         75.24亿</t>
  </si>
  <si>
    <t>ST南化</t>
  </si>
  <si>
    <t xml:space="preserve">         19.75亿</t>
  </si>
  <si>
    <t>标准股份</t>
  </si>
  <si>
    <t xml:space="preserve">         19.24亿</t>
  </si>
  <si>
    <t>曙光股份</t>
  </si>
  <si>
    <t>恒顺醋业</t>
  </si>
  <si>
    <t xml:space="preserve">         43.26亿</t>
  </si>
  <si>
    <t xml:space="preserve">         51.26亿</t>
  </si>
  <si>
    <t>*ST商城</t>
  </si>
  <si>
    <t xml:space="preserve">         15.93亿</t>
  </si>
  <si>
    <t>酒钢宏兴</t>
  </si>
  <si>
    <t xml:space="preserve">        174.12亿</t>
  </si>
  <si>
    <t>华泰股份</t>
  </si>
  <si>
    <t xml:space="preserve">         38.88亿</t>
  </si>
  <si>
    <t>万华化学</t>
  </si>
  <si>
    <t xml:space="preserve">        379.49亿</t>
  </si>
  <si>
    <t>桂东电力</t>
  </si>
  <si>
    <t>荣华实业</t>
  </si>
  <si>
    <t xml:space="preserve">         36.94亿</t>
  </si>
  <si>
    <t>平高电气</t>
  </si>
  <si>
    <t xml:space="preserve">        114.66亿</t>
  </si>
  <si>
    <t xml:space="preserve">        159.25亿</t>
  </si>
  <si>
    <t>农发种业</t>
  </si>
  <si>
    <t xml:space="preserve">         25.58亿</t>
  </si>
  <si>
    <t xml:space="preserve">         30.89亿</t>
  </si>
  <si>
    <t>上海家化</t>
  </si>
  <si>
    <t xml:space="preserve">        239.03亿</t>
  </si>
  <si>
    <t xml:space="preserve">        243.20亿</t>
  </si>
  <si>
    <t>洪都航空</t>
  </si>
  <si>
    <t xml:space="preserve">        179.14亿</t>
  </si>
  <si>
    <t>营口港</t>
  </si>
  <si>
    <t xml:space="preserve">        162.33亿</t>
  </si>
  <si>
    <t xml:space="preserve">        319.12亿</t>
  </si>
  <si>
    <t>巢东股份</t>
  </si>
  <si>
    <t>亚星化学</t>
  </si>
  <si>
    <t>振华重工</t>
  </si>
  <si>
    <t xml:space="preserve">        120.42亿</t>
  </si>
  <si>
    <t xml:space="preserve">        190.98亿</t>
  </si>
  <si>
    <t>国栋建设</t>
  </si>
  <si>
    <t>天房发展</t>
  </si>
  <si>
    <t xml:space="preserve">         41.13亿</t>
  </si>
  <si>
    <t>瀚蓝环境</t>
  </si>
  <si>
    <t xml:space="preserve">         77.97亿</t>
  </si>
  <si>
    <t>华发股份</t>
  </si>
  <si>
    <t>西藏天路</t>
  </si>
  <si>
    <t xml:space="preserve">         40.49亿</t>
  </si>
  <si>
    <t>大东方</t>
  </si>
  <si>
    <t xml:space="preserve">         32.66亿</t>
  </si>
  <si>
    <t>兰太实业</t>
  </si>
  <si>
    <t xml:space="preserve">         31.82亿</t>
  </si>
  <si>
    <t>中新药业</t>
  </si>
  <si>
    <t xml:space="preserve">         78.47亿</t>
  </si>
  <si>
    <t>天通股份</t>
  </si>
  <si>
    <t xml:space="preserve">         74.19亿</t>
  </si>
  <si>
    <t xml:space="preserve">         81.75亿</t>
  </si>
  <si>
    <t>宏达股份</t>
  </si>
  <si>
    <t xml:space="preserve">         61.09亿</t>
  </si>
  <si>
    <t xml:space="preserve">        120.29亿</t>
  </si>
  <si>
    <t>白云山</t>
  </si>
  <si>
    <t xml:space="preserve">        293.88亿</t>
  </si>
  <si>
    <t xml:space="preserve">        303.75亿</t>
  </si>
  <si>
    <t>长春燃气</t>
  </si>
  <si>
    <t xml:space="preserve">         38.39亿</t>
  </si>
  <si>
    <t>国机汽车</t>
  </si>
  <si>
    <t xml:space="preserve">        108.56亿</t>
  </si>
  <si>
    <t>澳柯玛</t>
  </si>
  <si>
    <t xml:space="preserve">         36.18亿</t>
  </si>
  <si>
    <t xml:space="preserve">         36.29亿</t>
  </si>
  <si>
    <t>美克家居</t>
  </si>
  <si>
    <t xml:space="preserve">         46.64亿</t>
  </si>
  <si>
    <t>西藏珠峰</t>
  </si>
  <si>
    <t xml:space="preserve">         22.93亿</t>
  </si>
  <si>
    <t>天利高新</t>
  </si>
  <si>
    <t xml:space="preserve">         36.83亿</t>
  </si>
  <si>
    <t>华夏幸福</t>
  </si>
  <si>
    <t xml:space="preserve">        140.47亿</t>
  </si>
  <si>
    <t xml:space="preserve">        355.19亿</t>
  </si>
  <si>
    <t>航天动力</t>
  </si>
  <si>
    <t xml:space="preserve">         83.83亿</t>
  </si>
  <si>
    <t xml:space="preserve">         92.99亿</t>
  </si>
  <si>
    <t>长江通信</t>
  </si>
  <si>
    <t>大橡塑</t>
  </si>
  <si>
    <t xml:space="preserve">         20.18亿</t>
  </si>
  <si>
    <t xml:space="preserve">         27.90亿</t>
  </si>
  <si>
    <t>阳泉煤业</t>
  </si>
  <si>
    <t xml:space="preserve">        170.76亿</t>
  </si>
  <si>
    <t xml:space="preserve">        170.75亿</t>
  </si>
  <si>
    <t>山东高速</t>
  </si>
  <si>
    <t xml:space="preserve">        160.21亿</t>
  </si>
  <si>
    <t>亚宝药业</t>
  </si>
  <si>
    <t xml:space="preserve">         67.19亿</t>
  </si>
  <si>
    <t>浙江龙盛</t>
  </si>
  <si>
    <t xml:space="preserve">        226.58亿</t>
  </si>
  <si>
    <t xml:space="preserve">        226.89亿</t>
  </si>
  <si>
    <t>旭光股份</t>
  </si>
  <si>
    <t>敦煌种业</t>
  </si>
  <si>
    <t>精伦电子</t>
  </si>
  <si>
    <t xml:space="preserve">         22.51亿</t>
  </si>
  <si>
    <t>恒丰纸业</t>
  </si>
  <si>
    <t>国旅联合</t>
  </si>
  <si>
    <t>新农开发</t>
  </si>
  <si>
    <t>华微电子</t>
  </si>
  <si>
    <t xml:space="preserve">         42.00亿</t>
  </si>
  <si>
    <t>华联综超</t>
  </si>
  <si>
    <t>江西铜业</t>
  </si>
  <si>
    <t xml:space="preserve">        289.29亿</t>
  </si>
  <si>
    <t>联创光电</t>
  </si>
  <si>
    <t xml:space="preserve">         44.06亿</t>
  </si>
  <si>
    <t xml:space="preserve">         46.21亿</t>
  </si>
  <si>
    <t>通葡股份</t>
  </si>
  <si>
    <t>宁波韵升</t>
  </si>
  <si>
    <t xml:space="preserve">         92.35亿</t>
  </si>
  <si>
    <t>红星发展</t>
  </si>
  <si>
    <t>五洲交通</t>
  </si>
  <si>
    <t xml:space="preserve">         40.36亿</t>
  </si>
  <si>
    <t>西南证券</t>
  </si>
  <si>
    <t xml:space="preserve">        237.60亿</t>
  </si>
  <si>
    <t xml:space="preserve">        288.75亿</t>
  </si>
  <si>
    <t>三房巷</t>
  </si>
  <si>
    <t xml:space="preserve">         26.34亿</t>
  </si>
  <si>
    <t>万向德农</t>
  </si>
  <si>
    <t>中航电子</t>
  </si>
  <si>
    <t xml:space="preserve">        460.90亿</t>
  </si>
  <si>
    <t>中文传媒</t>
  </si>
  <si>
    <t xml:space="preserve">        189.00亿</t>
  </si>
  <si>
    <t>华菱星马</t>
  </si>
  <si>
    <t xml:space="preserve">         58.00亿</t>
  </si>
  <si>
    <t xml:space="preserve">         64.74亿</t>
  </si>
  <si>
    <t>首开股份</t>
  </si>
  <si>
    <t xml:space="preserve">        117.48亿</t>
  </si>
  <si>
    <t>宁沪高速</t>
  </si>
  <si>
    <t xml:space="preserve">        237.43亿</t>
  </si>
  <si>
    <t xml:space="preserve">        238.87亿</t>
  </si>
  <si>
    <t>天科股份</t>
  </si>
  <si>
    <t xml:space="preserve">         42.08亿</t>
  </si>
  <si>
    <t>宝光股份</t>
  </si>
  <si>
    <t>健康元</t>
  </si>
  <si>
    <t xml:space="preserve">         91.82亿</t>
  </si>
  <si>
    <t>*ST贤成</t>
  </si>
  <si>
    <t>广东明珠</t>
  </si>
  <si>
    <t>金地集团</t>
  </si>
  <si>
    <t xml:space="preserve">        407.80亿</t>
  </si>
  <si>
    <t>ST金泰</t>
  </si>
  <si>
    <t xml:space="preserve">         19.83亿</t>
  </si>
  <si>
    <t>北巴传媒</t>
  </si>
  <si>
    <t xml:space="preserve">         44.07亿</t>
  </si>
  <si>
    <t>海越股份</t>
  </si>
  <si>
    <t xml:space="preserve">         62.68亿</t>
  </si>
  <si>
    <t xml:space="preserve">         62.74亿</t>
  </si>
  <si>
    <t>龙净环保</t>
  </si>
  <si>
    <t xml:space="preserve">        110.71亿</t>
  </si>
  <si>
    <t>江山股份</t>
  </si>
  <si>
    <t xml:space="preserve">         62.11亿</t>
  </si>
  <si>
    <t>金瑞科技</t>
  </si>
  <si>
    <t xml:space="preserve">         56.10亿</t>
  </si>
  <si>
    <t>成发科技</t>
  </si>
  <si>
    <t xml:space="preserve">         68.83亿</t>
  </si>
  <si>
    <t>盛和资源</t>
  </si>
  <si>
    <t xml:space="preserve">         76.90亿</t>
  </si>
  <si>
    <t>东华实业</t>
  </si>
  <si>
    <t xml:space="preserve">         21.18亿</t>
  </si>
  <si>
    <t>盘江股份</t>
  </si>
  <si>
    <t xml:space="preserve">        138.69亿</t>
  </si>
  <si>
    <t>金山股份</t>
  </si>
  <si>
    <t>安源煤业</t>
  </si>
  <si>
    <t xml:space="preserve">         32.78亿</t>
  </si>
  <si>
    <t xml:space="preserve">         50.29亿</t>
  </si>
  <si>
    <t>海澜之家</t>
  </si>
  <si>
    <t xml:space="preserve">         67.38亿</t>
  </si>
  <si>
    <t xml:space="preserve">        468.15亿</t>
  </si>
  <si>
    <t>抚顺特钢</t>
  </si>
  <si>
    <t xml:space="preserve">        100.94亿</t>
  </si>
  <si>
    <t xml:space="preserve">        116.17亿</t>
  </si>
  <si>
    <t>红豆股份</t>
  </si>
  <si>
    <t xml:space="preserve">         29.03亿</t>
  </si>
  <si>
    <t>海润光伏</t>
  </si>
  <si>
    <t xml:space="preserve">         34.45亿</t>
  </si>
  <si>
    <t xml:space="preserve">        105.11亿</t>
  </si>
  <si>
    <t>大有能源</t>
  </si>
  <si>
    <t xml:space="preserve">        145.84亿</t>
  </si>
  <si>
    <t>动力源</t>
  </si>
  <si>
    <t xml:space="preserve">         47.36亿</t>
  </si>
  <si>
    <t xml:space="preserve">         52.65亿</t>
  </si>
  <si>
    <t>国电南瑞</t>
  </si>
  <si>
    <t xml:space="preserve">        369.02亿</t>
  </si>
  <si>
    <t xml:space="preserve">        406.36亿</t>
  </si>
  <si>
    <t>安泰集团</t>
  </si>
  <si>
    <t xml:space="preserve">         31.41亿</t>
  </si>
  <si>
    <t>三友化工</t>
  </si>
  <si>
    <t xml:space="preserve">        101.96亿</t>
  </si>
  <si>
    <t>华胜天成</t>
  </si>
  <si>
    <t xml:space="preserve">         91.98亿</t>
  </si>
  <si>
    <t xml:space="preserve">         92.56亿</t>
  </si>
  <si>
    <t>小商品城</t>
  </si>
  <si>
    <t xml:space="preserve">        173.09亿</t>
  </si>
  <si>
    <t>湘电股份</t>
  </si>
  <si>
    <t xml:space="preserve">         76.06亿</t>
  </si>
  <si>
    <t>江淮汽车</t>
  </si>
  <si>
    <t xml:space="preserve">        147.74亿</t>
  </si>
  <si>
    <t xml:space="preserve">        177.57亿</t>
  </si>
  <si>
    <t>天润乳业</t>
  </si>
  <si>
    <t xml:space="preserve">         15.04亿</t>
  </si>
  <si>
    <t xml:space="preserve">         16.21亿</t>
  </si>
  <si>
    <t>现代制药</t>
  </si>
  <si>
    <t xml:space="preserve">         61.00亿</t>
  </si>
  <si>
    <t>仰帆控股</t>
  </si>
  <si>
    <t xml:space="preserve">         15.43亿</t>
  </si>
  <si>
    <t>昆明制药</t>
  </si>
  <si>
    <t xml:space="preserve">         89.17亿</t>
  </si>
  <si>
    <t>柳化股份</t>
  </si>
  <si>
    <t>青松建化</t>
  </si>
  <si>
    <t xml:space="preserve">         75.42亿</t>
  </si>
  <si>
    <t>华鲁恒升</t>
  </si>
  <si>
    <t xml:space="preserve">         83.63亿</t>
  </si>
  <si>
    <t>中远航运</t>
  </si>
  <si>
    <t xml:space="preserve">         67.62亿</t>
  </si>
  <si>
    <t>三元股份</t>
  </si>
  <si>
    <t xml:space="preserve">         80.98亿</t>
  </si>
  <si>
    <t>吉恩镍业</t>
  </si>
  <si>
    <t>冠豪高新</t>
  </si>
  <si>
    <t xml:space="preserve">        134.41亿</t>
  </si>
  <si>
    <t xml:space="preserve">        144.62亿</t>
  </si>
  <si>
    <t>北方导航</t>
  </si>
  <si>
    <t xml:space="preserve">        178.05亿</t>
  </si>
  <si>
    <t>片仔癀</t>
  </si>
  <si>
    <t xml:space="preserve">        136.03亿</t>
  </si>
  <si>
    <t>通威股份</t>
  </si>
  <si>
    <t xml:space="preserve">         69.37亿</t>
  </si>
  <si>
    <t xml:space="preserve">         82.45亿</t>
  </si>
  <si>
    <t>瑞贝卡</t>
  </si>
  <si>
    <t xml:space="preserve">         39.90亿</t>
  </si>
  <si>
    <t>国通管业</t>
  </si>
  <si>
    <t xml:space="preserve">         16.63亿</t>
  </si>
  <si>
    <t>金证股份</t>
  </si>
  <si>
    <t xml:space="preserve">         92.42亿</t>
  </si>
  <si>
    <t>华纺股份</t>
  </si>
  <si>
    <t>宁夏建材</t>
  </si>
  <si>
    <t xml:space="preserve">         21.52亿</t>
  </si>
  <si>
    <t xml:space="preserve">         41.03亿</t>
  </si>
  <si>
    <t>涪陵电力</t>
  </si>
  <si>
    <t xml:space="preserve">         24.00亿</t>
  </si>
  <si>
    <t>博通股份</t>
  </si>
  <si>
    <t xml:space="preserve">         14.34亿</t>
  </si>
  <si>
    <t>宝钛股份</t>
  </si>
  <si>
    <t xml:space="preserve">         73.92亿</t>
  </si>
  <si>
    <t>时代新材</t>
  </si>
  <si>
    <t xml:space="preserve">         74.21亿</t>
  </si>
  <si>
    <t>贵研铂业</t>
  </si>
  <si>
    <t>士兰微</t>
  </si>
  <si>
    <t>洪城水业</t>
  </si>
  <si>
    <t xml:space="preserve">         34.32亿</t>
  </si>
  <si>
    <t>石岘纸业</t>
  </si>
  <si>
    <t xml:space="preserve">         38.86亿</t>
  </si>
  <si>
    <t>空港股份</t>
  </si>
  <si>
    <t xml:space="preserve">         22.98亿</t>
  </si>
  <si>
    <t>迪康药业</t>
  </si>
  <si>
    <t xml:space="preserve">         24.67亿</t>
  </si>
  <si>
    <t>好当家</t>
  </si>
  <si>
    <t xml:space="preserve">         42.26亿</t>
  </si>
  <si>
    <t>百利电气</t>
  </si>
  <si>
    <t>风神股份</t>
  </si>
  <si>
    <t xml:space="preserve">         39.63亿</t>
  </si>
  <si>
    <t>六国化工</t>
  </si>
  <si>
    <t xml:space="preserve">         33.07亿</t>
  </si>
  <si>
    <t>华光股份</t>
  </si>
  <si>
    <t>湘邮科技</t>
  </si>
  <si>
    <t>杭萧钢构</t>
  </si>
  <si>
    <t>科力远</t>
  </si>
  <si>
    <t xml:space="preserve">         96.76亿</t>
  </si>
  <si>
    <t>千金药业</t>
  </si>
  <si>
    <t>凌云股份</t>
  </si>
  <si>
    <t xml:space="preserve">         43.62亿</t>
  </si>
  <si>
    <t>双良节能</t>
  </si>
  <si>
    <t xml:space="preserve">         84.33亿</t>
  </si>
  <si>
    <t>风帆股份</t>
  </si>
  <si>
    <t xml:space="preserve">         67.12亿</t>
  </si>
  <si>
    <t xml:space="preserve">         77.37亿</t>
  </si>
  <si>
    <t>福建南纺</t>
  </si>
  <si>
    <t xml:space="preserve">         94.12亿</t>
  </si>
  <si>
    <t>中创信测</t>
  </si>
  <si>
    <t>扬农化工</t>
  </si>
  <si>
    <t xml:space="preserve">         59.89亿</t>
  </si>
  <si>
    <t>亨通光电</t>
  </si>
  <si>
    <t xml:space="preserve">         55.60亿</t>
  </si>
  <si>
    <t>天药股份</t>
  </si>
  <si>
    <t xml:space="preserve">         47.02亿</t>
  </si>
  <si>
    <t xml:space="preserve">         50.64亿</t>
  </si>
  <si>
    <t>中金黄金</t>
  </si>
  <si>
    <t xml:space="preserve">        250.17亿</t>
  </si>
  <si>
    <t>鹏欣资源</t>
  </si>
  <si>
    <t xml:space="preserve">        209.28亿</t>
  </si>
  <si>
    <t>龙元建设</t>
  </si>
  <si>
    <t>凤竹纺织</t>
  </si>
  <si>
    <t>晋西车轴</t>
  </si>
  <si>
    <t xml:space="preserve">         80.95亿</t>
  </si>
  <si>
    <t>精工钢构</t>
  </si>
  <si>
    <t xml:space="preserve">         45.11亿</t>
  </si>
  <si>
    <t>驰宏锌锗</t>
  </si>
  <si>
    <t xml:space="preserve">        173.26亿</t>
  </si>
  <si>
    <t>烽火通信</t>
  </si>
  <si>
    <t xml:space="preserve">        136.86亿</t>
  </si>
  <si>
    <t xml:space="preserve">        136.89亿</t>
  </si>
  <si>
    <t>科达洁能</t>
  </si>
  <si>
    <t xml:space="preserve">        128.32亿</t>
  </si>
  <si>
    <t>中化国际</t>
  </si>
  <si>
    <t xml:space="preserve">        112.13亿</t>
  </si>
  <si>
    <t xml:space="preserve">        162.47亿</t>
  </si>
  <si>
    <t>航天晨光</t>
  </si>
  <si>
    <t xml:space="preserve">         58.16亿</t>
  </si>
  <si>
    <t>安徽水利</t>
  </si>
  <si>
    <t>华丽家族</t>
  </si>
  <si>
    <t>西昌电力</t>
  </si>
  <si>
    <t xml:space="preserve">         37.95亿</t>
  </si>
  <si>
    <t>香梨股份</t>
  </si>
  <si>
    <t xml:space="preserve">         17.77亿</t>
  </si>
  <si>
    <t>方大特钢</t>
  </si>
  <si>
    <t xml:space="preserve">         56.89亿</t>
  </si>
  <si>
    <t>上海能源</t>
  </si>
  <si>
    <t xml:space="preserve">         65.48亿</t>
  </si>
  <si>
    <t>天富能源</t>
  </si>
  <si>
    <t xml:space="preserve">         74.98亿</t>
  </si>
  <si>
    <t xml:space="preserve">         80.97亿</t>
  </si>
  <si>
    <t>黑牡丹</t>
  </si>
  <si>
    <t xml:space="preserve">         58.31亿</t>
  </si>
  <si>
    <t>国药股份</t>
  </si>
  <si>
    <t xml:space="preserve">         73.41亿</t>
  </si>
  <si>
    <t xml:space="preserve">        126.59亿</t>
  </si>
  <si>
    <t>腾达建设</t>
  </si>
  <si>
    <t xml:space="preserve">         22.77亿</t>
  </si>
  <si>
    <t>联环药业</t>
  </si>
  <si>
    <t xml:space="preserve">         23.10亿</t>
  </si>
  <si>
    <t xml:space="preserve">         23.80亿</t>
  </si>
  <si>
    <t>海岛建设</t>
  </si>
  <si>
    <t xml:space="preserve">         26.25亿</t>
  </si>
  <si>
    <t>方大炭素</t>
  </si>
  <si>
    <t xml:space="preserve">        200.45亿</t>
  </si>
  <si>
    <t>置信电气</t>
  </si>
  <si>
    <t xml:space="preserve">        140.21亿</t>
  </si>
  <si>
    <t xml:space="preserve">        156.69亿</t>
  </si>
  <si>
    <t>康美药业</t>
  </si>
  <si>
    <t xml:space="preserve">        337.28亿</t>
  </si>
  <si>
    <t>贵州茅台</t>
  </si>
  <si>
    <t xml:space="preserve">       1873.79亿</t>
  </si>
  <si>
    <t>中发科技</t>
  </si>
  <si>
    <t xml:space="preserve">         14.64亿</t>
  </si>
  <si>
    <t xml:space="preserve">         20.52亿</t>
  </si>
  <si>
    <t>华海药业</t>
  </si>
  <si>
    <t xml:space="preserve">        103.54亿</t>
  </si>
  <si>
    <t xml:space="preserve">        104.13亿</t>
  </si>
  <si>
    <t>中天科技</t>
  </si>
  <si>
    <t xml:space="preserve">        105.96亿</t>
  </si>
  <si>
    <t>贵航股份</t>
  </si>
  <si>
    <t xml:space="preserve">         48.75亿</t>
  </si>
  <si>
    <t>长园集团</t>
  </si>
  <si>
    <t xml:space="preserve">        108.20亿</t>
  </si>
  <si>
    <t>菲达环保</t>
  </si>
  <si>
    <t xml:space="preserve">         50.94亿</t>
  </si>
  <si>
    <t>江南高纤</t>
  </si>
  <si>
    <t xml:space="preserve">         41.07亿</t>
  </si>
  <si>
    <t>中铁二局</t>
  </si>
  <si>
    <t>山东药玻</t>
  </si>
  <si>
    <t xml:space="preserve">         34.39亿</t>
  </si>
  <si>
    <t>交大昂立</t>
  </si>
  <si>
    <t xml:space="preserve">         29.58亿</t>
  </si>
  <si>
    <t>豫光金铅</t>
  </si>
  <si>
    <t xml:space="preserve">         37.59亿</t>
  </si>
  <si>
    <t>宏达矿业</t>
  </si>
  <si>
    <t xml:space="preserve">         15.50亿</t>
  </si>
  <si>
    <t xml:space="preserve">         37.21亿</t>
  </si>
  <si>
    <t>栖霞建设</t>
  </si>
  <si>
    <t>天士力</t>
  </si>
  <si>
    <t xml:space="preserve">        407.56亿</t>
  </si>
  <si>
    <t>中国软件</t>
  </si>
  <si>
    <t xml:space="preserve">        128.56亿</t>
  </si>
  <si>
    <t xml:space="preserve">        140.85亿</t>
  </si>
  <si>
    <t>亿晶光电</t>
  </si>
  <si>
    <t xml:space="preserve">         40.19亿</t>
  </si>
  <si>
    <t xml:space="preserve">         84.88亿</t>
  </si>
  <si>
    <t>国发股份</t>
  </si>
  <si>
    <t xml:space="preserve">         23.96亿</t>
  </si>
  <si>
    <t xml:space="preserve">         39.85亿</t>
  </si>
  <si>
    <t>狮头股份</t>
  </si>
  <si>
    <t xml:space="preserve">         12.05亿</t>
  </si>
  <si>
    <t xml:space="preserve">         17.27亿</t>
  </si>
  <si>
    <t>新赛股份</t>
  </si>
  <si>
    <t>莫高股份</t>
  </si>
  <si>
    <t>新疆城建</t>
  </si>
  <si>
    <t xml:space="preserve">         60.42亿</t>
  </si>
  <si>
    <t>山煤国际</t>
  </si>
  <si>
    <t xml:space="preserve">         88.62亿</t>
  </si>
  <si>
    <t>山东黄金</t>
  </si>
  <si>
    <t xml:space="preserve">        235.52亿</t>
  </si>
  <si>
    <t>深高速</t>
  </si>
  <si>
    <t xml:space="preserve">         70.09亿</t>
  </si>
  <si>
    <t>厦门钨业</t>
  </si>
  <si>
    <t xml:space="preserve">        210.32亿</t>
  </si>
  <si>
    <t>*ST天威</t>
  </si>
  <si>
    <t xml:space="preserve">         76.89亿</t>
  </si>
  <si>
    <t>时代出版</t>
  </si>
  <si>
    <t xml:space="preserve">         97.32亿</t>
  </si>
  <si>
    <t>方兴科技</t>
  </si>
  <si>
    <t xml:space="preserve">         65.77亿</t>
  </si>
  <si>
    <t>九龙山</t>
  </si>
  <si>
    <t xml:space="preserve">         36.31亿</t>
  </si>
  <si>
    <t xml:space="preserve">         48.62亿</t>
  </si>
  <si>
    <t>北生药业</t>
  </si>
  <si>
    <t xml:space="preserve">         39.48亿</t>
  </si>
  <si>
    <t>康缘药业</t>
  </si>
  <si>
    <t xml:space="preserve">        101.09亿</t>
  </si>
  <si>
    <t xml:space="preserve">        136.81亿</t>
  </si>
  <si>
    <t>大西洋</t>
  </si>
  <si>
    <t xml:space="preserve">         26.54亿</t>
  </si>
  <si>
    <t>老白干酒</t>
  </si>
  <si>
    <t>金自天正</t>
  </si>
  <si>
    <t xml:space="preserve">         25.90亿</t>
  </si>
  <si>
    <t>江西长运</t>
  </si>
  <si>
    <t xml:space="preserve">         28.95亿</t>
  </si>
  <si>
    <t>国睿科技</t>
  </si>
  <si>
    <t xml:space="preserve">         51.77亿</t>
  </si>
  <si>
    <t xml:space="preserve">        100.59亿</t>
  </si>
  <si>
    <t>法拉电子</t>
  </si>
  <si>
    <t xml:space="preserve">         82.19亿</t>
  </si>
  <si>
    <t>迪马股份</t>
  </si>
  <si>
    <t xml:space="preserve">         29.16亿</t>
  </si>
  <si>
    <t xml:space="preserve">         77.21亿</t>
  </si>
  <si>
    <t>洪城股份</t>
  </si>
  <si>
    <t xml:space="preserve">        174.81亿</t>
  </si>
  <si>
    <t>山鹰纸业</t>
  </si>
  <si>
    <t xml:space="preserve">         35.37亿</t>
  </si>
  <si>
    <t xml:space="preserve">         84.00亿</t>
  </si>
  <si>
    <t>中珠控股</t>
  </si>
  <si>
    <t xml:space="preserve">         48.74亿</t>
  </si>
  <si>
    <t>安阳钢铁</t>
  </si>
  <si>
    <t xml:space="preserve">         53.86亿</t>
  </si>
  <si>
    <t>恒生电子</t>
  </si>
  <si>
    <t xml:space="preserve">        212.28亿</t>
  </si>
  <si>
    <t>信雅达</t>
  </si>
  <si>
    <t xml:space="preserve">         39.53亿</t>
  </si>
  <si>
    <t xml:space="preserve">         40.02亿</t>
  </si>
  <si>
    <t>康恩贝</t>
  </si>
  <si>
    <t xml:space="preserve">        119.44亿</t>
  </si>
  <si>
    <t xml:space="preserve">        137.96亿</t>
  </si>
  <si>
    <t>惠泉啤酒</t>
  </si>
  <si>
    <t>皖江物流</t>
  </si>
  <si>
    <t xml:space="preserve">         58.49亿</t>
  </si>
  <si>
    <t xml:space="preserve">        118.53亿</t>
  </si>
  <si>
    <t>万好万家</t>
  </si>
  <si>
    <t xml:space="preserve">         41.42亿</t>
  </si>
  <si>
    <t>精达股份</t>
  </si>
  <si>
    <t xml:space="preserve">         40.73亿</t>
  </si>
  <si>
    <t xml:space="preserve">         56.12亿</t>
  </si>
  <si>
    <t>京能电力</t>
  </si>
  <si>
    <t xml:space="preserve">         85.33亿</t>
  </si>
  <si>
    <t xml:space="preserve">        174.53亿</t>
  </si>
  <si>
    <t>天华院</t>
  </si>
  <si>
    <t>卧龙电气</t>
  </si>
  <si>
    <t xml:space="preserve">         99.73亿</t>
  </si>
  <si>
    <t>八一钢铁</t>
  </si>
  <si>
    <t xml:space="preserve">         32.65亿</t>
  </si>
  <si>
    <t>天地科技</t>
  </si>
  <si>
    <t xml:space="preserve">        130.98亿</t>
  </si>
  <si>
    <t>海油工程</t>
  </si>
  <si>
    <t xml:space="preserve">        320.88亿</t>
  </si>
  <si>
    <t xml:space="preserve">        364.76亿</t>
  </si>
  <si>
    <t>长电科技</t>
  </si>
  <si>
    <t xml:space="preserve">         96.57亿</t>
  </si>
  <si>
    <t>海螺水泥</t>
  </si>
  <si>
    <t xml:space="preserve">        723.15亿</t>
  </si>
  <si>
    <t>金晶科技</t>
  </si>
  <si>
    <t>新华医疗</t>
  </si>
  <si>
    <t xml:space="preserve">        122.88亿</t>
  </si>
  <si>
    <t xml:space="preserve">        140.33亿</t>
  </si>
  <si>
    <t>用友软件</t>
  </si>
  <si>
    <t xml:space="preserve">        186.25亿</t>
  </si>
  <si>
    <t xml:space="preserve">        188.56亿</t>
  </si>
  <si>
    <t>广东榕泰</t>
  </si>
  <si>
    <t xml:space="preserve">         34.48亿</t>
  </si>
  <si>
    <t>泰豪科技</t>
  </si>
  <si>
    <t xml:space="preserve">         44.93亿</t>
  </si>
  <si>
    <t>龙溪股份</t>
  </si>
  <si>
    <t xml:space="preserve">         37.29亿</t>
  </si>
  <si>
    <t>大连圣亚</t>
  </si>
  <si>
    <t>益佰制药</t>
  </si>
  <si>
    <t xml:space="preserve">        139.22亿</t>
  </si>
  <si>
    <t xml:space="preserve">        153.89亿</t>
  </si>
  <si>
    <t>中孚实业</t>
  </si>
  <si>
    <t xml:space="preserve">         78.77亿</t>
  </si>
  <si>
    <t xml:space="preserve">         90.56亿</t>
  </si>
  <si>
    <t>新安股份</t>
  </si>
  <si>
    <t>光明乳业</t>
  </si>
  <si>
    <t xml:space="preserve">        210.13亿</t>
  </si>
  <si>
    <t xml:space="preserve">        210.49亿</t>
  </si>
  <si>
    <t>*ST大荒</t>
  </si>
  <si>
    <t xml:space="preserve">        157.68亿</t>
  </si>
  <si>
    <t>熊猫烟花</t>
  </si>
  <si>
    <t xml:space="preserve">         29.51亿</t>
  </si>
  <si>
    <t>青岛啤酒</t>
  </si>
  <si>
    <t xml:space="preserve">        282.26亿</t>
  </si>
  <si>
    <t>方正科技</t>
  </si>
  <si>
    <t xml:space="preserve">         90.87亿</t>
  </si>
  <si>
    <t>仪电电子</t>
  </si>
  <si>
    <t xml:space="preserve">         79.99亿</t>
  </si>
  <si>
    <t>大洲兴业</t>
  </si>
  <si>
    <t>市北高新</t>
  </si>
  <si>
    <t xml:space="preserve">         44.16亿</t>
  </si>
  <si>
    <t xml:space="preserve">         75.00亿</t>
  </si>
  <si>
    <t>汇通能源</t>
  </si>
  <si>
    <t>金丰投资</t>
  </si>
  <si>
    <t xml:space="preserve">         43.49亿</t>
  </si>
  <si>
    <t>上海科技</t>
  </si>
  <si>
    <t xml:space="preserve">         23.91亿</t>
  </si>
  <si>
    <t>金杯汽车</t>
  </si>
  <si>
    <t xml:space="preserve">         38.13亿</t>
  </si>
  <si>
    <t>S*ST中纺</t>
  </si>
  <si>
    <t xml:space="preserve">          6.68亿</t>
  </si>
  <si>
    <t xml:space="preserve">         92.74亿</t>
  </si>
  <si>
    <t>大众交通</t>
  </si>
  <si>
    <t xml:space="preserve">         75.98亿</t>
  </si>
  <si>
    <t xml:space="preserve">        114.90亿</t>
  </si>
  <si>
    <t>老凤祥</t>
  </si>
  <si>
    <t xml:space="preserve">         90.03亿</t>
  </si>
  <si>
    <t xml:space="preserve">        148.51亿</t>
  </si>
  <si>
    <t>神奇制药</t>
  </si>
  <si>
    <t xml:space="preserve">         77.84亿</t>
  </si>
  <si>
    <t>鼎立股份</t>
  </si>
  <si>
    <t xml:space="preserve">         50.84亿</t>
  </si>
  <si>
    <t>丰华股份</t>
  </si>
  <si>
    <t xml:space="preserve">         22.15亿</t>
  </si>
  <si>
    <t>金枫酒业</t>
  </si>
  <si>
    <t xml:space="preserve">         37.37亿</t>
  </si>
  <si>
    <t>国新能源</t>
  </si>
  <si>
    <t xml:space="preserve">        119.08亿</t>
  </si>
  <si>
    <t>氯碱化工</t>
  </si>
  <si>
    <t xml:space="preserve">        101.53亿</t>
  </si>
  <si>
    <t>海立股份</t>
  </si>
  <si>
    <t xml:space="preserve">         27.17亿</t>
  </si>
  <si>
    <t xml:space="preserve">         56.96亿</t>
  </si>
  <si>
    <t>天宸股份</t>
  </si>
  <si>
    <t>华鑫股份</t>
  </si>
  <si>
    <t>嘉宝集团</t>
  </si>
  <si>
    <t>双钱股份</t>
  </si>
  <si>
    <t xml:space="preserve">         88.81亿</t>
  </si>
  <si>
    <t xml:space="preserve">        122.21亿</t>
  </si>
  <si>
    <t>复旦复华</t>
  </si>
  <si>
    <t xml:space="preserve">         48.29亿</t>
  </si>
  <si>
    <t>申达股份</t>
  </si>
  <si>
    <t xml:space="preserve">         62.79亿</t>
  </si>
  <si>
    <t>新世界</t>
  </si>
  <si>
    <t xml:space="preserve">         51.96亿</t>
  </si>
  <si>
    <t>棱光实业</t>
  </si>
  <si>
    <t xml:space="preserve">         41.41亿</t>
  </si>
  <si>
    <t>龙头股份</t>
  </si>
  <si>
    <t xml:space="preserve">         46.44亿</t>
  </si>
  <si>
    <t>浙报传媒</t>
  </si>
  <si>
    <t xml:space="preserve">        218.88亿</t>
  </si>
  <si>
    <t xml:space="preserve">        229.34亿</t>
  </si>
  <si>
    <t>中技控股</t>
  </si>
  <si>
    <t xml:space="preserve">         98.51亿</t>
  </si>
  <si>
    <t>大众公用</t>
  </si>
  <si>
    <t xml:space="preserve">         86.03亿</t>
  </si>
  <si>
    <t>三爱富</t>
  </si>
  <si>
    <t xml:space="preserve">         58.48亿</t>
  </si>
  <si>
    <t>百视通</t>
  </si>
  <si>
    <t xml:space="preserve">        267.28亿</t>
  </si>
  <si>
    <t xml:space="preserve">        356.28亿</t>
  </si>
  <si>
    <t>新黄浦</t>
  </si>
  <si>
    <t xml:space="preserve">         78.34亿</t>
  </si>
  <si>
    <t>浦东金桥</t>
  </si>
  <si>
    <t xml:space="preserve">         77.62亿</t>
  </si>
  <si>
    <t xml:space="preserve">        109.79亿</t>
  </si>
  <si>
    <t>号百控股</t>
  </si>
  <si>
    <t xml:space="preserve">         42.52亿</t>
  </si>
  <si>
    <t xml:space="preserve">        110.29亿</t>
  </si>
  <si>
    <t>万业企业</t>
  </si>
  <si>
    <t xml:space="preserve">         35.71亿</t>
  </si>
  <si>
    <t>申能股份</t>
  </si>
  <si>
    <t xml:space="preserve">        204.84亿</t>
  </si>
  <si>
    <t>爱建股份</t>
  </si>
  <si>
    <t xml:space="preserve">         85.15亿</t>
  </si>
  <si>
    <t xml:space="preserve">        115.08亿</t>
  </si>
  <si>
    <t>乐山电力</t>
  </si>
  <si>
    <t xml:space="preserve">         30.23亿</t>
  </si>
  <si>
    <t>中源协和</t>
  </si>
  <si>
    <t xml:space="preserve">        112.73亿</t>
  </si>
  <si>
    <t xml:space="preserve">        121.20亿</t>
  </si>
  <si>
    <t>同达创业</t>
  </si>
  <si>
    <t xml:space="preserve">         17.56亿</t>
  </si>
  <si>
    <t>外高桥</t>
  </si>
  <si>
    <t xml:space="preserve">        243.55亿</t>
  </si>
  <si>
    <t xml:space="preserve">        341.29亿</t>
  </si>
  <si>
    <t>城投控股</t>
  </si>
  <si>
    <t xml:space="preserve">        207.04亿</t>
  </si>
  <si>
    <t>锦江投资</t>
  </si>
  <si>
    <t xml:space="preserve">         40.38亿</t>
  </si>
  <si>
    <t xml:space="preserve">         57.04亿</t>
  </si>
  <si>
    <t>飞乐音响</t>
  </si>
  <si>
    <t xml:space="preserve">         60.60亿</t>
  </si>
  <si>
    <t>爱使股份</t>
  </si>
  <si>
    <t>申华控股</t>
  </si>
  <si>
    <t xml:space="preserve">         53.26亿</t>
  </si>
  <si>
    <t>飞乐股份</t>
  </si>
  <si>
    <t xml:space="preserve">         79.96亿</t>
  </si>
  <si>
    <t>豫园商城</t>
  </si>
  <si>
    <t xml:space="preserve">        117.43亿</t>
  </si>
  <si>
    <t>博元投资</t>
  </si>
  <si>
    <t xml:space="preserve">         16.22亿</t>
  </si>
  <si>
    <t>信达地产</t>
  </si>
  <si>
    <t xml:space="preserve">         57.46亿</t>
  </si>
  <si>
    <t>电子城</t>
  </si>
  <si>
    <t xml:space="preserve">         75.41亿</t>
  </si>
  <si>
    <t>福耀玻璃</t>
  </si>
  <si>
    <t xml:space="preserve">        212.12亿</t>
  </si>
  <si>
    <t>新南洋</t>
  </si>
  <si>
    <t xml:space="preserve">         51.93亿</t>
  </si>
  <si>
    <t>强生控股</t>
  </si>
  <si>
    <t xml:space="preserve">         81.53亿</t>
  </si>
  <si>
    <t>陆家嘴</t>
  </si>
  <si>
    <t xml:space="preserve">        241.74亿</t>
  </si>
  <si>
    <t xml:space="preserve">        332.45亿</t>
  </si>
  <si>
    <t>哈药股份</t>
  </si>
  <si>
    <t xml:space="preserve">         90.38亿</t>
  </si>
  <si>
    <t xml:space="preserve">        164.52亿</t>
  </si>
  <si>
    <t>天地源</t>
  </si>
  <si>
    <t>西南药业</t>
  </si>
  <si>
    <t xml:space="preserve">         56.29亿</t>
  </si>
  <si>
    <t>太极实业</t>
  </si>
  <si>
    <t xml:space="preserve">         60.75亿</t>
  </si>
  <si>
    <t>尖峰集团</t>
  </si>
  <si>
    <t xml:space="preserve">         42.97亿</t>
  </si>
  <si>
    <t>天目药业</t>
  </si>
  <si>
    <t>东阳光科</t>
  </si>
  <si>
    <t xml:space="preserve">        108.42亿</t>
  </si>
  <si>
    <t xml:space="preserve">        125.15亿</t>
  </si>
  <si>
    <t>川投能源</t>
  </si>
  <si>
    <t xml:space="preserve">        336.98亿</t>
  </si>
  <si>
    <t>中华企业</t>
  </si>
  <si>
    <t xml:space="preserve">         97.09亿</t>
  </si>
  <si>
    <t>交运股份</t>
  </si>
  <si>
    <t xml:space="preserve">         49.74亿</t>
  </si>
  <si>
    <t>航天通信</t>
  </si>
  <si>
    <t xml:space="preserve">         57.18亿</t>
  </si>
  <si>
    <t xml:space="preserve">         73.00亿</t>
  </si>
  <si>
    <t>四川金顶</t>
  </si>
  <si>
    <t>金山开发</t>
  </si>
  <si>
    <t xml:space="preserve">         28.40亿</t>
  </si>
  <si>
    <t xml:space="preserve">         55.16亿</t>
  </si>
  <si>
    <t>上海普天</t>
  </si>
  <si>
    <t xml:space="preserve">         48.52亿</t>
  </si>
  <si>
    <t xml:space="preserve">         72.05亿</t>
  </si>
  <si>
    <t>万鸿集团</t>
  </si>
  <si>
    <t xml:space="preserve">         13.77亿</t>
  </si>
  <si>
    <t>南京新百</t>
  </si>
  <si>
    <t xml:space="preserve">         54.18亿</t>
  </si>
  <si>
    <t>京投银泰</t>
  </si>
  <si>
    <t xml:space="preserve">         40.74亿</t>
  </si>
  <si>
    <t>珠江实业</t>
  </si>
  <si>
    <t>广船国际</t>
  </si>
  <si>
    <t xml:space="preserve">         75.11亿</t>
  </si>
  <si>
    <t>金龙汽车</t>
  </si>
  <si>
    <t xml:space="preserve">         52.36亿</t>
  </si>
  <si>
    <t>刚泰控股</t>
  </si>
  <si>
    <t xml:space="preserve">         64.47亿</t>
  </si>
  <si>
    <t>上海石化</t>
  </si>
  <si>
    <t xml:space="preserve">         85.86亿</t>
  </si>
  <si>
    <t xml:space="preserve">        262.98亿</t>
  </si>
  <si>
    <t>*ST三毛</t>
  </si>
  <si>
    <t>青岛海尔</t>
  </si>
  <si>
    <t xml:space="preserve">        460.64亿</t>
  </si>
  <si>
    <t xml:space="preserve">        512.97亿</t>
  </si>
  <si>
    <t>阳煤化工</t>
  </si>
  <si>
    <t xml:space="preserve">         52.71亿</t>
  </si>
  <si>
    <t>亚通股份</t>
  </si>
  <si>
    <t xml:space="preserve">         24.28亿</t>
  </si>
  <si>
    <t>东百集团</t>
  </si>
  <si>
    <t xml:space="preserve">         27.48亿</t>
  </si>
  <si>
    <t>大商股份</t>
  </si>
  <si>
    <t xml:space="preserve">         87.12亿</t>
  </si>
  <si>
    <t>大江股份</t>
  </si>
  <si>
    <t xml:space="preserve">         23.07亿</t>
  </si>
  <si>
    <t xml:space="preserve">         49.92亿</t>
  </si>
  <si>
    <t>多伦股份</t>
  </si>
  <si>
    <t xml:space="preserve">         30.96亿</t>
  </si>
  <si>
    <t>欧亚集团</t>
  </si>
  <si>
    <t>湖南天雁</t>
  </si>
  <si>
    <t xml:space="preserve">         54.42亿</t>
  </si>
  <si>
    <t>均胜电子</t>
  </si>
  <si>
    <t xml:space="preserve">        173.79亿</t>
  </si>
  <si>
    <t>工大高新</t>
  </si>
  <si>
    <t>沱牌舍得</t>
  </si>
  <si>
    <t xml:space="preserve">         51.17亿</t>
  </si>
  <si>
    <t>三安光电</t>
  </si>
  <si>
    <t xml:space="preserve">        322.52亿</t>
  </si>
  <si>
    <t xml:space="preserve">        356.33亿</t>
  </si>
  <si>
    <t>物产中大</t>
  </si>
  <si>
    <t xml:space="preserve">         79.76亿</t>
  </si>
  <si>
    <t xml:space="preserve">        100.50亿</t>
  </si>
  <si>
    <t>中航资本</t>
  </si>
  <si>
    <t xml:space="preserve">        140.22亿</t>
  </si>
  <si>
    <t xml:space="preserve">        351.43亿</t>
  </si>
  <si>
    <t>曲江文旅</t>
  </si>
  <si>
    <t xml:space="preserve">         12.04亿</t>
  </si>
  <si>
    <t>彩虹股份</t>
  </si>
  <si>
    <t xml:space="preserve">         66.42亿</t>
  </si>
  <si>
    <t xml:space="preserve">         66.60亿</t>
  </si>
  <si>
    <t>海博股份</t>
  </si>
  <si>
    <t xml:space="preserve">         42.46亿</t>
  </si>
  <si>
    <t>常林股份</t>
  </si>
  <si>
    <t xml:space="preserve">         23.75亿</t>
  </si>
  <si>
    <t>盛屯矿业</t>
  </si>
  <si>
    <t xml:space="preserve">         62.46亿</t>
  </si>
  <si>
    <t xml:space="preserve">        116.83亿</t>
  </si>
  <si>
    <t>南宁百货</t>
  </si>
  <si>
    <t>南京医药</t>
  </si>
  <si>
    <t>金瑞矿业</t>
  </si>
  <si>
    <t xml:space="preserve">         27.67亿</t>
  </si>
  <si>
    <t>松辽汽车</t>
  </si>
  <si>
    <t xml:space="preserve">         38.24亿</t>
  </si>
  <si>
    <t>凤凰股份</t>
  </si>
  <si>
    <t xml:space="preserve">         63.77亿</t>
  </si>
  <si>
    <t>天津港</t>
  </si>
  <si>
    <t xml:space="preserve">        167.98亿</t>
  </si>
  <si>
    <t>东软集团</t>
  </si>
  <si>
    <t xml:space="preserve">        172.97亿</t>
  </si>
  <si>
    <t>大连热电</t>
  </si>
  <si>
    <t>祁连山</t>
  </si>
  <si>
    <t xml:space="preserve">         54.73亿</t>
  </si>
  <si>
    <t>百花村</t>
  </si>
  <si>
    <t xml:space="preserve">         11.17亿</t>
  </si>
  <si>
    <t>金牛化工</t>
  </si>
  <si>
    <t xml:space="preserve">         21.32亿</t>
  </si>
  <si>
    <t xml:space="preserve">         34.42亿</t>
  </si>
  <si>
    <t>首商股份</t>
  </si>
  <si>
    <t xml:space="preserve">         44.63亿</t>
  </si>
  <si>
    <t xml:space="preserve">         44.71亿</t>
  </si>
  <si>
    <t>宁波富达</t>
  </si>
  <si>
    <t xml:space="preserve">         70.80亿</t>
  </si>
  <si>
    <t xml:space="preserve">         70.82亿</t>
  </si>
  <si>
    <t>云维股份</t>
  </si>
  <si>
    <t xml:space="preserve">         25.76亿</t>
  </si>
  <si>
    <t>华电能源</t>
  </si>
  <si>
    <t xml:space="preserve">         28.75亿</t>
  </si>
  <si>
    <t>鲁北化工</t>
  </si>
  <si>
    <t xml:space="preserve">         18.35亿</t>
  </si>
  <si>
    <t xml:space="preserve">         18.36亿</t>
  </si>
  <si>
    <t>佳都科技</t>
  </si>
  <si>
    <t xml:space="preserve">         52.13亿</t>
  </si>
  <si>
    <t xml:space="preserve">         71.82亿</t>
  </si>
  <si>
    <t>重庆百货</t>
  </si>
  <si>
    <t xml:space="preserve">         79.34亿</t>
  </si>
  <si>
    <t>中国高科</t>
  </si>
  <si>
    <t xml:space="preserve">         32.91亿</t>
  </si>
  <si>
    <t>湖南海利</t>
  </si>
  <si>
    <t xml:space="preserve">         20.47亿</t>
  </si>
  <si>
    <t>上海新梅</t>
  </si>
  <si>
    <t>S前锋</t>
  </si>
  <si>
    <t xml:space="preserve">         22.72亿</t>
  </si>
  <si>
    <t xml:space="preserve">         59.37亿</t>
  </si>
  <si>
    <t>实达集团</t>
  </si>
  <si>
    <t>新华锦</t>
  </si>
  <si>
    <t xml:space="preserve">         21.71亿</t>
  </si>
  <si>
    <t>苏州高新</t>
  </si>
  <si>
    <t xml:space="preserve">         44.01亿</t>
  </si>
  <si>
    <t>中粮屯河</t>
  </si>
  <si>
    <t xml:space="preserve">         79.36亿</t>
  </si>
  <si>
    <t xml:space="preserve">        123.11亿</t>
  </si>
  <si>
    <t>兰州民百</t>
  </si>
  <si>
    <t xml:space="preserve">         17.12亿</t>
  </si>
  <si>
    <t xml:space="preserve">         24.09亿</t>
  </si>
  <si>
    <t>辽宁成大</t>
  </si>
  <si>
    <t xml:space="preserve">        229.13亿</t>
  </si>
  <si>
    <t xml:space="preserve">        240.05亿</t>
  </si>
  <si>
    <t>山西焦化</t>
  </si>
  <si>
    <t xml:space="preserve">         44.49亿</t>
  </si>
  <si>
    <t>华域汽车</t>
  </si>
  <si>
    <t xml:space="preserve">        332.20亿</t>
  </si>
  <si>
    <t>一汽富维</t>
  </si>
  <si>
    <t xml:space="preserve">         60.39亿</t>
  </si>
  <si>
    <t>华远地产</t>
  </si>
  <si>
    <t xml:space="preserve">         59.62亿</t>
  </si>
  <si>
    <t>华银电力</t>
  </si>
  <si>
    <t>中茵股份</t>
  </si>
  <si>
    <t>江苏索普</t>
  </si>
  <si>
    <t>大连控股</t>
  </si>
  <si>
    <t xml:space="preserve">         66.73亿</t>
  </si>
  <si>
    <t xml:space="preserve">         91.81亿</t>
  </si>
  <si>
    <t>上实发展</t>
  </si>
  <si>
    <t xml:space="preserve">         90.35亿</t>
  </si>
  <si>
    <t>西藏旅游</t>
  </si>
  <si>
    <t xml:space="preserve">         21.77亿</t>
  </si>
  <si>
    <t>江中药业</t>
  </si>
  <si>
    <t xml:space="preserve">         54.24亿</t>
  </si>
  <si>
    <t>天津海运</t>
  </si>
  <si>
    <t xml:space="preserve">         26.70亿</t>
  </si>
  <si>
    <t xml:space="preserve">         79.89亿</t>
  </si>
  <si>
    <t>东方银星</t>
  </si>
  <si>
    <t>锦江股份</t>
  </si>
  <si>
    <t xml:space="preserve">         91.68亿</t>
  </si>
  <si>
    <t xml:space="preserve">        123.66亿</t>
  </si>
  <si>
    <t>厦门国贸</t>
  </si>
  <si>
    <t xml:space="preserve">         75.99亿</t>
  </si>
  <si>
    <t xml:space="preserve">         95.04亿</t>
  </si>
  <si>
    <t>浪潮软件</t>
  </si>
  <si>
    <t>长江传媒</t>
  </si>
  <si>
    <t xml:space="preserve">        107.41亿</t>
  </si>
  <si>
    <t>红阳能源</t>
  </si>
  <si>
    <t xml:space="preserve">         17.88亿</t>
  </si>
  <si>
    <t>洲际油气</t>
  </si>
  <si>
    <t xml:space="preserve">        146.77亿</t>
  </si>
  <si>
    <t xml:space="preserve">        147.27亿</t>
  </si>
  <si>
    <t>中航黑豹</t>
  </si>
  <si>
    <t xml:space="preserve">         33.63亿</t>
  </si>
  <si>
    <t>安徽合力</t>
  </si>
  <si>
    <t xml:space="preserve">         69.70亿</t>
  </si>
  <si>
    <t>通策医疗</t>
  </si>
  <si>
    <t>中电广通</t>
  </si>
  <si>
    <t>中航重机</t>
  </si>
  <si>
    <t xml:space="preserve">        156.92亿</t>
  </si>
  <si>
    <t>园城黄金</t>
  </si>
  <si>
    <t xml:space="preserve">         24.80亿</t>
  </si>
  <si>
    <t xml:space="preserve">         24.87亿</t>
  </si>
  <si>
    <t>运盛实业</t>
  </si>
  <si>
    <t xml:space="preserve">         36.17亿</t>
  </si>
  <si>
    <t>宁波富邦</t>
  </si>
  <si>
    <t xml:space="preserve">         17.04亿</t>
  </si>
  <si>
    <t>祥龙电业</t>
  </si>
  <si>
    <t>综艺股份</t>
  </si>
  <si>
    <t xml:space="preserve">        114.55亿</t>
  </si>
  <si>
    <t>广誉远</t>
  </si>
  <si>
    <t xml:space="preserve">         45.37亿</t>
  </si>
  <si>
    <t>西藏城投</t>
  </si>
  <si>
    <t xml:space="preserve">         65.62亿</t>
  </si>
  <si>
    <t xml:space="preserve">         70.01亿</t>
  </si>
  <si>
    <t>汉商集团</t>
  </si>
  <si>
    <t>南京熊猫</t>
  </si>
  <si>
    <t xml:space="preserve">         67.50亿</t>
  </si>
  <si>
    <t xml:space="preserve">         71.69亿</t>
  </si>
  <si>
    <t>东方通信</t>
  </si>
  <si>
    <t xml:space="preserve">         98.56亿</t>
  </si>
  <si>
    <t xml:space="preserve">        129.49亿</t>
  </si>
  <si>
    <t>新潮实业</t>
  </si>
  <si>
    <t xml:space="preserve">         63.66亿</t>
  </si>
  <si>
    <t xml:space="preserve">         63.67亿</t>
  </si>
  <si>
    <t>友好集团</t>
  </si>
  <si>
    <t xml:space="preserve">         26.48亿</t>
  </si>
  <si>
    <t>水井坊</t>
  </si>
  <si>
    <t>通宝能源</t>
  </si>
  <si>
    <t xml:space="preserve">         60.54亿</t>
  </si>
  <si>
    <t>辅仁药业</t>
  </si>
  <si>
    <t>新钢股份</t>
  </si>
  <si>
    <t xml:space="preserve">         50.44亿</t>
  </si>
  <si>
    <t>鲁信创投</t>
  </si>
  <si>
    <t xml:space="preserve">        128.70亿</t>
  </si>
  <si>
    <t>鲁银投资</t>
  </si>
  <si>
    <t>新华百货</t>
  </si>
  <si>
    <t>中储股份</t>
  </si>
  <si>
    <t xml:space="preserve">        152.06亿</t>
  </si>
  <si>
    <t xml:space="preserve">        168.31亿</t>
  </si>
  <si>
    <t>鲁抗医药</t>
  </si>
  <si>
    <t xml:space="preserve">         38.85亿</t>
  </si>
  <si>
    <t>轻纺城</t>
  </si>
  <si>
    <t xml:space="preserve">         50.93亿</t>
  </si>
  <si>
    <t>京能置业</t>
  </si>
  <si>
    <t>云煤能源</t>
  </si>
  <si>
    <t xml:space="preserve">         56.33亿</t>
  </si>
  <si>
    <t>ST宜纸</t>
  </si>
  <si>
    <t>保税科技</t>
  </si>
  <si>
    <t xml:space="preserve">         51.42亿</t>
  </si>
  <si>
    <t>国电电力</t>
  </si>
  <si>
    <t xml:space="preserve">        369.48亿</t>
  </si>
  <si>
    <t xml:space="preserve">        413.52亿</t>
  </si>
  <si>
    <t>钱江生化</t>
  </si>
  <si>
    <t xml:space="preserve">         20.86亿</t>
  </si>
  <si>
    <t>浙大网新</t>
  </si>
  <si>
    <t xml:space="preserve">         66.39亿</t>
  </si>
  <si>
    <t>宁波海运</t>
  </si>
  <si>
    <t>天津磁卡</t>
  </si>
  <si>
    <t xml:space="preserve">         38.08亿</t>
  </si>
  <si>
    <t>华新水泥</t>
  </si>
  <si>
    <t xml:space="preserve">         68.53亿</t>
  </si>
  <si>
    <t xml:space="preserve">        115.23亿</t>
  </si>
  <si>
    <t>福建水泥</t>
  </si>
  <si>
    <t>威远生化</t>
  </si>
  <si>
    <t xml:space="preserve">         47.00亿</t>
  </si>
  <si>
    <t xml:space="preserve">        131.31亿</t>
  </si>
  <si>
    <t>鹏博士</t>
  </si>
  <si>
    <t xml:space="preserve">        208.67亿</t>
  </si>
  <si>
    <t xml:space="preserve">        216.38亿</t>
  </si>
  <si>
    <t>悦达投资</t>
  </si>
  <si>
    <t xml:space="preserve">         88.32亿</t>
  </si>
  <si>
    <t xml:space="preserve">         88.49亿</t>
  </si>
  <si>
    <t>昆明机床</t>
  </si>
  <si>
    <t>天业股份</t>
  </si>
  <si>
    <t xml:space="preserve">         55.02亿</t>
  </si>
  <si>
    <t>马钢股份</t>
  </si>
  <si>
    <t xml:space="preserve">        108.02亿</t>
  </si>
  <si>
    <t>山西汾酒</t>
  </si>
  <si>
    <t xml:space="preserve">        146.16亿</t>
  </si>
  <si>
    <t>神马股份</t>
  </si>
  <si>
    <t xml:space="preserve">         29.68亿</t>
  </si>
  <si>
    <t>东方集团</t>
  </si>
  <si>
    <t xml:space="preserve">        100.51亿</t>
  </si>
  <si>
    <t>华北制药</t>
  </si>
  <si>
    <t xml:space="preserve">         93.77亿</t>
  </si>
  <si>
    <t>杭州解百</t>
  </si>
  <si>
    <t xml:space="preserve">         23.90亿</t>
  </si>
  <si>
    <t>厦工股份</t>
  </si>
  <si>
    <t xml:space="preserve">         49.80亿</t>
  </si>
  <si>
    <t xml:space="preserve">         50.83亿</t>
  </si>
  <si>
    <t>安信信托</t>
  </si>
  <si>
    <t xml:space="preserve">         83.74亿</t>
  </si>
  <si>
    <t xml:space="preserve">         83.78亿</t>
  </si>
  <si>
    <t>ST宏盛</t>
  </si>
  <si>
    <t xml:space="preserve">         20.56亿</t>
  </si>
  <si>
    <t>中路股份</t>
  </si>
  <si>
    <t xml:space="preserve">         42.81亿</t>
  </si>
  <si>
    <t>耀皮玻璃</t>
  </si>
  <si>
    <t xml:space="preserve">         50.24亿</t>
  </si>
  <si>
    <t xml:space="preserve">         86.39亿</t>
  </si>
  <si>
    <t>隧道股份</t>
  </si>
  <si>
    <t xml:space="preserve">        118.41亿</t>
  </si>
  <si>
    <t xml:space="preserve">        167.80亿</t>
  </si>
  <si>
    <t>津劝业</t>
  </si>
  <si>
    <t xml:space="preserve">         22.73亿</t>
  </si>
  <si>
    <t>上海物贸</t>
  </si>
  <si>
    <t xml:space="preserve">         46.11亿</t>
  </si>
  <si>
    <t>世茂股份</t>
  </si>
  <si>
    <t xml:space="preserve">        116.59亿</t>
  </si>
  <si>
    <t>益民集团</t>
  </si>
  <si>
    <t xml:space="preserve">         54.11亿</t>
  </si>
  <si>
    <t>新华传媒</t>
  </si>
  <si>
    <t>兰生股份</t>
  </si>
  <si>
    <t>百联股份</t>
  </si>
  <si>
    <t xml:space="preserve">        193.77亿</t>
  </si>
  <si>
    <t xml:space="preserve">        216.35亿</t>
  </si>
  <si>
    <t>成商集团</t>
  </si>
  <si>
    <t xml:space="preserve">         31.11亿</t>
  </si>
  <si>
    <t xml:space="preserve">         31.15亿</t>
  </si>
  <si>
    <t>三精制药</t>
  </si>
  <si>
    <t xml:space="preserve">         52.77亿</t>
  </si>
  <si>
    <t>香溢融通</t>
  </si>
  <si>
    <t>广电网络</t>
  </si>
  <si>
    <t xml:space="preserve">         51.22亿</t>
  </si>
  <si>
    <t>东方明珠</t>
  </si>
  <si>
    <t xml:space="preserve">        347.95亿</t>
  </si>
  <si>
    <t>第一医药</t>
  </si>
  <si>
    <t>申通地铁</t>
  </si>
  <si>
    <t>上海机电</t>
  </si>
  <si>
    <t xml:space="preserve">        159.04亿</t>
  </si>
  <si>
    <t xml:space="preserve">        201.68亿</t>
  </si>
  <si>
    <t>界龙实业</t>
  </si>
  <si>
    <t>海通证券</t>
  </si>
  <si>
    <t xml:space="preserve">        832.68亿</t>
  </si>
  <si>
    <t>上海九百</t>
  </si>
  <si>
    <t xml:space="preserve">         34.84亿</t>
  </si>
  <si>
    <t>四川长虹</t>
  </si>
  <si>
    <t xml:space="preserve">        197.31亿</t>
  </si>
  <si>
    <t xml:space="preserve">        197.58亿</t>
  </si>
  <si>
    <t>上柴股份</t>
  </si>
  <si>
    <t xml:space="preserve">         94.64亿</t>
  </si>
  <si>
    <t>上工申贝</t>
  </si>
  <si>
    <t xml:space="preserve">         64.18亿</t>
  </si>
  <si>
    <t>丹化科技</t>
  </si>
  <si>
    <t>宝信软件</t>
  </si>
  <si>
    <t xml:space="preserve">        111.02亿</t>
  </si>
  <si>
    <t>同济科技</t>
  </si>
  <si>
    <t xml:space="preserve">         56.54亿</t>
  </si>
  <si>
    <t>万里股份</t>
  </si>
  <si>
    <t xml:space="preserve">         16.13亿</t>
  </si>
  <si>
    <t>自仪股份</t>
  </si>
  <si>
    <t>华东电脑</t>
  </si>
  <si>
    <t xml:space="preserve">         47.79亿</t>
  </si>
  <si>
    <t xml:space="preserve">         89.90亿</t>
  </si>
  <si>
    <t>海欣股份</t>
  </si>
  <si>
    <t xml:space="preserve">         55.22亿</t>
  </si>
  <si>
    <t xml:space="preserve">         90.29亿</t>
  </si>
  <si>
    <t>龙建股份</t>
  </si>
  <si>
    <t>春兰股份</t>
  </si>
  <si>
    <t xml:space="preserve">         31.95亿</t>
  </si>
  <si>
    <t>航天长峰</t>
  </si>
  <si>
    <t xml:space="preserve">         72.29亿</t>
  </si>
  <si>
    <t>长百集团</t>
  </si>
  <si>
    <t>工大首创</t>
  </si>
  <si>
    <t>银座股份</t>
  </si>
  <si>
    <t xml:space="preserve">         41.55亿</t>
  </si>
  <si>
    <t>王府井</t>
  </si>
  <si>
    <t xml:space="preserve">         76.93亿</t>
  </si>
  <si>
    <t xml:space="preserve">         85.24亿</t>
  </si>
  <si>
    <t>*ST京城</t>
  </si>
  <si>
    <t xml:space="preserve">         22.89亿</t>
  </si>
  <si>
    <t>北京城乡</t>
  </si>
  <si>
    <t xml:space="preserve">         29.49亿</t>
  </si>
  <si>
    <t>南通科技</t>
  </si>
  <si>
    <t xml:space="preserve">         19.33亿</t>
  </si>
  <si>
    <t>内蒙华电</t>
  </si>
  <si>
    <t xml:space="preserve">        169.01亿</t>
  </si>
  <si>
    <t>哈投股份</t>
  </si>
  <si>
    <t xml:space="preserve">         48.57亿</t>
  </si>
  <si>
    <t>百大集团</t>
  </si>
  <si>
    <t xml:space="preserve">         27.16亿</t>
  </si>
  <si>
    <t>星湖科技</t>
  </si>
  <si>
    <t xml:space="preserve">         37.70亿</t>
  </si>
  <si>
    <t>通化东宝</t>
  </si>
  <si>
    <t xml:space="preserve">        135.66亿</t>
  </si>
  <si>
    <t xml:space="preserve">        136.39亿</t>
  </si>
  <si>
    <t>梅雁吉祥</t>
  </si>
  <si>
    <t xml:space="preserve">         51.06亿</t>
  </si>
  <si>
    <t>智慧能源</t>
  </si>
  <si>
    <t xml:space="preserve">        101.88亿</t>
  </si>
  <si>
    <t>厦华电子</t>
  </si>
  <si>
    <t xml:space="preserve">         35.60亿</t>
  </si>
  <si>
    <t xml:space="preserve">         50.23亿</t>
  </si>
  <si>
    <t>*ST仪化</t>
  </si>
  <si>
    <t xml:space="preserve">         12.51亿</t>
  </si>
  <si>
    <t>中炬高新</t>
  </si>
  <si>
    <t xml:space="preserve">         88.35亿</t>
  </si>
  <si>
    <t>梅花生物</t>
  </si>
  <si>
    <t xml:space="preserve">        172.51亿</t>
  </si>
  <si>
    <t>创业环保</t>
  </si>
  <si>
    <t xml:space="preserve">         93.50亿</t>
  </si>
  <si>
    <t>东方电气</t>
  </si>
  <si>
    <t xml:space="preserve">        226.12亿</t>
  </si>
  <si>
    <t>洛阳玻璃</t>
  </si>
  <si>
    <t xml:space="preserve">         18.10亿</t>
  </si>
  <si>
    <t>中国嘉陵</t>
  </si>
  <si>
    <t xml:space="preserve">         45.98亿</t>
  </si>
  <si>
    <t>航天电子</t>
  </si>
  <si>
    <t xml:space="preserve">        161.65亿</t>
  </si>
  <si>
    <t>博瑞传播</t>
  </si>
  <si>
    <t xml:space="preserve">         87.39亿</t>
  </si>
  <si>
    <t xml:space="preserve">        144.21亿</t>
  </si>
  <si>
    <t>亚泰集团</t>
  </si>
  <si>
    <t>华联矿业</t>
  </si>
  <si>
    <t xml:space="preserve">         24.66亿</t>
  </si>
  <si>
    <t>博闻科技</t>
  </si>
  <si>
    <t>杉杉股份</t>
  </si>
  <si>
    <t xml:space="preserve">         81.35亿</t>
  </si>
  <si>
    <t>宏发股份</t>
  </si>
  <si>
    <t xml:space="preserve">         56.48亿</t>
  </si>
  <si>
    <t xml:space="preserve">        126.56亿</t>
  </si>
  <si>
    <t>国投电力</t>
  </si>
  <si>
    <t xml:space="preserve">        437.70亿</t>
  </si>
  <si>
    <t>伊利股份</t>
  </si>
  <si>
    <t xml:space="preserve">        848.81亿</t>
  </si>
  <si>
    <t xml:space="preserve">        864.77亿</t>
  </si>
  <si>
    <t>新疆众和</t>
  </si>
  <si>
    <t xml:space="preserve">         46.10亿</t>
  </si>
  <si>
    <t>南京化纤</t>
  </si>
  <si>
    <t>中房股份</t>
  </si>
  <si>
    <t xml:space="preserve">         42.28亿</t>
  </si>
  <si>
    <t>秋林集团</t>
  </si>
  <si>
    <t xml:space="preserve">         18.56亿</t>
  </si>
  <si>
    <t>宝诚股份</t>
  </si>
  <si>
    <t xml:space="preserve">         13.41亿</t>
  </si>
  <si>
    <t xml:space="preserve">         13.48亿</t>
  </si>
  <si>
    <t>航空动力</t>
  </si>
  <si>
    <t xml:space="preserve">        325.65亿</t>
  </si>
  <si>
    <t xml:space="preserve">        584.23亿</t>
  </si>
  <si>
    <t>广日股份</t>
  </si>
  <si>
    <t xml:space="preserve">        105.82亿</t>
  </si>
  <si>
    <t xml:space="preserve">        117.12亿</t>
  </si>
  <si>
    <t>张江高科</t>
  </si>
  <si>
    <t xml:space="preserve">        116.15亿</t>
  </si>
  <si>
    <t>中海海盛</t>
  </si>
  <si>
    <t>厦门空港</t>
  </si>
  <si>
    <t>三联商社</t>
  </si>
  <si>
    <t xml:space="preserve">         18.03亿</t>
  </si>
  <si>
    <t>长江电力</t>
  </si>
  <si>
    <t xml:space="preserve">        738.74亿</t>
  </si>
  <si>
    <t xml:space="preserve">       1250.70亿</t>
  </si>
  <si>
    <t>渤海活塞</t>
  </si>
  <si>
    <t>株冶集团</t>
  </si>
  <si>
    <t xml:space="preserve">         50.21亿</t>
  </si>
  <si>
    <t>国投中鲁</t>
  </si>
  <si>
    <t>岳阳林纸</t>
  </si>
  <si>
    <t xml:space="preserve">         41.82亿</t>
  </si>
  <si>
    <t xml:space="preserve">         51.74亿</t>
  </si>
  <si>
    <t>福成五丰</t>
  </si>
  <si>
    <t xml:space="preserve">         28.88亿</t>
  </si>
  <si>
    <t>博汇纸业</t>
  </si>
  <si>
    <t xml:space="preserve">         36.91亿</t>
  </si>
  <si>
    <t>北方创业</t>
  </si>
  <si>
    <t xml:space="preserve">        130.18亿</t>
  </si>
  <si>
    <t xml:space="preserve">        138.56亿</t>
  </si>
  <si>
    <t>郴电国际</t>
  </si>
  <si>
    <t xml:space="preserve">         29.71亿</t>
  </si>
  <si>
    <t>中材国际</t>
  </si>
  <si>
    <t xml:space="preserve">         85.71亿</t>
  </si>
  <si>
    <t>恒源煤电</t>
  </si>
  <si>
    <t xml:space="preserve">         63.20亿</t>
  </si>
  <si>
    <t>宝胜股份</t>
  </si>
  <si>
    <t>新五丰</t>
  </si>
  <si>
    <t>武汉健民</t>
  </si>
  <si>
    <t xml:space="preserve">         38.97亿</t>
  </si>
  <si>
    <t xml:space="preserve">         38.99亿</t>
  </si>
  <si>
    <t>宜华木业</t>
  </si>
  <si>
    <t xml:space="preserve">         76.07亿</t>
  </si>
  <si>
    <t>广安爱众</t>
  </si>
  <si>
    <t xml:space="preserve">         45.23亿</t>
  </si>
  <si>
    <t>北矿磁材</t>
  </si>
  <si>
    <t>汇鸿股份</t>
  </si>
  <si>
    <t xml:space="preserve">         21.73亿</t>
  </si>
  <si>
    <t>宁波热电</t>
  </si>
  <si>
    <t xml:space="preserve">         31.96亿</t>
  </si>
  <si>
    <t>合肥三洋</t>
  </si>
  <si>
    <t xml:space="preserve">         74.54亿</t>
  </si>
  <si>
    <t>建设机械</t>
  </si>
  <si>
    <t>雷鸣科化</t>
  </si>
  <si>
    <t xml:space="preserve">         17.31亿</t>
  </si>
  <si>
    <t>科达股份</t>
  </si>
  <si>
    <t xml:space="preserve">         23.64亿</t>
  </si>
  <si>
    <t>航民股份</t>
  </si>
  <si>
    <t xml:space="preserve">         53.43亿</t>
  </si>
  <si>
    <t>赤峰黄金</t>
  </si>
  <si>
    <t xml:space="preserve">         65.05亿</t>
  </si>
  <si>
    <t>四创电子</t>
  </si>
  <si>
    <t xml:space="preserve">         54.39亿</t>
  </si>
  <si>
    <t>贵绳股份</t>
  </si>
  <si>
    <t xml:space="preserve">         15.22亿</t>
  </si>
  <si>
    <t xml:space="preserve">         22.70亿</t>
  </si>
  <si>
    <t>马应龙</t>
  </si>
  <si>
    <t xml:space="preserve">         62.47亿</t>
  </si>
  <si>
    <t xml:space="preserve">         62.60亿</t>
  </si>
  <si>
    <t>文山电力</t>
  </si>
  <si>
    <t>开滦股份</t>
  </si>
  <si>
    <t xml:space="preserve">         65.44亿</t>
  </si>
  <si>
    <t>九州通</t>
  </si>
  <si>
    <t xml:space="preserve">        248.45亿</t>
  </si>
  <si>
    <t xml:space="preserve">        287.37亿</t>
  </si>
  <si>
    <t>招商证券</t>
  </si>
  <si>
    <t xml:space="preserve">        520.18亿</t>
  </si>
  <si>
    <t xml:space="preserve">        648.19亿</t>
  </si>
  <si>
    <t>唐山港</t>
  </si>
  <si>
    <t xml:space="preserve">        115.12亿</t>
  </si>
  <si>
    <t>大同煤业</t>
  </si>
  <si>
    <t xml:space="preserve">        108.29亿</t>
  </si>
  <si>
    <t>晋亿实业</t>
  </si>
  <si>
    <t xml:space="preserve">         76.87亿</t>
  </si>
  <si>
    <t xml:space="preserve">         82.52亿</t>
  </si>
  <si>
    <t>柳钢股份</t>
  </si>
  <si>
    <t xml:space="preserve">         77.65亿</t>
  </si>
  <si>
    <t>重庆钢铁</t>
  </si>
  <si>
    <t xml:space="preserve">        109.92亿</t>
  </si>
  <si>
    <t>大秦铁路</t>
  </si>
  <si>
    <t xml:space="preserve">       1181.91亿</t>
  </si>
  <si>
    <t>金陵饭店</t>
  </si>
  <si>
    <t>连云港</t>
  </si>
  <si>
    <t xml:space="preserve">         38.80亿</t>
  </si>
  <si>
    <t xml:space="preserve">         48.53亿</t>
  </si>
  <si>
    <t>南京银行</t>
  </si>
  <si>
    <t xml:space="preserve">        251.77亿</t>
  </si>
  <si>
    <t>文峰股份</t>
  </si>
  <si>
    <t xml:space="preserve">         63.94亿</t>
  </si>
  <si>
    <t>宝泰隆</t>
  </si>
  <si>
    <t>隆基股份</t>
  </si>
  <si>
    <t xml:space="preserve">         64.10亿</t>
  </si>
  <si>
    <t xml:space="preserve">        110.99亿</t>
  </si>
  <si>
    <t>宁波港</t>
  </si>
  <si>
    <t xml:space="preserve">        396.80亿</t>
  </si>
  <si>
    <t>玉龙股份</t>
  </si>
  <si>
    <t xml:space="preserve">         14.15亿</t>
  </si>
  <si>
    <t xml:space="preserve">         46.60亿</t>
  </si>
  <si>
    <t>一拖股份</t>
  </si>
  <si>
    <t>赛轮股份</t>
  </si>
  <si>
    <t xml:space="preserve">         55.34亿</t>
  </si>
  <si>
    <t xml:space="preserve">         65.21亿</t>
  </si>
  <si>
    <t>中国神华</t>
  </si>
  <si>
    <t xml:space="preserve">       2589.09亿</t>
  </si>
  <si>
    <t>中南传媒</t>
  </si>
  <si>
    <t xml:space="preserve">        280.18亿</t>
  </si>
  <si>
    <t>太平洋</t>
  </si>
  <si>
    <t xml:space="preserve">        141.72亿</t>
  </si>
  <si>
    <t xml:space="preserve">        201.71亿</t>
  </si>
  <si>
    <t>恒立油缸</t>
  </si>
  <si>
    <t xml:space="preserve">         17.15亿</t>
  </si>
  <si>
    <t xml:space="preserve">         68.61亿</t>
  </si>
  <si>
    <t>昊华能源</t>
  </si>
  <si>
    <t xml:space="preserve">         76.92亿</t>
  </si>
  <si>
    <t>中国一重</t>
  </si>
  <si>
    <t xml:space="preserve">        147.10亿</t>
  </si>
  <si>
    <t xml:space="preserve">        147.11亿</t>
  </si>
  <si>
    <t>四川成渝</t>
  </si>
  <si>
    <t xml:space="preserve">         65.96亿</t>
  </si>
  <si>
    <t>中国国航</t>
  </si>
  <si>
    <t xml:space="preserve">        316.51亿</t>
  </si>
  <si>
    <t xml:space="preserve">        323.84亿</t>
  </si>
  <si>
    <t>华鼎股份</t>
  </si>
  <si>
    <t>三江购物</t>
  </si>
  <si>
    <t xml:space="preserve">         33.80亿</t>
  </si>
  <si>
    <t xml:space="preserve">         34.54亿</t>
  </si>
  <si>
    <t>中国化学</t>
  </si>
  <si>
    <t xml:space="preserve">        296.47亿</t>
  </si>
  <si>
    <t>海南橡胶</t>
  </si>
  <si>
    <t xml:space="preserve">        272.43亿</t>
  </si>
  <si>
    <t>四方股份</t>
  </si>
  <si>
    <t xml:space="preserve">         65.97亿</t>
  </si>
  <si>
    <t xml:space="preserve">         65.99亿</t>
  </si>
  <si>
    <t>博威合金</t>
  </si>
  <si>
    <t>深圳燃气</t>
  </si>
  <si>
    <t xml:space="preserve">        138.27亿</t>
  </si>
  <si>
    <t xml:space="preserve">        143.78亿</t>
  </si>
  <si>
    <t>重庆水务</t>
  </si>
  <si>
    <t xml:space="preserve">        272.16亿</t>
  </si>
  <si>
    <t>兴业银行</t>
  </si>
  <si>
    <t xml:space="preserve">       1697.24亿</t>
  </si>
  <si>
    <t xml:space="preserve">       1998.59亿</t>
  </si>
  <si>
    <t>西部矿业</t>
  </si>
  <si>
    <t xml:space="preserve">        150.37亿</t>
  </si>
  <si>
    <t>北京银行</t>
  </si>
  <si>
    <t xml:space="preserve">        691.41亿</t>
  </si>
  <si>
    <t xml:space="preserve">        814.19亿</t>
  </si>
  <si>
    <t>杭齿前进</t>
  </si>
  <si>
    <t>中国西电</t>
  </si>
  <si>
    <t xml:space="preserve">        176.46亿</t>
  </si>
  <si>
    <t xml:space="preserve">        207.60亿</t>
  </si>
  <si>
    <t>中国铁建</t>
  </si>
  <si>
    <t xml:space="preserve">        530.51亿</t>
  </si>
  <si>
    <t>龙江交通</t>
  </si>
  <si>
    <t>江南水务</t>
  </si>
  <si>
    <t xml:space="preserve">         39.18亿</t>
  </si>
  <si>
    <t>东材科技</t>
  </si>
  <si>
    <t xml:space="preserve">         54.43亿</t>
  </si>
  <si>
    <t>内蒙君正</t>
  </si>
  <si>
    <t xml:space="preserve">        178.38亿</t>
  </si>
  <si>
    <t>吉鑫科技</t>
  </si>
  <si>
    <t xml:space="preserve">         78.65亿</t>
  </si>
  <si>
    <t>林洋电子</t>
  </si>
  <si>
    <t xml:space="preserve">         94.04亿</t>
  </si>
  <si>
    <t xml:space="preserve">         94.90亿</t>
  </si>
  <si>
    <t>陕西煤业</t>
  </si>
  <si>
    <t xml:space="preserve">        465.00亿</t>
  </si>
  <si>
    <t>环旭电子</t>
  </si>
  <si>
    <t xml:space="preserve">         35.23亿</t>
  </si>
  <si>
    <t xml:space="preserve">        333.77亿</t>
  </si>
  <si>
    <t>桐昆股份</t>
  </si>
  <si>
    <t xml:space="preserve">         66.86亿</t>
  </si>
  <si>
    <t xml:space="preserve">         67.16亿</t>
  </si>
  <si>
    <t>广汽集团</t>
  </si>
  <si>
    <t xml:space="preserve">        349.98亿</t>
  </si>
  <si>
    <t>庞大集团</t>
  </si>
  <si>
    <t xml:space="preserve">        142.09亿</t>
  </si>
  <si>
    <t>农业银行</t>
  </si>
  <si>
    <t xml:space="preserve">       7132.50亿</t>
  </si>
  <si>
    <t xml:space="preserve">       7380.79亿</t>
  </si>
  <si>
    <t>中国北车</t>
  </si>
  <si>
    <t xml:space="preserve">        532.63亿</t>
  </si>
  <si>
    <t>骆驼股份</t>
  </si>
  <si>
    <t xml:space="preserve">        115.97亿</t>
  </si>
  <si>
    <t xml:space="preserve">        116.94亿</t>
  </si>
  <si>
    <t>江南嘉捷</t>
  </si>
  <si>
    <t xml:space="preserve">         34.52亿</t>
  </si>
  <si>
    <t>中国平安</t>
  </si>
  <si>
    <t>保险</t>
  </si>
  <si>
    <t xml:space="preserve">       2087.83亿</t>
  </si>
  <si>
    <t>交通银行</t>
  </si>
  <si>
    <t xml:space="preserve">       1419.57亿</t>
  </si>
  <si>
    <t xml:space="preserve">       1703.49亿</t>
  </si>
  <si>
    <t>广深铁路</t>
  </si>
  <si>
    <t xml:space="preserve">        162.22亿</t>
  </si>
  <si>
    <t>新华保险</t>
  </si>
  <si>
    <t xml:space="preserve">        278.89亿</t>
  </si>
  <si>
    <t xml:space="preserve">        528.45亿</t>
  </si>
  <si>
    <t>百隆东方</t>
  </si>
  <si>
    <t xml:space="preserve">         17.49亿</t>
  </si>
  <si>
    <t>陕鼓动力</t>
  </si>
  <si>
    <t xml:space="preserve">        103.41亿</t>
  </si>
  <si>
    <t>兴业证券</t>
  </si>
  <si>
    <t xml:space="preserve">        294.30亿</t>
  </si>
  <si>
    <t xml:space="preserve">        308.62亿</t>
  </si>
  <si>
    <t>怡球资源</t>
  </si>
  <si>
    <t xml:space="preserve">         20.67亿</t>
  </si>
  <si>
    <t xml:space="preserve">         49.52亿</t>
  </si>
  <si>
    <t>中国中铁</t>
  </si>
  <si>
    <t xml:space="preserve">        500.81亿</t>
  </si>
  <si>
    <t>工商银行</t>
  </si>
  <si>
    <t xml:space="preserve">       9499.53亿</t>
  </si>
  <si>
    <t>东风股份</t>
  </si>
  <si>
    <t xml:space="preserve">         19.69亿</t>
  </si>
  <si>
    <t xml:space="preserve">        129.33亿</t>
  </si>
  <si>
    <t>吉林高速</t>
  </si>
  <si>
    <t xml:space="preserve">         32.51亿</t>
  </si>
  <si>
    <t>大智慧</t>
  </si>
  <si>
    <t>东吴证券</t>
  </si>
  <si>
    <t xml:space="preserve">        111.88亿</t>
  </si>
  <si>
    <t xml:space="preserve">        247.32亿</t>
  </si>
  <si>
    <t>*ST锐电</t>
  </si>
  <si>
    <t xml:space="preserve">        144.33亿</t>
  </si>
  <si>
    <t>九牧王</t>
  </si>
  <si>
    <t xml:space="preserve">         73.96亿</t>
  </si>
  <si>
    <t>三星电气</t>
  </si>
  <si>
    <t xml:space="preserve">         49.47亿</t>
  </si>
  <si>
    <t xml:space="preserve">         57.55亿</t>
  </si>
  <si>
    <t>会稽山</t>
  </si>
  <si>
    <t xml:space="preserve">         14.23亿</t>
  </si>
  <si>
    <t xml:space="preserve">         56.92亿</t>
  </si>
  <si>
    <t>北辰实业</t>
  </si>
  <si>
    <t xml:space="preserve">         73.68亿</t>
  </si>
  <si>
    <t>鹿港科技</t>
  </si>
  <si>
    <t xml:space="preserve">         30.37亿</t>
  </si>
  <si>
    <t>中国铝业</t>
  </si>
  <si>
    <t xml:space="preserve">        363.10亿</t>
  </si>
  <si>
    <t>中国太保</t>
  </si>
  <si>
    <t xml:space="preserve">       1274.94亿</t>
  </si>
  <si>
    <t>上海医药</t>
  </si>
  <si>
    <t xml:space="preserve">        271.52亿</t>
  </si>
  <si>
    <t xml:space="preserve">        271.53亿</t>
  </si>
  <si>
    <t>中信重工</t>
  </si>
  <si>
    <t xml:space="preserve">         26.42亿</t>
  </si>
  <si>
    <t xml:space="preserve">         96.17亿</t>
  </si>
  <si>
    <t>广电电气</t>
  </si>
  <si>
    <t xml:space="preserve">         45.60亿</t>
  </si>
  <si>
    <t>中国中冶</t>
  </si>
  <si>
    <t xml:space="preserve">        321.53亿</t>
  </si>
  <si>
    <t>中国人寿</t>
  </si>
  <si>
    <t xml:space="preserve">       3308.86亿</t>
  </si>
  <si>
    <t>长城汽车</t>
  </si>
  <si>
    <t xml:space="preserve">        644.57亿</t>
  </si>
  <si>
    <t>旗滨集团</t>
  </si>
  <si>
    <t xml:space="preserve">         42.85亿</t>
  </si>
  <si>
    <t>平煤股份</t>
  </si>
  <si>
    <t xml:space="preserve">        105.54亿</t>
  </si>
  <si>
    <t>中国建筑</t>
  </si>
  <si>
    <t xml:space="preserve">       1003.07亿</t>
  </si>
  <si>
    <t xml:space="preserve">       1008.00亿</t>
  </si>
  <si>
    <t>中国电建</t>
  </si>
  <si>
    <t xml:space="preserve">        254.40亿</t>
  </si>
  <si>
    <t>明泰铝业</t>
  </si>
  <si>
    <t xml:space="preserve">         13.37亿</t>
  </si>
  <si>
    <t>滨化股份</t>
  </si>
  <si>
    <t xml:space="preserve">         57.88亿</t>
  </si>
  <si>
    <t>华泰证券</t>
  </si>
  <si>
    <t xml:space="preserve">        506.24亿</t>
  </si>
  <si>
    <t>潞安环能</t>
  </si>
  <si>
    <t xml:space="preserve">        208.94亿</t>
  </si>
  <si>
    <t>风范股份</t>
  </si>
  <si>
    <t xml:space="preserve">         68.46亿</t>
  </si>
  <si>
    <t>郑煤机</t>
  </si>
  <si>
    <t xml:space="preserve">         84.60亿</t>
  </si>
  <si>
    <t>际华集团</t>
  </si>
  <si>
    <t xml:space="preserve">        130.37亿</t>
  </si>
  <si>
    <t>上海电气</t>
  </si>
  <si>
    <t xml:space="preserve">        423.58亿</t>
  </si>
  <si>
    <t>中国南车</t>
  </si>
  <si>
    <t xml:space="preserve">        555.22亿</t>
  </si>
  <si>
    <t xml:space="preserve">        627.82亿</t>
  </si>
  <si>
    <t>力帆股份</t>
  </si>
  <si>
    <t xml:space="preserve">         84.68亿</t>
  </si>
  <si>
    <t xml:space="preserve">         89.92亿</t>
  </si>
  <si>
    <t>光大证券</t>
  </si>
  <si>
    <t xml:space="preserve">        316.17亿</t>
  </si>
  <si>
    <t>宁波建工</t>
  </si>
  <si>
    <t xml:space="preserve">         40.85亿</t>
  </si>
  <si>
    <t>蓝科高新</t>
  </si>
  <si>
    <t>星宇股份</t>
  </si>
  <si>
    <t xml:space="preserve">         47.10亿</t>
  </si>
  <si>
    <t>中国交建</t>
  </si>
  <si>
    <t xml:space="preserve">         56.28亿</t>
  </si>
  <si>
    <t xml:space="preserve">        489.86亿</t>
  </si>
  <si>
    <t>皖新传媒</t>
  </si>
  <si>
    <t xml:space="preserve">        152.88亿</t>
  </si>
  <si>
    <t>中海油服</t>
  </si>
  <si>
    <t xml:space="preserve">        601.27亿</t>
  </si>
  <si>
    <t>光大银行</t>
  </si>
  <si>
    <t xml:space="preserve">       1086.82亿</t>
  </si>
  <si>
    <t>中国石油</t>
  </si>
  <si>
    <t xml:space="preserve">      13099.50亿</t>
  </si>
  <si>
    <t>中海集运</t>
  </si>
  <si>
    <t xml:space="preserve">        237.17亿</t>
  </si>
  <si>
    <t>招商轮船</t>
  </si>
  <si>
    <t xml:space="preserve">        118.59亿</t>
  </si>
  <si>
    <t xml:space="preserve">        148.24亿</t>
  </si>
  <si>
    <t>正泰电器</t>
  </si>
  <si>
    <t xml:space="preserve">        268.10亿</t>
  </si>
  <si>
    <t>大连港</t>
  </si>
  <si>
    <t xml:space="preserve">        112.67亿</t>
  </si>
  <si>
    <t>江河创建</t>
  </si>
  <si>
    <t xml:space="preserve">         65.23亿</t>
  </si>
  <si>
    <t xml:space="preserve">         82.98亿</t>
  </si>
  <si>
    <t>中国国旅</t>
  </si>
  <si>
    <t xml:space="preserve">        374.39亿</t>
  </si>
  <si>
    <t>亚星锚链</t>
  </si>
  <si>
    <t xml:space="preserve">         49.09亿</t>
  </si>
  <si>
    <t>中煤能源</t>
  </si>
  <si>
    <t xml:space="preserve">        410.92亿</t>
  </si>
  <si>
    <t>紫金矿业</t>
  </si>
  <si>
    <t xml:space="preserve">        376.13亿</t>
  </si>
  <si>
    <t>方正证券</t>
  </si>
  <si>
    <t xml:space="preserve">        369.05亿</t>
  </si>
  <si>
    <t xml:space="preserve">        498.04亿</t>
  </si>
  <si>
    <t>京运通</t>
  </si>
  <si>
    <t xml:space="preserve">         28.08亿</t>
  </si>
  <si>
    <t xml:space="preserve">         84.86亿</t>
  </si>
  <si>
    <t>国投新集</t>
  </si>
  <si>
    <t xml:space="preserve">         98.18亿</t>
  </si>
  <si>
    <t>中国远洋</t>
  </si>
  <si>
    <t xml:space="preserve">        273.36亿</t>
  </si>
  <si>
    <t>凤凰传媒</t>
  </si>
  <si>
    <t xml:space="preserve">         73.22亿</t>
  </si>
  <si>
    <t xml:space="preserve">        283.25亿</t>
  </si>
  <si>
    <t>吉视传媒</t>
  </si>
  <si>
    <t xml:space="preserve">        109.66亿</t>
  </si>
  <si>
    <t xml:space="preserve">        185.83亿</t>
  </si>
  <si>
    <t>永辉超市</t>
  </si>
  <si>
    <t xml:space="preserve">        243.58亿</t>
  </si>
  <si>
    <t xml:space="preserve">        258.08亿</t>
  </si>
  <si>
    <t>建设银行</t>
  </si>
  <si>
    <t xml:space="preserve">        398.14亿</t>
  </si>
  <si>
    <t>金钼股份</t>
  </si>
  <si>
    <t xml:space="preserve">        275.55亿</t>
  </si>
  <si>
    <t>中国汽研</t>
  </si>
  <si>
    <t xml:space="preserve">         87.40亿</t>
  </si>
  <si>
    <t>中国银行</t>
  </si>
  <si>
    <t xml:space="preserve">       5343.77亿</t>
  </si>
  <si>
    <t>中国重工</t>
  </si>
  <si>
    <t xml:space="preserve">        898.15亿</t>
  </si>
  <si>
    <t xml:space="preserve">       1015.06亿</t>
  </si>
  <si>
    <t>大唐发电</t>
  </si>
  <si>
    <t xml:space="preserve">        395.78亿</t>
  </si>
  <si>
    <t>金隅股份</t>
  </si>
  <si>
    <t xml:space="preserve">        202.86亿</t>
  </si>
  <si>
    <t xml:space="preserve">        235.71亿</t>
  </si>
  <si>
    <t>丰林集团</t>
  </si>
  <si>
    <t xml:space="preserve">         15.13亿</t>
  </si>
  <si>
    <t>中信银行</t>
  </si>
  <si>
    <t xml:space="preserve">       1407.02亿</t>
  </si>
  <si>
    <t>出版传媒</t>
  </si>
  <si>
    <t xml:space="preserve">         59.44亿</t>
  </si>
  <si>
    <t>人民网</t>
  </si>
  <si>
    <t xml:space="preserve">        110.01亿</t>
  </si>
  <si>
    <t xml:space="preserve">        272.66亿</t>
  </si>
  <si>
    <t>奥康国际</t>
  </si>
  <si>
    <t xml:space="preserve">         61.75亿</t>
  </si>
  <si>
    <t>宏昌电子</t>
  </si>
  <si>
    <t xml:space="preserve">         15.14亿</t>
  </si>
  <si>
    <t>龙宇燃油</t>
  </si>
  <si>
    <t xml:space="preserve">          9.26亿</t>
  </si>
  <si>
    <t xml:space="preserve">         29.53亿</t>
  </si>
  <si>
    <t>晶方科技</t>
  </si>
  <si>
    <t xml:space="preserve">         25.12亿</t>
  </si>
  <si>
    <t xml:space="preserve">        100.49亿</t>
  </si>
  <si>
    <t>联明股份</t>
  </si>
  <si>
    <t xml:space="preserve">          6.19亿</t>
  </si>
  <si>
    <t>喜临门</t>
  </si>
  <si>
    <t>北特科技</t>
  </si>
  <si>
    <t xml:space="preserve">          6.35亿</t>
  </si>
  <si>
    <t>和邦股份</t>
  </si>
  <si>
    <t xml:space="preserve">         28.05亿</t>
  </si>
  <si>
    <t xml:space="preserve">         94.54亿</t>
  </si>
  <si>
    <t>长白山</t>
  </si>
  <si>
    <t xml:space="preserve">         46.80亿</t>
  </si>
  <si>
    <t>川仪股份</t>
  </si>
  <si>
    <t xml:space="preserve">         58.06亿</t>
  </si>
  <si>
    <t>康尼机电</t>
  </si>
  <si>
    <t xml:space="preserve">         14.02亿</t>
  </si>
  <si>
    <t xml:space="preserve">         56.02亿</t>
  </si>
  <si>
    <t>翠微股份</t>
  </si>
  <si>
    <t xml:space="preserve">         11.39亿</t>
  </si>
  <si>
    <t>中材节能</t>
  </si>
  <si>
    <t xml:space="preserve">         61.42亿</t>
  </si>
  <si>
    <t>华贸物流</t>
  </si>
  <si>
    <t xml:space="preserve">         51.40亿</t>
  </si>
  <si>
    <t>渤海轮渡</t>
  </si>
  <si>
    <t>莎普爱思</t>
  </si>
  <si>
    <t xml:space="preserve">         14.22亿</t>
  </si>
  <si>
    <t>N亚邦</t>
  </si>
  <si>
    <t xml:space="preserve">         84.99亿</t>
  </si>
  <si>
    <t>海天味业</t>
  </si>
  <si>
    <t xml:space="preserve">         57.29亿</t>
  </si>
  <si>
    <t xml:space="preserve">        572.90亿</t>
  </si>
  <si>
    <t>应流股份</t>
  </si>
  <si>
    <t xml:space="preserve">         13.08亿</t>
  </si>
  <si>
    <t xml:space="preserve">         65.40亿</t>
  </si>
  <si>
    <t>依顿电子</t>
  </si>
  <si>
    <t xml:space="preserve">        130.42亿</t>
  </si>
  <si>
    <t>明星电缆</t>
  </si>
  <si>
    <t xml:space="preserve">         10.02亿</t>
  </si>
  <si>
    <t xml:space="preserve">         26.78亿</t>
  </si>
  <si>
    <t>日出东方</t>
  </si>
  <si>
    <t xml:space="preserve">         63.44亿</t>
  </si>
  <si>
    <t>今世缘</t>
  </si>
  <si>
    <t xml:space="preserve">         13.88亿</t>
  </si>
  <si>
    <t xml:space="preserve">        134.48亿</t>
  </si>
  <si>
    <t>新华龙</t>
  </si>
  <si>
    <t xml:space="preserve">         13.29亿</t>
  </si>
  <si>
    <t xml:space="preserve">         37.63亿</t>
  </si>
  <si>
    <t>贵人鸟</t>
  </si>
  <si>
    <t xml:space="preserve">         11.47亿</t>
  </si>
  <si>
    <t xml:space="preserve">         79.14亿</t>
  </si>
  <si>
    <t>禾丰牧业</t>
  </si>
  <si>
    <t xml:space="preserve">         11.45亿</t>
  </si>
  <si>
    <t xml:space="preserve">         79.29亿</t>
  </si>
  <si>
    <t>纽威股份</t>
  </si>
  <si>
    <t xml:space="preserve">         16.45亿</t>
  </si>
  <si>
    <t xml:space="preserve">        149.55亿</t>
  </si>
  <si>
    <t>隆鑫通用</t>
  </si>
  <si>
    <t xml:space="preserve">        105.92亿</t>
  </si>
  <si>
    <t>福斯特</t>
  </si>
  <si>
    <t xml:space="preserve">        173.06亿</t>
  </si>
  <si>
    <t>洛阳钼业</t>
  </si>
  <si>
    <t xml:space="preserve">        146.84亿</t>
  </si>
  <si>
    <t xml:space="preserve">        280.87亿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</si>
</sst>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535"/>
  <sheetViews>
    <sheetView tabSelected="1" workbookViewId="0">
      <selection activeCell="J16" sqref="J16"/>
    </sheetView>
  </sheetViews>
  <sheetFormatPr defaultRowHeight="14.4"/>
  <sheetData>
    <row r="1" spans="1:23">
      <c r="A1" t="str">
        <f>"000001"</f>
        <v>000001</v>
      </c>
      <c r="B1" t="s">
        <v>0</v>
      </c>
      <c r="C1">
        <v>10.55</v>
      </c>
      <c r="D1">
        <v>10.58</v>
      </c>
      <c r="E1">
        <v>10.42</v>
      </c>
      <c r="F1">
        <v>10.46</v>
      </c>
      <c r="G1">
        <v>566698</v>
      </c>
      <c r="H1">
        <v>593195200</v>
      </c>
      <c r="I1">
        <v>0.87</v>
      </c>
      <c r="J1" t="s">
        <v>1</v>
      </c>
      <c r="K1" t="s">
        <v>2</v>
      </c>
      <c r="L1">
        <v>-1.04</v>
      </c>
      <c r="M1">
        <v>10.47</v>
      </c>
      <c r="N1">
        <v>335209</v>
      </c>
      <c r="O1">
        <v>231488</v>
      </c>
      <c r="P1">
        <v>1.45</v>
      </c>
      <c r="Q1">
        <v>2397</v>
      </c>
      <c r="R1">
        <v>2491</v>
      </c>
      <c r="S1" t="s">
        <v>3</v>
      </c>
      <c r="T1">
        <v>983671.19</v>
      </c>
      <c r="U1" t="s">
        <v>4</v>
      </c>
      <c r="V1" t="s">
        <v>5</v>
      </c>
      <c r="W1">
        <v>-0.88</v>
      </c>
    </row>
    <row r="2" spans="1:23">
      <c r="A2" t="str">
        <f>"000002"</f>
        <v>000002</v>
      </c>
      <c r="B2" t="s">
        <v>6</v>
      </c>
      <c r="C2">
        <v>9.83</v>
      </c>
      <c r="D2">
        <v>9.83</v>
      </c>
      <c r="E2">
        <v>9.58</v>
      </c>
      <c r="F2">
        <v>9.6199999999999992</v>
      </c>
      <c r="G2">
        <v>630202</v>
      </c>
      <c r="H2">
        <v>608209600</v>
      </c>
      <c r="I2">
        <v>0.74</v>
      </c>
      <c r="J2" t="s">
        <v>7</v>
      </c>
      <c r="K2" t="s">
        <v>2</v>
      </c>
      <c r="L2">
        <v>-2.14</v>
      </c>
      <c r="M2">
        <v>9.65</v>
      </c>
      <c r="N2">
        <v>354030</v>
      </c>
      <c r="O2">
        <v>276171</v>
      </c>
      <c r="P2">
        <v>1.28</v>
      </c>
      <c r="Q2">
        <v>3837</v>
      </c>
      <c r="R2">
        <v>2880</v>
      </c>
      <c r="S2" t="s">
        <v>3</v>
      </c>
      <c r="T2">
        <v>967191.31</v>
      </c>
      <c r="U2" t="s">
        <v>8</v>
      </c>
      <c r="V2" t="s">
        <v>9</v>
      </c>
      <c r="W2">
        <v>-1.98</v>
      </c>
    </row>
    <row r="3" spans="1:23">
      <c r="A3" t="str">
        <f>"000004"</f>
        <v>000004</v>
      </c>
      <c r="B3" t="s">
        <v>10</v>
      </c>
      <c r="C3" t="s">
        <v>3</v>
      </c>
      <c r="D3" t="s">
        <v>3</v>
      </c>
      <c r="E3" t="s">
        <v>3</v>
      </c>
      <c r="F3">
        <v>0</v>
      </c>
      <c r="G3">
        <v>0</v>
      </c>
      <c r="H3">
        <v>0</v>
      </c>
      <c r="I3">
        <v>0</v>
      </c>
      <c r="J3" t="s">
        <v>11</v>
      </c>
      <c r="K3" t="s">
        <v>2</v>
      </c>
      <c r="L3" t="s">
        <v>3</v>
      </c>
      <c r="M3">
        <v>15.23</v>
      </c>
      <c r="N3">
        <v>0</v>
      </c>
      <c r="O3">
        <v>0</v>
      </c>
      <c r="P3" t="s">
        <v>3</v>
      </c>
      <c r="Q3">
        <v>0</v>
      </c>
      <c r="R3">
        <v>0</v>
      </c>
      <c r="S3" t="s">
        <v>3</v>
      </c>
      <c r="T3">
        <v>8387.5400000000009</v>
      </c>
      <c r="U3" t="s">
        <v>12</v>
      </c>
      <c r="V3" t="s">
        <v>13</v>
      </c>
      <c r="W3">
        <v>0.16</v>
      </c>
    </row>
    <row r="4" spans="1:23">
      <c r="A4" t="str">
        <f>"000005"</f>
        <v>000005</v>
      </c>
      <c r="B4" t="s">
        <v>14</v>
      </c>
      <c r="C4">
        <v>2.68</v>
      </c>
      <c r="D4">
        <v>2.73</v>
      </c>
      <c r="E4">
        <v>2.68</v>
      </c>
      <c r="F4">
        <v>2.71</v>
      </c>
      <c r="G4">
        <v>199744</v>
      </c>
      <c r="H4">
        <v>54082896</v>
      </c>
      <c r="I4">
        <v>1.29</v>
      </c>
      <c r="J4" t="s">
        <v>15</v>
      </c>
      <c r="K4" t="s">
        <v>2</v>
      </c>
      <c r="L4">
        <v>1.5</v>
      </c>
      <c r="M4">
        <v>2.71</v>
      </c>
      <c r="N4">
        <v>82253</v>
      </c>
      <c r="O4">
        <v>117491</v>
      </c>
      <c r="P4">
        <v>0.7</v>
      </c>
      <c r="Q4">
        <v>6475</v>
      </c>
      <c r="R4">
        <v>776</v>
      </c>
      <c r="S4" t="s">
        <v>3</v>
      </c>
      <c r="T4">
        <v>91374.29</v>
      </c>
      <c r="U4" t="s">
        <v>16</v>
      </c>
      <c r="V4" t="s">
        <v>17</v>
      </c>
      <c r="W4">
        <v>1.66</v>
      </c>
    </row>
    <row r="5" spans="1:23">
      <c r="A5" t="str">
        <f>"000006"</f>
        <v>000006</v>
      </c>
      <c r="B5" t="s">
        <v>18</v>
      </c>
      <c r="C5">
        <v>5.48</v>
      </c>
      <c r="D5">
        <v>5.6</v>
      </c>
      <c r="E5">
        <v>5.42</v>
      </c>
      <c r="F5">
        <v>5.59</v>
      </c>
      <c r="G5">
        <v>246666</v>
      </c>
      <c r="H5">
        <v>136600624</v>
      </c>
      <c r="I5">
        <v>1.33</v>
      </c>
      <c r="J5" t="s">
        <v>15</v>
      </c>
      <c r="K5" t="s">
        <v>2</v>
      </c>
      <c r="L5">
        <v>2.38</v>
      </c>
      <c r="M5">
        <v>5.54</v>
      </c>
      <c r="N5">
        <v>93587</v>
      </c>
      <c r="O5">
        <v>153078</v>
      </c>
      <c r="P5">
        <v>0.61</v>
      </c>
      <c r="Q5">
        <v>415</v>
      </c>
      <c r="R5">
        <v>2782</v>
      </c>
      <c r="S5" t="s">
        <v>3</v>
      </c>
      <c r="T5">
        <v>133889.70000000001</v>
      </c>
      <c r="U5" t="s">
        <v>19</v>
      </c>
      <c r="V5" t="s">
        <v>20</v>
      </c>
      <c r="W5">
        <v>2.54</v>
      </c>
    </row>
    <row r="6" spans="1:23">
      <c r="A6" t="str">
        <f>"000007"</f>
        <v>000007</v>
      </c>
      <c r="B6" t="s">
        <v>21</v>
      </c>
      <c r="C6">
        <v>13.93</v>
      </c>
      <c r="D6">
        <v>13.93</v>
      </c>
      <c r="E6">
        <v>13.93</v>
      </c>
      <c r="F6">
        <v>13.93</v>
      </c>
      <c r="G6">
        <v>2387</v>
      </c>
      <c r="H6">
        <v>3324506</v>
      </c>
      <c r="I6">
        <v>0.34</v>
      </c>
      <c r="J6" t="s">
        <v>22</v>
      </c>
      <c r="K6" t="s">
        <v>2</v>
      </c>
      <c r="L6">
        <v>10.029999999999999</v>
      </c>
      <c r="M6">
        <v>13.93</v>
      </c>
      <c r="N6">
        <v>2268</v>
      </c>
      <c r="O6">
        <v>118</v>
      </c>
      <c r="P6">
        <v>19.22</v>
      </c>
      <c r="Q6">
        <v>150982</v>
      </c>
      <c r="R6">
        <v>0</v>
      </c>
      <c r="S6" t="s">
        <v>3</v>
      </c>
      <c r="T6">
        <v>20581.310000000001</v>
      </c>
      <c r="U6" t="s">
        <v>23</v>
      </c>
      <c r="V6" t="s">
        <v>24</v>
      </c>
      <c r="W6">
        <v>10.19</v>
      </c>
    </row>
    <row r="7" spans="1:23">
      <c r="A7" t="str">
        <f>"000008"</f>
        <v>000008</v>
      </c>
      <c r="B7" t="s">
        <v>25</v>
      </c>
      <c r="C7" t="s">
        <v>3</v>
      </c>
      <c r="D7" t="s">
        <v>3</v>
      </c>
      <c r="E7" t="s">
        <v>3</v>
      </c>
      <c r="F7">
        <v>0</v>
      </c>
      <c r="G7">
        <v>0</v>
      </c>
      <c r="H7">
        <v>0</v>
      </c>
      <c r="I7">
        <v>0</v>
      </c>
      <c r="J7" t="s">
        <v>26</v>
      </c>
      <c r="K7" t="s">
        <v>2</v>
      </c>
      <c r="L7" t="s">
        <v>3</v>
      </c>
      <c r="M7">
        <v>8.4</v>
      </c>
      <c r="N7">
        <v>0</v>
      </c>
      <c r="O7">
        <v>0</v>
      </c>
      <c r="P7" t="s">
        <v>3</v>
      </c>
      <c r="Q7">
        <v>0</v>
      </c>
      <c r="R7">
        <v>0</v>
      </c>
      <c r="S7" t="s">
        <v>3</v>
      </c>
      <c r="T7">
        <v>14730.62</v>
      </c>
      <c r="U7" t="s">
        <v>27</v>
      </c>
      <c r="V7" t="s">
        <v>28</v>
      </c>
      <c r="W7">
        <v>0.16</v>
      </c>
    </row>
    <row r="8" spans="1:23">
      <c r="A8" t="str">
        <f>"000009"</f>
        <v>000009</v>
      </c>
      <c r="B8" t="s">
        <v>29</v>
      </c>
      <c r="C8">
        <v>13.51</v>
      </c>
      <c r="D8">
        <v>14.81</v>
      </c>
      <c r="E8">
        <v>13.48</v>
      </c>
      <c r="F8">
        <v>14.81</v>
      </c>
      <c r="G8">
        <v>1661560</v>
      </c>
      <c r="H8">
        <v>2403432704</v>
      </c>
      <c r="I8">
        <v>2.02</v>
      </c>
      <c r="J8" t="s">
        <v>7</v>
      </c>
      <c r="K8" t="s">
        <v>2</v>
      </c>
      <c r="L8">
        <v>10.029999999999999</v>
      </c>
      <c r="M8">
        <v>14.46</v>
      </c>
      <c r="N8">
        <v>802746</v>
      </c>
      <c r="O8">
        <v>858813</v>
      </c>
      <c r="P8">
        <v>0.93</v>
      </c>
      <c r="Q8">
        <v>55561</v>
      </c>
      <c r="R8">
        <v>0</v>
      </c>
      <c r="S8" t="s">
        <v>3</v>
      </c>
      <c r="T8">
        <v>148966.91</v>
      </c>
      <c r="U8" t="s">
        <v>30</v>
      </c>
      <c r="V8" t="s">
        <v>31</v>
      </c>
      <c r="W8">
        <v>10.19</v>
      </c>
    </row>
    <row r="9" spans="1:23">
      <c r="A9" t="str">
        <f>"000010"</f>
        <v>000010</v>
      </c>
      <c r="B9" t="s">
        <v>32</v>
      </c>
      <c r="C9">
        <v>7.85</v>
      </c>
      <c r="D9">
        <v>8.18</v>
      </c>
      <c r="E9">
        <v>7.77</v>
      </c>
      <c r="F9">
        <v>8.09</v>
      </c>
      <c r="G9">
        <v>181160</v>
      </c>
      <c r="H9">
        <v>146171952</v>
      </c>
      <c r="I9">
        <v>1.38</v>
      </c>
      <c r="J9" t="s">
        <v>33</v>
      </c>
      <c r="K9" t="s">
        <v>34</v>
      </c>
      <c r="L9">
        <v>2.93</v>
      </c>
      <c r="M9">
        <v>8.07</v>
      </c>
      <c r="N9">
        <v>77949</v>
      </c>
      <c r="O9">
        <v>103210</v>
      </c>
      <c r="P9">
        <v>0.76</v>
      </c>
      <c r="Q9">
        <v>727</v>
      </c>
      <c r="R9">
        <v>2598</v>
      </c>
      <c r="S9" t="s">
        <v>3</v>
      </c>
      <c r="T9">
        <v>35815.75</v>
      </c>
      <c r="U9" t="s">
        <v>35</v>
      </c>
      <c r="V9" t="s">
        <v>36</v>
      </c>
      <c r="W9">
        <v>3.08</v>
      </c>
    </row>
    <row r="10" spans="1:23">
      <c r="A10" t="str">
        <f>"000011"</f>
        <v>000011</v>
      </c>
      <c r="B10" t="s">
        <v>37</v>
      </c>
      <c r="C10">
        <v>8</v>
      </c>
      <c r="D10">
        <v>8.0500000000000007</v>
      </c>
      <c r="E10">
        <v>7.9</v>
      </c>
      <c r="F10">
        <v>8.0299999999999994</v>
      </c>
      <c r="G10">
        <v>46502</v>
      </c>
      <c r="H10">
        <v>37176764</v>
      </c>
      <c r="I10">
        <v>0.93</v>
      </c>
      <c r="J10" t="s">
        <v>15</v>
      </c>
      <c r="K10" t="s">
        <v>2</v>
      </c>
      <c r="L10">
        <v>0.5</v>
      </c>
      <c r="M10">
        <v>7.99</v>
      </c>
      <c r="N10">
        <v>24893</v>
      </c>
      <c r="O10">
        <v>21608</v>
      </c>
      <c r="P10">
        <v>1.1499999999999999</v>
      </c>
      <c r="Q10">
        <v>570</v>
      </c>
      <c r="R10">
        <v>694</v>
      </c>
      <c r="S10" t="s">
        <v>3</v>
      </c>
      <c r="T10">
        <v>17586.25</v>
      </c>
      <c r="U10" t="s">
        <v>38</v>
      </c>
      <c r="V10" t="s">
        <v>39</v>
      </c>
      <c r="W10">
        <v>0.66</v>
      </c>
    </row>
    <row r="11" spans="1:23">
      <c r="A11" t="str">
        <f>"000012"</f>
        <v>000012</v>
      </c>
      <c r="B11" t="s">
        <v>40</v>
      </c>
      <c r="C11">
        <v>7.65</v>
      </c>
      <c r="D11">
        <v>7.74</v>
      </c>
      <c r="E11">
        <v>7.64</v>
      </c>
      <c r="F11">
        <v>7.72</v>
      </c>
      <c r="G11">
        <v>345587</v>
      </c>
      <c r="H11">
        <v>266164736</v>
      </c>
      <c r="I11">
        <v>1.2</v>
      </c>
      <c r="J11" t="s">
        <v>41</v>
      </c>
      <c r="K11" t="s">
        <v>2</v>
      </c>
      <c r="L11">
        <v>0.92</v>
      </c>
      <c r="M11">
        <v>7.7</v>
      </c>
      <c r="N11">
        <v>163802</v>
      </c>
      <c r="O11">
        <v>181785</v>
      </c>
      <c r="P11">
        <v>0.9</v>
      </c>
      <c r="Q11">
        <v>2588</v>
      </c>
      <c r="R11">
        <v>4343</v>
      </c>
      <c r="S11" t="s">
        <v>3</v>
      </c>
      <c r="T11">
        <v>130276.85</v>
      </c>
      <c r="U11" t="s">
        <v>42</v>
      </c>
      <c r="V11" t="s">
        <v>43</v>
      </c>
      <c r="W11">
        <v>1.07</v>
      </c>
    </row>
    <row r="12" spans="1:23">
      <c r="A12" t="str">
        <f>"000014"</f>
        <v>000014</v>
      </c>
      <c r="B12" t="s">
        <v>44</v>
      </c>
      <c r="C12">
        <v>12.32</v>
      </c>
      <c r="D12">
        <v>12.81</v>
      </c>
      <c r="E12">
        <v>12.32</v>
      </c>
      <c r="F12">
        <v>12.58</v>
      </c>
      <c r="G12">
        <v>53763</v>
      </c>
      <c r="H12">
        <v>67573456</v>
      </c>
      <c r="I12">
        <v>1.47</v>
      </c>
      <c r="J12" t="s">
        <v>7</v>
      </c>
      <c r="K12" t="s">
        <v>2</v>
      </c>
      <c r="L12">
        <v>2.2799999999999998</v>
      </c>
      <c r="M12">
        <v>12.57</v>
      </c>
      <c r="N12">
        <v>27529</v>
      </c>
      <c r="O12">
        <v>26233</v>
      </c>
      <c r="P12">
        <v>1.05</v>
      </c>
      <c r="Q12">
        <v>128</v>
      </c>
      <c r="R12">
        <v>45</v>
      </c>
      <c r="S12" t="s">
        <v>3</v>
      </c>
      <c r="T12">
        <v>20170.509999999998</v>
      </c>
      <c r="U12" t="s">
        <v>45</v>
      </c>
      <c r="V12" t="s">
        <v>45</v>
      </c>
      <c r="W12">
        <v>2.4300000000000002</v>
      </c>
    </row>
    <row r="13" spans="1:23">
      <c r="A13" t="str">
        <f>"000016"</f>
        <v>000016</v>
      </c>
      <c r="B13" t="s">
        <v>46</v>
      </c>
      <c r="C13">
        <v>4.8099999999999996</v>
      </c>
      <c r="D13">
        <v>4.95</v>
      </c>
      <c r="E13">
        <v>4.79</v>
      </c>
      <c r="F13">
        <v>4.91</v>
      </c>
      <c r="G13">
        <v>196688</v>
      </c>
      <c r="H13">
        <v>96032656</v>
      </c>
      <c r="I13">
        <v>1.52</v>
      </c>
      <c r="J13" t="s">
        <v>47</v>
      </c>
      <c r="K13" t="s">
        <v>2</v>
      </c>
      <c r="L13">
        <v>2.08</v>
      </c>
      <c r="M13">
        <v>4.88</v>
      </c>
      <c r="N13">
        <v>92621</v>
      </c>
      <c r="O13">
        <v>104067</v>
      </c>
      <c r="P13">
        <v>0.89</v>
      </c>
      <c r="Q13">
        <v>125</v>
      </c>
      <c r="R13">
        <v>3339</v>
      </c>
      <c r="S13" t="s">
        <v>3</v>
      </c>
      <c r="T13">
        <v>59991.5</v>
      </c>
      <c r="U13" t="s">
        <v>48</v>
      </c>
      <c r="V13" t="s">
        <v>49</v>
      </c>
      <c r="W13">
        <v>2.2400000000000002</v>
      </c>
    </row>
    <row r="14" spans="1:23">
      <c r="A14" t="str">
        <f>"000017"</f>
        <v>000017</v>
      </c>
      <c r="B14" t="s">
        <v>50</v>
      </c>
      <c r="C14">
        <v>7.19</v>
      </c>
      <c r="D14">
        <v>7.35</v>
      </c>
      <c r="E14">
        <v>7.19</v>
      </c>
      <c r="F14">
        <v>7.3</v>
      </c>
      <c r="G14">
        <v>53844</v>
      </c>
      <c r="H14">
        <v>39201760</v>
      </c>
      <c r="I14">
        <v>0.68</v>
      </c>
      <c r="J14" t="s">
        <v>51</v>
      </c>
      <c r="K14" t="s">
        <v>2</v>
      </c>
      <c r="L14">
        <v>-0.41</v>
      </c>
      <c r="M14">
        <v>7.28</v>
      </c>
      <c r="N14">
        <v>30122</v>
      </c>
      <c r="O14">
        <v>23722</v>
      </c>
      <c r="P14">
        <v>1.27</v>
      </c>
      <c r="Q14">
        <v>176</v>
      </c>
      <c r="R14">
        <v>869</v>
      </c>
      <c r="S14" t="s">
        <v>3</v>
      </c>
      <c r="T14">
        <v>30297.59</v>
      </c>
      <c r="U14" t="s">
        <v>52</v>
      </c>
      <c r="V14" t="s">
        <v>53</v>
      </c>
      <c r="W14">
        <v>-0.25</v>
      </c>
    </row>
    <row r="15" spans="1:23">
      <c r="A15" t="str">
        <f>"000018"</f>
        <v>000018</v>
      </c>
      <c r="B15" t="s">
        <v>54</v>
      </c>
      <c r="C15" t="s">
        <v>3</v>
      </c>
      <c r="D15" t="s">
        <v>3</v>
      </c>
      <c r="E15" t="s">
        <v>3</v>
      </c>
      <c r="F15">
        <v>0</v>
      </c>
      <c r="G15">
        <v>0</v>
      </c>
      <c r="H15">
        <v>0</v>
      </c>
      <c r="I15">
        <v>0</v>
      </c>
      <c r="J15" t="s">
        <v>55</v>
      </c>
      <c r="K15" t="s">
        <v>2</v>
      </c>
      <c r="L15" t="s">
        <v>3</v>
      </c>
      <c r="M15">
        <v>10.44</v>
      </c>
      <c r="N15">
        <v>0</v>
      </c>
      <c r="O15">
        <v>0</v>
      </c>
      <c r="P15" t="s">
        <v>3</v>
      </c>
      <c r="Q15">
        <v>0</v>
      </c>
      <c r="R15">
        <v>0</v>
      </c>
      <c r="S15" t="s">
        <v>3</v>
      </c>
      <c r="T15">
        <v>9972.0400000000009</v>
      </c>
      <c r="U15" t="s">
        <v>56</v>
      </c>
      <c r="V15" t="s">
        <v>57</v>
      </c>
      <c r="W15">
        <v>0.16</v>
      </c>
    </row>
    <row r="16" spans="1:23">
      <c r="A16" t="str">
        <f>"000019"</f>
        <v>000019</v>
      </c>
      <c r="B16" t="s">
        <v>58</v>
      </c>
      <c r="C16">
        <v>8.59</v>
      </c>
      <c r="D16">
        <v>8.94</v>
      </c>
      <c r="E16">
        <v>8.44</v>
      </c>
      <c r="F16">
        <v>8.77</v>
      </c>
      <c r="G16">
        <v>50887</v>
      </c>
      <c r="H16">
        <v>44334364</v>
      </c>
      <c r="I16">
        <v>1.02</v>
      </c>
      <c r="J16" t="s">
        <v>59</v>
      </c>
      <c r="K16" t="s">
        <v>2</v>
      </c>
      <c r="L16">
        <v>1.5</v>
      </c>
      <c r="M16">
        <v>8.7100000000000009</v>
      </c>
      <c r="N16">
        <v>25899</v>
      </c>
      <c r="O16">
        <v>24987</v>
      </c>
      <c r="P16">
        <v>1.04</v>
      </c>
      <c r="Q16">
        <v>193</v>
      </c>
      <c r="R16">
        <v>369</v>
      </c>
      <c r="S16" t="s">
        <v>3</v>
      </c>
      <c r="T16">
        <v>25225.24</v>
      </c>
      <c r="U16" t="s">
        <v>52</v>
      </c>
      <c r="V16" t="s">
        <v>60</v>
      </c>
      <c r="W16">
        <v>1.66</v>
      </c>
    </row>
    <row r="17" spans="1:23">
      <c r="A17" t="str">
        <f>"000020"</f>
        <v>000020</v>
      </c>
      <c r="B17" t="s">
        <v>61</v>
      </c>
      <c r="C17" t="s">
        <v>3</v>
      </c>
      <c r="D17" t="s">
        <v>3</v>
      </c>
      <c r="E17" t="s">
        <v>3</v>
      </c>
      <c r="F17">
        <v>0</v>
      </c>
      <c r="G17">
        <v>0</v>
      </c>
      <c r="H17">
        <v>0</v>
      </c>
      <c r="I17">
        <v>0</v>
      </c>
      <c r="J17" t="s">
        <v>62</v>
      </c>
      <c r="K17" t="s">
        <v>2</v>
      </c>
      <c r="L17" t="s">
        <v>3</v>
      </c>
      <c r="M17">
        <v>8.0299999999999994</v>
      </c>
      <c r="N17">
        <v>0</v>
      </c>
      <c r="O17">
        <v>0</v>
      </c>
      <c r="P17" t="s">
        <v>3</v>
      </c>
      <c r="Q17">
        <v>0</v>
      </c>
      <c r="R17">
        <v>0</v>
      </c>
      <c r="S17" t="s">
        <v>3</v>
      </c>
      <c r="T17">
        <v>6467.54</v>
      </c>
      <c r="U17" t="s">
        <v>63</v>
      </c>
      <c r="V17" t="s">
        <v>64</v>
      </c>
      <c r="W17">
        <v>0.16</v>
      </c>
    </row>
    <row r="18" spans="1:23">
      <c r="A18" t="str">
        <f>"000021"</f>
        <v>000021</v>
      </c>
      <c r="B18" t="s">
        <v>65</v>
      </c>
      <c r="C18">
        <v>6.72</v>
      </c>
      <c r="D18">
        <v>6.78</v>
      </c>
      <c r="E18">
        <v>6.63</v>
      </c>
      <c r="F18">
        <v>6.65</v>
      </c>
      <c r="G18">
        <v>202898</v>
      </c>
      <c r="H18">
        <v>135839552</v>
      </c>
      <c r="I18">
        <v>1.1599999999999999</v>
      </c>
      <c r="J18" t="s">
        <v>66</v>
      </c>
      <c r="K18" t="s">
        <v>2</v>
      </c>
      <c r="L18">
        <v>-1.04</v>
      </c>
      <c r="M18">
        <v>6.69</v>
      </c>
      <c r="N18">
        <v>128166</v>
      </c>
      <c r="O18">
        <v>74732</v>
      </c>
      <c r="P18">
        <v>1.72</v>
      </c>
      <c r="Q18">
        <v>3332</v>
      </c>
      <c r="R18">
        <v>1515</v>
      </c>
      <c r="S18" t="s">
        <v>3</v>
      </c>
      <c r="T18">
        <v>131783.28</v>
      </c>
      <c r="U18" t="s">
        <v>67</v>
      </c>
      <c r="V18" t="s">
        <v>68</v>
      </c>
      <c r="W18">
        <v>-0.88</v>
      </c>
    </row>
    <row r="19" spans="1:23">
      <c r="A19" t="str">
        <f>"000022"</f>
        <v>000022</v>
      </c>
      <c r="B19" t="s">
        <v>69</v>
      </c>
      <c r="C19">
        <v>14.68</v>
      </c>
      <c r="D19">
        <v>14.96</v>
      </c>
      <c r="E19">
        <v>14.57</v>
      </c>
      <c r="F19">
        <v>14.75</v>
      </c>
      <c r="G19">
        <v>54231</v>
      </c>
      <c r="H19">
        <v>80160400</v>
      </c>
      <c r="I19">
        <v>1.07</v>
      </c>
      <c r="J19" t="s">
        <v>70</v>
      </c>
      <c r="K19" t="s">
        <v>2</v>
      </c>
      <c r="L19">
        <v>0.55000000000000004</v>
      </c>
      <c r="M19">
        <v>14.78</v>
      </c>
      <c r="N19">
        <v>26010</v>
      </c>
      <c r="O19">
        <v>28221</v>
      </c>
      <c r="P19">
        <v>0.92</v>
      </c>
      <c r="Q19">
        <v>142</v>
      </c>
      <c r="R19">
        <v>163</v>
      </c>
      <c r="S19" t="s">
        <v>3</v>
      </c>
      <c r="T19">
        <v>46486.73</v>
      </c>
      <c r="U19" t="s">
        <v>71</v>
      </c>
      <c r="V19" t="s">
        <v>72</v>
      </c>
      <c r="W19">
        <v>0.7</v>
      </c>
    </row>
    <row r="20" spans="1:23">
      <c r="A20" t="str">
        <f>"000023"</f>
        <v>000023</v>
      </c>
      <c r="B20" t="s">
        <v>73</v>
      </c>
      <c r="C20" t="s">
        <v>3</v>
      </c>
      <c r="D20" t="s">
        <v>3</v>
      </c>
      <c r="E20" t="s">
        <v>3</v>
      </c>
      <c r="F20">
        <v>0</v>
      </c>
      <c r="G20">
        <v>0</v>
      </c>
      <c r="H20">
        <v>0</v>
      </c>
      <c r="I20">
        <v>0</v>
      </c>
      <c r="J20" t="s">
        <v>33</v>
      </c>
      <c r="K20" t="s">
        <v>2</v>
      </c>
      <c r="L20" t="s">
        <v>3</v>
      </c>
      <c r="M20">
        <v>11.43</v>
      </c>
      <c r="N20">
        <v>0</v>
      </c>
      <c r="O20">
        <v>0</v>
      </c>
      <c r="P20" t="s">
        <v>3</v>
      </c>
      <c r="Q20">
        <v>0</v>
      </c>
      <c r="R20">
        <v>0</v>
      </c>
      <c r="S20" t="s">
        <v>3</v>
      </c>
      <c r="T20">
        <v>13875.62</v>
      </c>
      <c r="U20" t="s">
        <v>74</v>
      </c>
      <c r="V20" t="s">
        <v>74</v>
      </c>
      <c r="W20">
        <v>0.16</v>
      </c>
    </row>
    <row r="21" spans="1:23">
      <c r="A21" t="str">
        <f>"000024"</f>
        <v>000024</v>
      </c>
      <c r="B21" t="s">
        <v>75</v>
      </c>
      <c r="C21">
        <v>12.46</v>
      </c>
      <c r="D21">
        <v>12.54</v>
      </c>
      <c r="E21">
        <v>12.09</v>
      </c>
      <c r="F21">
        <v>12.18</v>
      </c>
      <c r="G21">
        <v>508564</v>
      </c>
      <c r="H21">
        <v>621701760</v>
      </c>
      <c r="I21">
        <v>1.72</v>
      </c>
      <c r="J21" t="s">
        <v>7</v>
      </c>
      <c r="K21" t="s">
        <v>2</v>
      </c>
      <c r="L21">
        <v>-2.48</v>
      </c>
      <c r="M21">
        <v>12.22</v>
      </c>
      <c r="N21">
        <v>293796</v>
      </c>
      <c r="O21">
        <v>214768</v>
      </c>
      <c r="P21">
        <v>1.37</v>
      </c>
      <c r="Q21">
        <v>1160</v>
      </c>
      <c r="R21">
        <v>69</v>
      </c>
      <c r="S21" t="s">
        <v>3</v>
      </c>
      <c r="T21">
        <v>102629.85</v>
      </c>
      <c r="U21" t="s">
        <v>76</v>
      </c>
      <c r="V21" t="s">
        <v>77</v>
      </c>
      <c r="W21">
        <v>-2.3199999999999998</v>
      </c>
    </row>
    <row r="22" spans="1:23">
      <c r="A22" t="str">
        <f>"000025"</f>
        <v>000025</v>
      </c>
      <c r="B22" t="s">
        <v>78</v>
      </c>
      <c r="C22">
        <v>10.74</v>
      </c>
      <c r="D22">
        <v>10.77</v>
      </c>
      <c r="E22">
        <v>10.64</v>
      </c>
      <c r="F22">
        <v>10.75</v>
      </c>
      <c r="G22">
        <v>20474</v>
      </c>
      <c r="H22">
        <v>21900158</v>
      </c>
      <c r="I22">
        <v>0.94</v>
      </c>
      <c r="J22" t="s">
        <v>79</v>
      </c>
      <c r="K22" t="s">
        <v>2</v>
      </c>
      <c r="L22">
        <v>0.19</v>
      </c>
      <c r="M22">
        <v>10.7</v>
      </c>
      <c r="N22">
        <v>10199</v>
      </c>
      <c r="O22">
        <v>10275</v>
      </c>
      <c r="P22">
        <v>0.99</v>
      </c>
      <c r="Q22">
        <v>986</v>
      </c>
      <c r="R22">
        <v>271</v>
      </c>
      <c r="S22" t="s">
        <v>3</v>
      </c>
      <c r="T22">
        <v>17929.46</v>
      </c>
      <c r="U22" t="s">
        <v>80</v>
      </c>
      <c r="V22" t="s">
        <v>81</v>
      </c>
      <c r="W22">
        <v>0.34</v>
      </c>
    </row>
    <row r="23" spans="1:23">
      <c r="A23" t="str">
        <f>"000026"</f>
        <v>000026</v>
      </c>
      <c r="B23" t="s">
        <v>82</v>
      </c>
      <c r="C23">
        <v>9.6199999999999992</v>
      </c>
      <c r="D23">
        <v>9.74</v>
      </c>
      <c r="E23">
        <v>9.44</v>
      </c>
      <c r="F23">
        <v>9.5299999999999994</v>
      </c>
      <c r="G23">
        <v>77740</v>
      </c>
      <c r="H23">
        <v>74424408</v>
      </c>
      <c r="I23">
        <v>0.91</v>
      </c>
      <c r="J23" t="s">
        <v>83</v>
      </c>
      <c r="K23" t="s">
        <v>2</v>
      </c>
      <c r="L23">
        <v>-0.42</v>
      </c>
      <c r="M23">
        <v>9.57</v>
      </c>
      <c r="N23">
        <v>45459</v>
      </c>
      <c r="O23">
        <v>32280</v>
      </c>
      <c r="P23">
        <v>1.41</v>
      </c>
      <c r="Q23">
        <v>198</v>
      </c>
      <c r="R23">
        <v>114</v>
      </c>
      <c r="S23" t="s">
        <v>3</v>
      </c>
      <c r="T23">
        <v>31107</v>
      </c>
      <c r="U23" t="s">
        <v>84</v>
      </c>
      <c r="V23" t="s">
        <v>85</v>
      </c>
      <c r="W23">
        <v>-0.26</v>
      </c>
    </row>
    <row r="24" spans="1:23">
      <c r="A24" t="str">
        <f>"000027"</f>
        <v>000027</v>
      </c>
      <c r="B24" t="s">
        <v>86</v>
      </c>
      <c r="C24">
        <v>6.74</v>
      </c>
      <c r="D24">
        <v>6.76</v>
      </c>
      <c r="E24">
        <v>6.68</v>
      </c>
      <c r="F24">
        <v>6.75</v>
      </c>
      <c r="G24">
        <v>120205</v>
      </c>
      <c r="H24">
        <v>80813280</v>
      </c>
      <c r="I24">
        <v>0.97</v>
      </c>
      <c r="J24" t="s">
        <v>87</v>
      </c>
      <c r="K24" t="s">
        <v>2</v>
      </c>
      <c r="L24">
        <v>0.45</v>
      </c>
      <c r="M24">
        <v>6.72</v>
      </c>
      <c r="N24">
        <v>56175</v>
      </c>
      <c r="O24">
        <v>64029</v>
      </c>
      <c r="P24">
        <v>0.88</v>
      </c>
      <c r="Q24">
        <v>1918</v>
      </c>
      <c r="R24">
        <v>4482</v>
      </c>
      <c r="S24" t="s">
        <v>3</v>
      </c>
      <c r="T24">
        <v>95835</v>
      </c>
      <c r="U24" t="s">
        <v>88</v>
      </c>
      <c r="V24" t="s">
        <v>89</v>
      </c>
      <c r="W24">
        <v>0.6</v>
      </c>
    </row>
    <row r="25" spans="1:23">
      <c r="A25" t="str">
        <f>"000028"</f>
        <v>000028</v>
      </c>
      <c r="B25" t="s">
        <v>90</v>
      </c>
      <c r="C25">
        <v>50.1</v>
      </c>
      <c r="D25">
        <v>51.18</v>
      </c>
      <c r="E25">
        <v>49.1</v>
      </c>
      <c r="F25">
        <v>50.63</v>
      </c>
      <c r="G25">
        <v>13088</v>
      </c>
      <c r="H25">
        <v>65846720</v>
      </c>
      <c r="I25">
        <v>0.94</v>
      </c>
      <c r="J25" t="s">
        <v>91</v>
      </c>
      <c r="K25" t="s">
        <v>2</v>
      </c>
      <c r="L25">
        <v>1.34</v>
      </c>
      <c r="M25">
        <v>50.31</v>
      </c>
      <c r="N25">
        <v>6046</v>
      </c>
      <c r="O25">
        <v>7042</v>
      </c>
      <c r="P25">
        <v>0.86</v>
      </c>
      <c r="Q25">
        <v>4</v>
      </c>
      <c r="R25">
        <v>9</v>
      </c>
      <c r="S25" t="s">
        <v>3</v>
      </c>
      <c r="T25">
        <v>23326.17</v>
      </c>
      <c r="U25" t="s">
        <v>92</v>
      </c>
      <c r="V25" t="s">
        <v>93</v>
      </c>
      <c r="W25">
        <v>1.5</v>
      </c>
    </row>
    <row r="26" spans="1:23">
      <c r="A26" t="str">
        <f>"000029"</f>
        <v>000029</v>
      </c>
      <c r="B26" t="s">
        <v>94</v>
      </c>
      <c r="C26">
        <v>4.57</v>
      </c>
      <c r="D26">
        <v>4.58</v>
      </c>
      <c r="E26">
        <v>4.51</v>
      </c>
      <c r="F26">
        <v>4.57</v>
      </c>
      <c r="G26">
        <v>59895</v>
      </c>
      <c r="H26">
        <v>27176124</v>
      </c>
      <c r="I26">
        <v>0.83</v>
      </c>
      <c r="J26" t="s">
        <v>15</v>
      </c>
      <c r="K26" t="s">
        <v>2</v>
      </c>
      <c r="L26">
        <v>-0.22</v>
      </c>
      <c r="M26">
        <v>4.54</v>
      </c>
      <c r="N26">
        <v>32256</v>
      </c>
      <c r="O26">
        <v>27638</v>
      </c>
      <c r="P26">
        <v>1.17</v>
      </c>
      <c r="Q26">
        <v>1602</v>
      </c>
      <c r="R26">
        <v>362</v>
      </c>
      <c r="S26" t="s">
        <v>3</v>
      </c>
      <c r="T26">
        <v>89166</v>
      </c>
      <c r="U26" t="s">
        <v>95</v>
      </c>
      <c r="V26" t="s">
        <v>96</v>
      </c>
      <c r="W26">
        <v>-0.06</v>
      </c>
    </row>
    <row r="27" spans="1:23">
      <c r="A27" t="str">
        <f>"000030"</f>
        <v>000030</v>
      </c>
      <c r="B27" t="s">
        <v>97</v>
      </c>
      <c r="C27">
        <v>7.38</v>
      </c>
      <c r="D27">
        <v>7.52</v>
      </c>
      <c r="E27">
        <v>7.3</v>
      </c>
      <c r="F27">
        <v>7.44</v>
      </c>
      <c r="G27">
        <v>142756</v>
      </c>
      <c r="H27">
        <v>106051720</v>
      </c>
      <c r="I27">
        <v>1.34</v>
      </c>
      <c r="J27" t="s">
        <v>98</v>
      </c>
      <c r="K27" t="s">
        <v>99</v>
      </c>
      <c r="L27">
        <v>0.4</v>
      </c>
      <c r="M27">
        <v>7.43</v>
      </c>
      <c r="N27">
        <v>70557</v>
      </c>
      <c r="O27">
        <v>72199</v>
      </c>
      <c r="P27">
        <v>0.98</v>
      </c>
      <c r="Q27">
        <v>399</v>
      </c>
      <c r="R27">
        <v>719</v>
      </c>
      <c r="S27" t="s">
        <v>3</v>
      </c>
      <c r="T27">
        <v>49672.07</v>
      </c>
      <c r="U27" t="s">
        <v>100</v>
      </c>
      <c r="V27" t="s">
        <v>101</v>
      </c>
      <c r="W27">
        <v>0.56000000000000005</v>
      </c>
    </row>
    <row r="28" spans="1:23">
      <c r="A28" t="str">
        <f>"000031"</f>
        <v>000031</v>
      </c>
      <c r="B28" t="s">
        <v>102</v>
      </c>
      <c r="C28">
        <v>5.3</v>
      </c>
      <c r="D28">
        <v>5.42</v>
      </c>
      <c r="E28">
        <v>5.25</v>
      </c>
      <c r="F28">
        <v>5.35</v>
      </c>
      <c r="G28">
        <v>362222</v>
      </c>
      <c r="H28">
        <v>193296928</v>
      </c>
      <c r="I28">
        <v>0.56000000000000005</v>
      </c>
      <c r="J28" t="s">
        <v>7</v>
      </c>
      <c r="K28" t="s">
        <v>2</v>
      </c>
      <c r="L28">
        <v>0.56000000000000005</v>
      </c>
      <c r="M28">
        <v>5.34</v>
      </c>
      <c r="N28">
        <v>191212</v>
      </c>
      <c r="O28">
        <v>171009</v>
      </c>
      <c r="P28">
        <v>1.1200000000000001</v>
      </c>
      <c r="Q28">
        <v>3089</v>
      </c>
      <c r="R28">
        <v>3910</v>
      </c>
      <c r="S28" t="s">
        <v>3</v>
      </c>
      <c r="T28">
        <v>181372.02</v>
      </c>
      <c r="U28" t="s">
        <v>103</v>
      </c>
      <c r="V28" t="s">
        <v>103</v>
      </c>
      <c r="W28">
        <v>0.72</v>
      </c>
    </row>
    <row r="29" spans="1:23">
      <c r="A29" t="str">
        <f>"000032"</f>
        <v>000032</v>
      </c>
      <c r="B29" t="s">
        <v>104</v>
      </c>
      <c r="C29" t="s">
        <v>3</v>
      </c>
      <c r="D29" t="s">
        <v>3</v>
      </c>
      <c r="E29" t="s">
        <v>3</v>
      </c>
      <c r="F29">
        <v>0</v>
      </c>
      <c r="G29">
        <v>0</v>
      </c>
      <c r="H29">
        <v>0</v>
      </c>
      <c r="I29">
        <v>0</v>
      </c>
      <c r="J29" t="s">
        <v>62</v>
      </c>
      <c r="K29" t="s">
        <v>2</v>
      </c>
      <c r="L29" t="s">
        <v>3</v>
      </c>
      <c r="M29">
        <v>8.76</v>
      </c>
      <c r="N29">
        <v>0</v>
      </c>
      <c r="O29">
        <v>0</v>
      </c>
      <c r="P29" t="s">
        <v>3</v>
      </c>
      <c r="Q29">
        <v>0</v>
      </c>
      <c r="R29">
        <v>0</v>
      </c>
      <c r="S29" t="s">
        <v>3</v>
      </c>
      <c r="T29">
        <v>23282.71</v>
      </c>
      <c r="U29" t="s">
        <v>105</v>
      </c>
      <c r="V29" t="s">
        <v>105</v>
      </c>
      <c r="W29">
        <v>0.16</v>
      </c>
    </row>
    <row r="30" spans="1:23">
      <c r="A30" t="str">
        <f>"000033"</f>
        <v>000033</v>
      </c>
      <c r="B30" t="s">
        <v>106</v>
      </c>
      <c r="C30" t="s">
        <v>3</v>
      </c>
      <c r="D30" t="s">
        <v>3</v>
      </c>
      <c r="E30" t="s">
        <v>3</v>
      </c>
      <c r="F30">
        <v>0</v>
      </c>
      <c r="G30">
        <v>0</v>
      </c>
      <c r="H30">
        <v>0</v>
      </c>
      <c r="I30">
        <v>0</v>
      </c>
      <c r="J30" t="s">
        <v>22</v>
      </c>
      <c r="K30" t="s">
        <v>2</v>
      </c>
      <c r="L30" t="s">
        <v>3</v>
      </c>
      <c r="M30">
        <v>4.99</v>
      </c>
      <c r="N30">
        <v>0</v>
      </c>
      <c r="O30">
        <v>0</v>
      </c>
      <c r="P30" t="s">
        <v>3</v>
      </c>
      <c r="Q30">
        <v>0</v>
      </c>
      <c r="R30">
        <v>0</v>
      </c>
      <c r="S30" t="s">
        <v>3</v>
      </c>
      <c r="T30">
        <v>32940.19</v>
      </c>
      <c r="U30" t="s">
        <v>107</v>
      </c>
      <c r="V30" t="s">
        <v>107</v>
      </c>
      <c r="W30">
        <v>0.16</v>
      </c>
    </row>
    <row r="31" spans="1:23">
      <c r="A31" t="str">
        <f>"000034"</f>
        <v>000034</v>
      </c>
      <c r="B31" t="s">
        <v>108</v>
      </c>
      <c r="C31">
        <v>7.08</v>
      </c>
      <c r="D31">
        <v>7.15</v>
      </c>
      <c r="E31">
        <v>7</v>
      </c>
      <c r="F31">
        <v>7.12</v>
      </c>
      <c r="G31">
        <v>57072</v>
      </c>
      <c r="H31">
        <v>40330844</v>
      </c>
      <c r="I31">
        <v>1</v>
      </c>
      <c r="J31" t="s">
        <v>26</v>
      </c>
      <c r="K31" t="s">
        <v>2</v>
      </c>
      <c r="L31">
        <v>0.28000000000000003</v>
      </c>
      <c r="M31">
        <v>7.07</v>
      </c>
      <c r="N31">
        <v>30699</v>
      </c>
      <c r="O31">
        <v>26372</v>
      </c>
      <c r="P31">
        <v>1.1599999999999999</v>
      </c>
      <c r="Q31">
        <v>556</v>
      </c>
      <c r="R31">
        <v>320</v>
      </c>
      <c r="S31" t="s">
        <v>3</v>
      </c>
      <c r="T31">
        <v>34006.42</v>
      </c>
      <c r="U31" t="s">
        <v>109</v>
      </c>
      <c r="V31" t="s">
        <v>110</v>
      </c>
      <c r="W31">
        <v>0.44</v>
      </c>
    </row>
    <row r="32" spans="1:23">
      <c r="A32" t="str">
        <f>"000035"</f>
        <v>000035</v>
      </c>
      <c r="B32" t="s">
        <v>111</v>
      </c>
      <c r="C32">
        <v>12.31</v>
      </c>
      <c r="D32">
        <v>12.34</v>
      </c>
      <c r="E32">
        <v>12.1</v>
      </c>
      <c r="F32">
        <v>12.25</v>
      </c>
      <c r="G32">
        <v>60193</v>
      </c>
      <c r="H32">
        <v>73410432</v>
      </c>
      <c r="I32">
        <v>0.51</v>
      </c>
      <c r="J32" t="s">
        <v>112</v>
      </c>
      <c r="K32" t="s">
        <v>2</v>
      </c>
      <c r="L32">
        <v>-0.49</v>
      </c>
      <c r="M32">
        <v>12.2</v>
      </c>
      <c r="N32">
        <v>32731</v>
      </c>
      <c r="O32">
        <v>27461</v>
      </c>
      <c r="P32">
        <v>1.19</v>
      </c>
      <c r="Q32">
        <v>330</v>
      </c>
      <c r="R32">
        <v>269</v>
      </c>
      <c r="S32" t="s">
        <v>3</v>
      </c>
      <c r="T32">
        <v>18895.36</v>
      </c>
      <c r="U32" t="s">
        <v>113</v>
      </c>
      <c r="V32" t="s">
        <v>114</v>
      </c>
      <c r="W32">
        <v>-0.33</v>
      </c>
    </row>
    <row r="33" spans="1:23">
      <c r="A33" t="str">
        <f>"000036"</f>
        <v>000036</v>
      </c>
      <c r="B33" t="s">
        <v>115</v>
      </c>
      <c r="C33">
        <v>3.78</v>
      </c>
      <c r="D33">
        <v>3.89</v>
      </c>
      <c r="E33">
        <v>3.74</v>
      </c>
      <c r="F33">
        <v>3.79</v>
      </c>
      <c r="G33">
        <v>344489</v>
      </c>
      <c r="H33">
        <v>131223688</v>
      </c>
      <c r="I33">
        <v>0.53</v>
      </c>
      <c r="J33" t="s">
        <v>7</v>
      </c>
      <c r="K33" t="s">
        <v>2</v>
      </c>
      <c r="L33">
        <v>1.34</v>
      </c>
      <c r="M33">
        <v>3.81</v>
      </c>
      <c r="N33">
        <v>192508</v>
      </c>
      <c r="O33">
        <v>151981</v>
      </c>
      <c r="P33">
        <v>1.27</v>
      </c>
      <c r="Q33">
        <v>6370</v>
      </c>
      <c r="R33">
        <v>2000</v>
      </c>
      <c r="S33" t="s">
        <v>3</v>
      </c>
      <c r="T33">
        <v>112388.02</v>
      </c>
      <c r="U33" t="s">
        <v>116</v>
      </c>
      <c r="V33" t="s">
        <v>116</v>
      </c>
      <c r="W33">
        <v>1.5</v>
      </c>
    </row>
    <row r="34" spans="1:23">
      <c r="A34" t="str">
        <f>"000037"</f>
        <v>000037</v>
      </c>
      <c r="B34" t="s">
        <v>117</v>
      </c>
      <c r="C34">
        <v>4.75</v>
      </c>
      <c r="D34">
        <v>4.76</v>
      </c>
      <c r="E34">
        <v>4.68</v>
      </c>
      <c r="F34">
        <v>4.75</v>
      </c>
      <c r="G34">
        <v>65705</v>
      </c>
      <c r="H34">
        <v>31033540</v>
      </c>
      <c r="I34">
        <v>0.81</v>
      </c>
      <c r="J34" t="s">
        <v>87</v>
      </c>
      <c r="K34" t="s">
        <v>2</v>
      </c>
      <c r="L34">
        <v>0.42</v>
      </c>
      <c r="M34">
        <v>4.72</v>
      </c>
      <c r="N34">
        <v>37453</v>
      </c>
      <c r="O34">
        <v>28251</v>
      </c>
      <c r="P34">
        <v>1.33</v>
      </c>
      <c r="Q34">
        <v>213</v>
      </c>
      <c r="R34">
        <v>1120</v>
      </c>
      <c r="S34" t="s">
        <v>3</v>
      </c>
      <c r="T34">
        <v>33889.39</v>
      </c>
      <c r="U34" t="s">
        <v>118</v>
      </c>
      <c r="V34" t="s">
        <v>119</v>
      </c>
      <c r="W34">
        <v>0.57999999999999996</v>
      </c>
    </row>
    <row r="35" spans="1:23">
      <c r="A35" t="str">
        <f>"000038"</f>
        <v>000038</v>
      </c>
      <c r="B35" t="s">
        <v>120</v>
      </c>
      <c r="C35">
        <v>17.14</v>
      </c>
      <c r="D35">
        <v>18.5</v>
      </c>
      <c r="E35">
        <v>17.03</v>
      </c>
      <c r="F35">
        <v>18.05</v>
      </c>
      <c r="G35">
        <v>34696</v>
      </c>
      <c r="H35">
        <v>61838776</v>
      </c>
      <c r="I35">
        <v>2.89</v>
      </c>
      <c r="J35" t="s">
        <v>15</v>
      </c>
      <c r="K35" t="s">
        <v>2</v>
      </c>
      <c r="L35">
        <v>5.68</v>
      </c>
      <c r="M35">
        <v>17.82</v>
      </c>
      <c r="N35">
        <v>15327</v>
      </c>
      <c r="O35">
        <v>19368</v>
      </c>
      <c r="P35">
        <v>0.79</v>
      </c>
      <c r="Q35">
        <v>56</v>
      </c>
      <c r="R35">
        <v>9</v>
      </c>
      <c r="S35" t="s">
        <v>3</v>
      </c>
      <c r="T35">
        <v>2803.19</v>
      </c>
      <c r="U35" t="s">
        <v>121</v>
      </c>
      <c r="V35" t="s">
        <v>122</v>
      </c>
      <c r="W35">
        <v>5.84</v>
      </c>
    </row>
    <row r="36" spans="1:23">
      <c r="A36" t="str">
        <f>"000039"</f>
        <v>000039</v>
      </c>
      <c r="B36" t="s">
        <v>123</v>
      </c>
      <c r="C36">
        <v>15.87</v>
      </c>
      <c r="D36">
        <v>16.22</v>
      </c>
      <c r="E36">
        <v>15.76</v>
      </c>
      <c r="F36">
        <v>16.11</v>
      </c>
      <c r="G36">
        <v>157092</v>
      </c>
      <c r="H36">
        <v>252035088</v>
      </c>
      <c r="I36">
        <v>0.85</v>
      </c>
      <c r="J36" t="s">
        <v>124</v>
      </c>
      <c r="K36" t="s">
        <v>2</v>
      </c>
      <c r="L36">
        <v>1.45</v>
      </c>
      <c r="M36">
        <v>16.04</v>
      </c>
      <c r="N36">
        <v>65389</v>
      </c>
      <c r="O36">
        <v>91702</v>
      </c>
      <c r="P36">
        <v>0.71</v>
      </c>
      <c r="Q36">
        <v>1019</v>
      </c>
      <c r="R36">
        <v>579</v>
      </c>
      <c r="S36" t="s">
        <v>3</v>
      </c>
      <c r="T36">
        <v>123366.2</v>
      </c>
      <c r="U36" t="s">
        <v>125</v>
      </c>
      <c r="V36" t="s">
        <v>126</v>
      </c>
      <c r="W36">
        <v>1.61</v>
      </c>
    </row>
    <row r="37" spans="1:23">
      <c r="A37" t="str">
        <f>"000040"</f>
        <v>000040</v>
      </c>
      <c r="B37" t="s">
        <v>127</v>
      </c>
      <c r="C37">
        <v>4.74</v>
      </c>
      <c r="D37">
        <v>4.75</v>
      </c>
      <c r="E37">
        <v>4.68</v>
      </c>
      <c r="F37">
        <v>4.71</v>
      </c>
      <c r="G37">
        <v>22748</v>
      </c>
      <c r="H37">
        <v>10705992</v>
      </c>
      <c r="I37">
        <v>0.72</v>
      </c>
      <c r="J37" t="s">
        <v>7</v>
      </c>
      <c r="K37" t="s">
        <v>2</v>
      </c>
      <c r="L37">
        <v>-0.63</v>
      </c>
      <c r="M37">
        <v>4.71</v>
      </c>
      <c r="N37">
        <v>14663</v>
      </c>
      <c r="O37">
        <v>8084</v>
      </c>
      <c r="P37">
        <v>1.81</v>
      </c>
      <c r="Q37">
        <v>875</v>
      </c>
      <c r="R37">
        <v>397</v>
      </c>
      <c r="S37" t="s">
        <v>3</v>
      </c>
      <c r="T37">
        <v>46443.83</v>
      </c>
      <c r="U37" t="s">
        <v>128</v>
      </c>
      <c r="V37" t="s">
        <v>52</v>
      </c>
      <c r="W37">
        <v>-0.47</v>
      </c>
    </row>
    <row r="38" spans="1:23">
      <c r="A38" t="str">
        <f>"000042"</f>
        <v>000042</v>
      </c>
      <c r="B38" t="s">
        <v>129</v>
      </c>
      <c r="C38">
        <v>12.28</v>
      </c>
      <c r="D38">
        <v>12.5</v>
      </c>
      <c r="E38">
        <v>12.21</v>
      </c>
      <c r="F38">
        <v>12.49</v>
      </c>
      <c r="G38">
        <v>63825</v>
      </c>
      <c r="H38">
        <v>79092384</v>
      </c>
      <c r="I38">
        <v>1.65</v>
      </c>
      <c r="J38" t="s">
        <v>7</v>
      </c>
      <c r="K38" t="s">
        <v>2</v>
      </c>
      <c r="L38">
        <v>1.71</v>
      </c>
      <c r="M38">
        <v>12.39</v>
      </c>
      <c r="N38">
        <v>24655</v>
      </c>
      <c r="O38">
        <v>39170</v>
      </c>
      <c r="P38">
        <v>0.63</v>
      </c>
      <c r="Q38">
        <v>840</v>
      </c>
      <c r="R38">
        <v>218</v>
      </c>
      <c r="S38" t="s">
        <v>3</v>
      </c>
      <c r="T38">
        <v>47879.07</v>
      </c>
      <c r="U38" t="s">
        <v>130</v>
      </c>
      <c r="V38" t="s">
        <v>131</v>
      </c>
      <c r="W38">
        <v>1.87</v>
      </c>
    </row>
    <row r="39" spans="1:23">
      <c r="A39" t="str">
        <f>"000043"</f>
        <v>000043</v>
      </c>
      <c r="B39" t="s">
        <v>132</v>
      </c>
      <c r="C39">
        <v>5.85</v>
      </c>
      <c r="D39">
        <v>5.85</v>
      </c>
      <c r="E39">
        <v>5.76</v>
      </c>
      <c r="F39">
        <v>5.81</v>
      </c>
      <c r="G39">
        <v>66569</v>
      </c>
      <c r="H39">
        <v>38635372</v>
      </c>
      <c r="I39">
        <v>0.49</v>
      </c>
      <c r="J39" t="s">
        <v>7</v>
      </c>
      <c r="K39" t="s">
        <v>2</v>
      </c>
      <c r="L39">
        <v>-0.34</v>
      </c>
      <c r="M39">
        <v>5.8</v>
      </c>
      <c r="N39">
        <v>35821</v>
      </c>
      <c r="O39">
        <v>30747</v>
      </c>
      <c r="P39">
        <v>1.17</v>
      </c>
      <c r="Q39">
        <v>102</v>
      </c>
      <c r="R39">
        <v>370</v>
      </c>
      <c r="S39" t="s">
        <v>3</v>
      </c>
      <c r="T39">
        <v>66696.14</v>
      </c>
      <c r="U39" t="s">
        <v>133</v>
      </c>
      <c r="V39" t="s">
        <v>133</v>
      </c>
      <c r="W39">
        <v>-0.18</v>
      </c>
    </row>
    <row r="40" spans="1:23">
      <c r="A40" t="str">
        <f>"000045"</f>
        <v>000045</v>
      </c>
      <c r="B40" t="s">
        <v>134</v>
      </c>
      <c r="C40">
        <v>10.119999999999999</v>
      </c>
      <c r="D40">
        <v>10.17</v>
      </c>
      <c r="E40">
        <v>9.98</v>
      </c>
      <c r="F40">
        <v>9.99</v>
      </c>
      <c r="G40">
        <v>117722</v>
      </c>
      <c r="H40">
        <v>118253128</v>
      </c>
      <c r="I40">
        <v>0.82</v>
      </c>
      <c r="J40" t="s">
        <v>55</v>
      </c>
      <c r="K40" t="s">
        <v>2</v>
      </c>
      <c r="L40">
        <v>-1.28</v>
      </c>
      <c r="M40">
        <v>10.050000000000001</v>
      </c>
      <c r="N40">
        <v>79611</v>
      </c>
      <c r="O40">
        <v>38110</v>
      </c>
      <c r="P40">
        <v>2.09</v>
      </c>
      <c r="Q40">
        <v>1766</v>
      </c>
      <c r="R40">
        <v>294</v>
      </c>
      <c r="S40" t="s">
        <v>3</v>
      </c>
      <c r="T40">
        <v>40556.39</v>
      </c>
      <c r="U40" t="s">
        <v>135</v>
      </c>
      <c r="V40" t="s">
        <v>136</v>
      </c>
      <c r="W40">
        <v>-1.1299999999999999</v>
      </c>
    </row>
    <row r="41" spans="1:23">
      <c r="A41" t="str">
        <f>"000046"</f>
        <v>000046</v>
      </c>
      <c r="B41" t="s">
        <v>137</v>
      </c>
      <c r="C41">
        <v>5.43</v>
      </c>
      <c r="D41">
        <v>5.46</v>
      </c>
      <c r="E41">
        <v>5.34</v>
      </c>
      <c r="F41">
        <v>5.39</v>
      </c>
      <c r="G41">
        <v>42970</v>
      </c>
      <c r="H41">
        <v>23169090</v>
      </c>
      <c r="I41">
        <v>0.55000000000000004</v>
      </c>
      <c r="J41" t="s">
        <v>7</v>
      </c>
      <c r="K41" t="s">
        <v>2</v>
      </c>
      <c r="L41">
        <v>-0.55000000000000004</v>
      </c>
      <c r="M41">
        <v>5.39</v>
      </c>
      <c r="N41">
        <v>29584</v>
      </c>
      <c r="O41">
        <v>13386</v>
      </c>
      <c r="P41">
        <v>2.21</v>
      </c>
      <c r="Q41">
        <v>84</v>
      </c>
      <c r="R41">
        <v>1548</v>
      </c>
      <c r="S41" t="s">
        <v>3</v>
      </c>
      <c r="T41">
        <v>454493.25</v>
      </c>
      <c r="U41" t="s">
        <v>138</v>
      </c>
      <c r="V41" t="s">
        <v>139</v>
      </c>
      <c r="W41">
        <v>-0.4</v>
      </c>
    </row>
    <row r="42" spans="1:23">
      <c r="A42" t="str">
        <f>"000048"</f>
        <v>000048</v>
      </c>
      <c r="B42" t="s">
        <v>140</v>
      </c>
      <c r="C42">
        <v>10.52</v>
      </c>
      <c r="D42">
        <v>10.53</v>
      </c>
      <c r="E42">
        <v>10.36</v>
      </c>
      <c r="F42">
        <v>10.47</v>
      </c>
      <c r="G42">
        <v>21134</v>
      </c>
      <c r="H42">
        <v>22006840</v>
      </c>
      <c r="I42">
        <v>0.82</v>
      </c>
      <c r="J42" t="s">
        <v>141</v>
      </c>
      <c r="K42" t="s">
        <v>2</v>
      </c>
      <c r="L42">
        <v>0.19</v>
      </c>
      <c r="M42">
        <v>10.41</v>
      </c>
      <c r="N42">
        <v>11368</v>
      </c>
      <c r="O42">
        <v>9766</v>
      </c>
      <c r="P42">
        <v>1.1599999999999999</v>
      </c>
      <c r="Q42">
        <v>83</v>
      </c>
      <c r="R42">
        <v>273</v>
      </c>
      <c r="S42" t="s">
        <v>3</v>
      </c>
      <c r="T42">
        <v>37985.870000000003</v>
      </c>
      <c r="U42" t="s">
        <v>142</v>
      </c>
      <c r="V42" t="s">
        <v>143</v>
      </c>
      <c r="W42">
        <v>0.35</v>
      </c>
    </row>
    <row r="43" spans="1:23">
      <c r="A43" t="str">
        <f>"000049"</f>
        <v>000049</v>
      </c>
      <c r="B43" t="s">
        <v>144</v>
      </c>
      <c r="C43">
        <v>40.5</v>
      </c>
      <c r="D43">
        <v>40.700000000000003</v>
      </c>
      <c r="E43">
        <v>39.700000000000003</v>
      </c>
      <c r="F43">
        <v>39.909999999999997</v>
      </c>
      <c r="G43">
        <v>60031</v>
      </c>
      <c r="H43">
        <v>240061728</v>
      </c>
      <c r="I43">
        <v>0.74</v>
      </c>
      <c r="J43" t="s">
        <v>145</v>
      </c>
      <c r="K43" t="s">
        <v>2</v>
      </c>
      <c r="L43">
        <v>-0.84</v>
      </c>
      <c r="M43">
        <v>39.99</v>
      </c>
      <c r="N43">
        <v>33731</v>
      </c>
      <c r="O43">
        <v>26299</v>
      </c>
      <c r="P43">
        <v>1.28</v>
      </c>
      <c r="Q43">
        <v>211</v>
      </c>
      <c r="R43">
        <v>269</v>
      </c>
      <c r="S43" t="s">
        <v>3</v>
      </c>
      <c r="T43">
        <v>20524.36</v>
      </c>
      <c r="U43" t="s">
        <v>146</v>
      </c>
      <c r="V43" t="s">
        <v>146</v>
      </c>
      <c r="W43">
        <v>-0.69</v>
      </c>
    </row>
    <row r="44" spans="1:23">
      <c r="A44" t="str">
        <f>"000050"</f>
        <v>000050</v>
      </c>
      <c r="B44" t="s">
        <v>147</v>
      </c>
      <c r="C44">
        <v>27.2</v>
      </c>
      <c r="D44">
        <v>27.95</v>
      </c>
      <c r="E44">
        <v>26.5</v>
      </c>
      <c r="F44">
        <v>27.59</v>
      </c>
      <c r="G44">
        <v>433409</v>
      </c>
      <c r="H44">
        <v>1181016448</v>
      </c>
      <c r="I44">
        <v>0.78</v>
      </c>
      <c r="J44" t="s">
        <v>62</v>
      </c>
      <c r="K44" t="s">
        <v>2</v>
      </c>
      <c r="L44">
        <v>-2.92</v>
      </c>
      <c r="M44">
        <v>27.25</v>
      </c>
      <c r="N44">
        <v>232891</v>
      </c>
      <c r="O44">
        <v>200517</v>
      </c>
      <c r="P44">
        <v>1.1599999999999999</v>
      </c>
      <c r="Q44">
        <v>669</v>
      </c>
      <c r="R44">
        <v>768</v>
      </c>
      <c r="S44" t="s">
        <v>3</v>
      </c>
      <c r="T44">
        <v>57421.5</v>
      </c>
      <c r="U44" t="s">
        <v>148</v>
      </c>
      <c r="V44" t="s">
        <v>148</v>
      </c>
      <c r="W44">
        <v>-2.76</v>
      </c>
    </row>
    <row r="45" spans="1:23">
      <c r="A45" t="str">
        <f>"000055"</f>
        <v>000055</v>
      </c>
      <c r="B45" t="s">
        <v>149</v>
      </c>
      <c r="C45">
        <v>8.8699999999999992</v>
      </c>
      <c r="D45">
        <v>9.0500000000000007</v>
      </c>
      <c r="E45">
        <v>8.84</v>
      </c>
      <c r="F45">
        <v>9.0500000000000007</v>
      </c>
      <c r="G45">
        <v>66471</v>
      </c>
      <c r="H45">
        <v>59655692</v>
      </c>
      <c r="I45">
        <v>1.49</v>
      </c>
      <c r="J45" t="s">
        <v>150</v>
      </c>
      <c r="K45" t="s">
        <v>2</v>
      </c>
      <c r="L45">
        <v>2.38</v>
      </c>
      <c r="M45">
        <v>8.9700000000000006</v>
      </c>
      <c r="N45">
        <v>27374</v>
      </c>
      <c r="O45">
        <v>39096</v>
      </c>
      <c r="P45">
        <v>0.7</v>
      </c>
      <c r="Q45">
        <v>401</v>
      </c>
      <c r="R45">
        <v>42</v>
      </c>
      <c r="S45" t="s">
        <v>3</v>
      </c>
      <c r="T45">
        <v>42017.94</v>
      </c>
      <c r="U45" t="s">
        <v>151</v>
      </c>
      <c r="V45" t="s">
        <v>152</v>
      </c>
      <c r="W45">
        <v>2.5299999999999998</v>
      </c>
    </row>
    <row r="46" spans="1:23">
      <c r="A46" t="str">
        <f>"000056"</f>
        <v>000056</v>
      </c>
      <c r="B46" t="s">
        <v>153</v>
      </c>
      <c r="C46">
        <v>15.2</v>
      </c>
      <c r="D46">
        <v>15.59</v>
      </c>
      <c r="E46">
        <v>14.97</v>
      </c>
      <c r="F46">
        <v>15.59</v>
      </c>
      <c r="G46">
        <v>90427</v>
      </c>
      <c r="H46">
        <v>138868128</v>
      </c>
      <c r="I46">
        <v>1.04</v>
      </c>
      <c r="J46" t="s">
        <v>154</v>
      </c>
      <c r="K46" t="s">
        <v>2</v>
      </c>
      <c r="L46">
        <v>2.23</v>
      </c>
      <c r="M46">
        <v>15.36</v>
      </c>
      <c r="N46">
        <v>39347</v>
      </c>
      <c r="O46">
        <v>51079</v>
      </c>
      <c r="P46">
        <v>0.77</v>
      </c>
      <c r="Q46">
        <v>39</v>
      </c>
      <c r="R46">
        <v>201</v>
      </c>
      <c r="S46" t="s">
        <v>3</v>
      </c>
      <c r="T46">
        <v>14305.55</v>
      </c>
      <c r="U46" t="s">
        <v>155</v>
      </c>
      <c r="V46" t="s">
        <v>156</v>
      </c>
      <c r="W46">
        <v>2.39</v>
      </c>
    </row>
    <row r="47" spans="1:23">
      <c r="A47" t="str">
        <f>"000058"</f>
        <v>000058</v>
      </c>
      <c r="B47" t="s">
        <v>157</v>
      </c>
      <c r="C47">
        <v>5.63</v>
      </c>
      <c r="D47">
        <v>5.76</v>
      </c>
      <c r="E47">
        <v>5.62</v>
      </c>
      <c r="F47">
        <v>5.69</v>
      </c>
      <c r="G47">
        <v>236185</v>
      </c>
      <c r="H47">
        <v>134268352</v>
      </c>
      <c r="I47">
        <v>1.36</v>
      </c>
      <c r="J47" t="s">
        <v>62</v>
      </c>
      <c r="K47" t="s">
        <v>2</v>
      </c>
      <c r="L47">
        <v>0.71</v>
      </c>
      <c r="M47">
        <v>5.68</v>
      </c>
      <c r="N47">
        <v>116430</v>
      </c>
      <c r="O47">
        <v>119754</v>
      </c>
      <c r="P47">
        <v>0.97</v>
      </c>
      <c r="Q47">
        <v>485</v>
      </c>
      <c r="R47">
        <v>2776</v>
      </c>
      <c r="S47" t="s">
        <v>3</v>
      </c>
      <c r="T47">
        <v>53831.1</v>
      </c>
      <c r="U47" t="s">
        <v>158</v>
      </c>
      <c r="V47" t="s">
        <v>159</v>
      </c>
      <c r="W47">
        <v>0.87</v>
      </c>
    </row>
    <row r="48" spans="1:23">
      <c r="A48" t="str">
        <f>"000059"</f>
        <v>000059</v>
      </c>
      <c r="B48" t="s">
        <v>160</v>
      </c>
      <c r="C48">
        <v>7.16</v>
      </c>
      <c r="D48">
        <v>7.24</v>
      </c>
      <c r="E48">
        <v>7.04</v>
      </c>
      <c r="F48">
        <v>7.14</v>
      </c>
      <c r="G48">
        <v>247188</v>
      </c>
      <c r="H48">
        <v>176534608</v>
      </c>
      <c r="I48">
        <v>0.63</v>
      </c>
      <c r="J48" t="s">
        <v>161</v>
      </c>
      <c r="K48" t="s">
        <v>162</v>
      </c>
      <c r="L48">
        <v>0</v>
      </c>
      <c r="M48">
        <v>7.14</v>
      </c>
      <c r="N48">
        <v>132107</v>
      </c>
      <c r="O48">
        <v>115080</v>
      </c>
      <c r="P48">
        <v>1.1499999999999999</v>
      </c>
      <c r="Q48">
        <v>1800</v>
      </c>
      <c r="R48">
        <v>3000</v>
      </c>
      <c r="S48" t="s">
        <v>3</v>
      </c>
      <c r="T48">
        <v>120050.02</v>
      </c>
      <c r="U48" t="s">
        <v>163</v>
      </c>
      <c r="V48" t="s">
        <v>163</v>
      </c>
      <c r="W48">
        <v>0.16</v>
      </c>
    </row>
    <row r="49" spans="1:23">
      <c r="A49" t="str">
        <f>"000060"</f>
        <v>000060</v>
      </c>
      <c r="B49" t="s">
        <v>164</v>
      </c>
      <c r="C49">
        <v>8.0299999999999994</v>
      </c>
      <c r="D49">
        <v>8.0299999999999994</v>
      </c>
      <c r="E49">
        <v>7.9</v>
      </c>
      <c r="F49">
        <v>7.95</v>
      </c>
      <c r="G49">
        <v>325745</v>
      </c>
      <c r="H49">
        <v>259113696</v>
      </c>
      <c r="I49">
        <v>1.01</v>
      </c>
      <c r="J49" t="s">
        <v>165</v>
      </c>
      <c r="K49" t="s">
        <v>2</v>
      </c>
      <c r="L49">
        <v>-1.61</v>
      </c>
      <c r="M49">
        <v>7.95</v>
      </c>
      <c r="N49">
        <v>174585</v>
      </c>
      <c r="O49">
        <v>151159</v>
      </c>
      <c r="P49">
        <v>1.1499999999999999</v>
      </c>
      <c r="Q49">
        <v>1355</v>
      </c>
      <c r="R49">
        <v>8233</v>
      </c>
      <c r="S49" t="s">
        <v>3</v>
      </c>
      <c r="T49">
        <v>206104</v>
      </c>
      <c r="U49" t="s">
        <v>166</v>
      </c>
      <c r="V49" t="s">
        <v>167</v>
      </c>
      <c r="W49">
        <v>-1.45</v>
      </c>
    </row>
    <row r="50" spans="1:23">
      <c r="A50" t="str">
        <f>"000061"</f>
        <v>000061</v>
      </c>
      <c r="B50" t="s">
        <v>168</v>
      </c>
      <c r="C50">
        <v>10.47</v>
      </c>
      <c r="D50">
        <v>10.5</v>
      </c>
      <c r="E50">
        <v>10.25</v>
      </c>
      <c r="F50">
        <v>10.29</v>
      </c>
      <c r="G50">
        <v>170201</v>
      </c>
      <c r="H50">
        <v>175548384</v>
      </c>
      <c r="I50">
        <v>1.18</v>
      </c>
      <c r="J50" t="s">
        <v>169</v>
      </c>
      <c r="K50" t="s">
        <v>2</v>
      </c>
      <c r="L50">
        <v>-1.72</v>
      </c>
      <c r="M50">
        <v>10.31</v>
      </c>
      <c r="N50">
        <v>103038</v>
      </c>
      <c r="O50">
        <v>67163</v>
      </c>
      <c r="P50">
        <v>1.53</v>
      </c>
      <c r="Q50">
        <v>1284</v>
      </c>
      <c r="R50">
        <v>4964</v>
      </c>
      <c r="S50" t="s">
        <v>3</v>
      </c>
      <c r="T50">
        <v>160569.73000000001</v>
      </c>
      <c r="U50" t="s">
        <v>170</v>
      </c>
      <c r="V50" t="s">
        <v>171</v>
      </c>
      <c r="W50">
        <v>-1.56</v>
      </c>
    </row>
    <row r="51" spans="1:23">
      <c r="A51" t="str">
        <f>"000062"</f>
        <v>000062</v>
      </c>
      <c r="B51" t="s">
        <v>172</v>
      </c>
      <c r="C51">
        <v>17.02</v>
      </c>
      <c r="D51">
        <v>17.86</v>
      </c>
      <c r="E51">
        <v>16.68</v>
      </c>
      <c r="F51">
        <v>17.8</v>
      </c>
      <c r="G51">
        <v>187712</v>
      </c>
      <c r="H51">
        <v>323938816</v>
      </c>
      <c r="I51">
        <v>2.23</v>
      </c>
      <c r="J51" t="s">
        <v>173</v>
      </c>
      <c r="K51" t="s">
        <v>2</v>
      </c>
      <c r="L51">
        <v>4.71</v>
      </c>
      <c r="M51">
        <v>17.260000000000002</v>
      </c>
      <c r="N51">
        <v>86993</v>
      </c>
      <c r="O51">
        <v>100718</v>
      </c>
      <c r="P51">
        <v>0.86</v>
      </c>
      <c r="Q51">
        <v>272</v>
      </c>
      <c r="R51">
        <v>325</v>
      </c>
      <c r="S51" t="s">
        <v>3</v>
      </c>
      <c r="T51">
        <v>66694.97</v>
      </c>
      <c r="U51" t="s">
        <v>174</v>
      </c>
      <c r="V51" t="s">
        <v>174</v>
      </c>
      <c r="W51">
        <v>4.8600000000000003</v>
      </c>
    </row>
    <row r="52" spans="1:23">
      <c r="A52" t="str">
        <f>"000063"</f>
        <v>000063</v>
      </c>
      <c r="B52" t="s">
        <v>175</v>
      </c>
      <c r="C52">
        <v>14.33</v>
      </c>
      <c r="D52">
        <v>14.37</v>
      </c>
      <c r="E52">
        <v>14.21</v>
      </c>
      <c r="F52">
        <v>14.3</v>
      </c>
      <c r="G52">
        <v>356013</v>
      </c>
      <c r="H52">
        <v>508714848</v>
      </c>
      <c r="I52">
        <v>0.76</v>
      </c>
      <c r="J52" t="s">
        <v>112</v>
      </c>
      <c r="K52" t="s">
        <v>2</v>
      </c>
      <c r="L52">
        <v>-0.21</v>
      </c>
      <c r="M52">
        <v>14.29</v>
      </c>
      <c r="N52">
        <v>198319</v>
      </c>
      <c r="O52">
        <v>157694</v>
      </c>
      <c r="P52">
        <v>1.26</v>
      </c>
      <c r="Q52">
        <v>2466</v>
      </c>
      <c r="R52">
        <v>1280</v>
      </c>
      <c r="S52" t="s">
        <v>3</v>
      </c>
      <c r="T52">
        <v>280129.03000000003</v>
      </c>
      <c r="U52" t="s">
        <v>176</v>
      </c>
      <c r="V52" t="s">
        <v>177</v>
      </c>
      <c r="W52">
        <v>-0.05</v>
      </c>
    </row>
    <row r="53" spans="1:23">
      <c r="A53" t="str">
        <f>"000065"</f>
        <v>000065</v>
      </c>
      <c r="B53" t="s">
        <v>178</v>
      </c>
      <c r="C53">
        <v>18.05</v>
      </c>
      <c r="D53">
        <v>18.149999999999999</v>
      </c>
      <c r="E53">
        <v>17.649999999999999</v>
      </c>
      <c r="F53">
        <v>18.149999999999999</v>
      </c>
      <c r="G53">
        <v>88850</v>
      </c>
      <c r="H53">
        <v>159294752</v>
      </c>
      <c r="I53">
        <v>0.42</v>
      </c>
      <c r="J53" t="s">
        <v>33</v>
      </c>
      <c r="K53" t="s">
        <v>2</v>
      </c>
      <c r="L53">
        <v>0.55000000000000004</v>
      </c>
      <c r="M53">
        <v>17.93</v>
      </c>
      <c r="N53">
        <v>48360</v>
      </c>
      <c r="O53">
        <v>40490</v>
      </c>
      <c r="P53">
        <v>1.19</v>
      </c>
      <c r="Q53">
        <v>377</v>
      </c>
      <c r="R53">
        <v>123</v>
      </c>
      <c r="S53" t="s">
        <v>3</v>
      </c>
      <c r="T53">
        <v>25340.18</v>
      </c>
      <c r="U53" t="s">
        <v>179</v>
      </c>
      <c r="V53" t="s">
        <v>179</v>
      </c>
      <c r="W53">
        <v>0.71</v>
      </c>
    </row>
    <row r="54" spans="1:23">
      <c r="A54" t="str">
        <f>"000066"</f>
        <v>000066</v>
      </c>
      <c r="B54" t="s">
        <v>180</v>
      </c>
      <c r="C54" t="s">
        <v>3</v>
      </c>
      <c r="D54" t="s">
        <v>3</v>
      </c>
      <c r="E54" t="s">
        <v>3</v>
      </c>
      <c r="F54">
        <v>0</v>
      </c>
      <c r="G54">
        <v>0</v>
      </c>
      <c r="H54">
        <v>0</v>
      </c>
      <c r="I54">
        <v>0</v>
      </c>
      <c r="J54" t="s">
        <v>66</v>
      </c>
      <c r="K54" t="s">
        <v>2</v>
      </c>
      <c r="L54" t="s">
        <v>3</v>
      </c>
      <c r="M54">
        <v>6.45</v>
      </c>
      <c r="N54">
        <v>0</v>
      </c>
      <c r="O54">
        <v>0</v>
      </c>
      <c r="P54" t="s">
        <v>3</v>
      </c>
      <c r="Q54">
        <v>0</v>
      </c>
      <c r="R54">
        <v>0</v>
      </c>
      <c r="S54" t="s">
        <v>3</v>
      </c>
      <c r="T54">
        <v>132357.01999999999</v>
      </c>
      <c r="U54" t="s">
        <v>181</v>
      </c>
      <c r="V54" t="s">
        <v>181</v>
      </c>
      <c r="W54">
        <v>0.16</v>
      </c>
    </row>
    <row r="55" spans="1:23">
      <c r="A55" t="str">
        <f>"000068"</f>
        <v>000068</v>
      </c>
      <c r="B55" t="s">
        <v>182</v>
      </c>
      <c r="C55">
        <v>8.7799999999999994</v>
      </c>
      <c r="D55">
        <v>9.31</v>
      </c>
      <c r="E55">
        <v>8.7799999999999994</v>
      </c>
      <c r="F55">
        <v>9.1199999999999992</v>
      </c>
      <c r="G55">
        <v>137996</v>
      </c>
      <c r="H55">
        <v>125597096</v>
      </c>
      <c r="I55">
        <v>1.23</v>
      </c>
      <c r="J55" t="s">
        <v>62</v>
      </c>
      <c r="K55" t="s">
        <v>2</v>
      </c>
      <c r="L55">
        <v>3.87</v>
      </c>
      <c r="M55">
        <v>9.1</v>
      </c>
      <c r="N55">
        <v>61335</v>
      </c>
      <c r="O55">
        <v>76660</v>
      </c>
      <c r="P55">
        <v>0.8</v>
      </c>
      <c r="Q55">
        <v>642</v>
      </c>
      <c r="R55">
        <v>605</v>
      </c>
      <c r="S55" t="s">
        <v>3</v>
      </c>
      <c r="T55">
        <v>89667.14</v>
      </c>
      <c r="U55" t="s">
        <v>183</v>
      </c>
      <c r="V55" t="s">
        <v>183</v>
      </c>
      <c r="W55">
        <v>4.03</v>
      </c>
    </row>
    <row r="56" spans="1:23">
      <c r="A56" t="str">
        <f>"000069"</f>
        <v>000069</v>
      </c>
      <c r="B56" t="s">
        <v>184</v>
      </c>
      <c r="C56">
        <v>5.59</v>
      </c>
      <c r="D56">
        <v>5.6</v>
      </c>
      <c r="E56">
        <v>5.47</v>
      </c>
      <c r="F56">
        <v>5.51</v>
      </c>
      <c r="G56">
        <v>376350</v>
      </c>
      <c r="H56">
        <v>207266592</v>
      </c>
      <c r="I56">
        <v>1.08</v>
      </c>
      <c r="J56" t="s">
        <v>185</v>
      </c>
      <c r="K56" t="s">
        <v>2</v>
      </c>
      <c r="L56">
        <v>-1.61</v>
      </c>
      <c r="M56">
        <v>5.51</v>
      </c>
      <c r="N56">
        <v>210950</v>
      </c>
      <c r="O56">
        <v>165399</v>
      </c>
      <c r="P56">
        <v>1.28</v>
      </c>
      <c r="Q56">
        <v>2779</v>
      </c>
      <c r="R56">
        <v>2479</v>
      </c>
      <c r="S56" t="s">
        <v>3</v>
      </c>
      <c r="T56">
        <v>311246.40999999997</v>
      </c>
      <c r="U56" t="s">
        <v>186</v>
      </c>
      <c r="V56" t="s">
        <v>187</v>
      </c>
      <c r="W56">
        <v>-1.45</v>
      </c>
    </row>
    <row r="57" spans="1:23">
      <c r="A57" t="str">
        <f>"000070"</f>
        <v>000070</v>
      </c>
      <c r="B57" t="s">
        <v>188</v>
      </c>
      <c r="C57">
        <v>10.81</v>
      </c>
      <c r="D57">
        <v>10.97</v>
      </c>
      <c r="E57">
        <v>10.81</v>
      </c>
      <c r="F57">
        <v>10.92</v>
      </c>
      <c r="G57">
        <v>36667</v>
      </c>
      <c r="H57">
        <v>39923520</v>
      </c>
      <c r="I57">
        <v>0.92</v>
      </c>
      <c r="J57" t="s">
        <v>112</v>
      </c>
      <c r="K57" t="s">
        <v>2</v>
      </c>
      <c r="L57">
        <v>0.65</v>
      </c>
      <c r="M57">
        <v>10.89</v>
      </c>
      <c r="N57">
        <v>16901</v>
      </c>
      <c r="O57">
        <v>19765</v>
      </c>
      <c r="P57">
        <v>0.86</v>
      </c>
      <c r="Q57">
        <v>203</v>
      </c>
      <c r="R57">
        <v>184</v>
      </c>
      <c r="S57" t="s">
        <v>3</v>
      </c>
      <c r="T57">
        <v>25856.58</v>
      </c>
      <c r="U57" t="s">
        <v>189</v>
      </c>
      <c r="V57" t="s">
        <v>190</v>
      </c>
      <c r="W57">
        <v>0.8</v>
      </c>
    </row>
    <row r="58" spans="1:23">
      <c r="A58" t="str">
        <f>"000078"</f>
        <v>000078</v>
      </c>
      <c r="B58" t="s">
        <v>191</v>
      </c>
      <c r="C58">
        <v>8.6999999999999993</v>
      </c>
      <c r="D58">
        <v>9.07</v>
      </c>
      <c r="E58">
        <v>8.59</v>
      </c>
      <c r="F58">
        <v>9.01</v>
      </c>
      <c r="G58">
        <v>565291</v>
      </c>
      <c r="H58">
        <v>502291648</v>
      </c>
      <c r="I58">
        <v>3.27</v>
      </c>
      <c r="J58" t="s">
        <v>11</v>
      </c>
      <c r="K58" t="s">
        <v>2</v>
      </c>
      <c r="L58">
        <v>3.09</v>
      </c>
      <c r="M58">
        <v>8.89</v>
      </c>
      <c r="N58">
        <v>258034</v>
      </c>
      <c r="O58">
        <v>307257</v>
      </c>
      <c r="P58">
        <v>0.84</v>
      </c>
      <c r="Q58">
        <v>3360</v>
      </c>
      <c r="R58">
        <v>1927</v>
      </c>
      <c r="S58" t="s">
        <v>3</v>
      </c>
      <c r="T58">
        <v>73076.789999999994</v>
      </c>
      <c r="U58" t="s">
        <v>192</v>
      </c>
      <c r="V58" t="s">
        <v>193</v>
      </c>
      <c r="W58">
        <v>3.25</v>
      </c>
    </row>
    <row r="59" spans="1:23">
      <c r="A59" t="str">
        <f>"000088"</f>
        <v>000088</v>
      </c>
      <c r="B59" t="s">
        <v>194</v>
      </c>
      <c r="C59">
        <v>6.04</v>
      </c>
      <c r="D59">
        <v>6.1</v>
      </c>
      <c r="E59">
        <v>5.93</v>
      </c>
      <c r="F59">
        <v>5.99</v>
      </c>
      <c r="G59">
        <v>377979</v>
      </c>
      <c r="H59">
        <v>226911744</v>
      </c>
      <c r="I59">
        <v>0.81</v>
      </c>
      <c r="J59" t="s">
        <v>70</v>
      </c>
      <c r="K59" t="s">
        <v>2</v>
      </c>
      <c r="L59">
        <v>-0.66</v>
      </c>
      <c r="M59">
        <v>6</v>
      </c>
      <c r="N59">
        <v>207827</v>
      </c>
      <c r="O59">
        <v>170151</v>
      </c>
      <c r="P59">
        <v>1.22</v>
      </c>
      <c r="Q59">
        <v>5251</v>
      </c>
      <c r="R59">
        <v>3989</v>
      </c>
      <c r="S59" t="s">
        <v>3</v>
      </c>
      <c r="T59">
        <v>194212.78</v>
      </c>
      <c r="U59" t="s">
        <v>195</v>
      </c>
      <c r="V59" t="s">
        <v>196</v>
      </c>
      <c r="W59">
        <v>-0.5</v>
      </c>
    </row>
    <row r="60" spans="1:23">
      <c r="A60" t="str">
        <f>"000089"</f>
        <v>000089</v>
      </c>
      <c r="B60" t="s">
        <v>197</v>
      </c>
      <c r="C60">
        <v>4.3099999999999996</v>
      </c>
      <c r="D60">
        <v>4.32</v>
      </c>
      <c r="E60">
        <v>4.26</v>
      </c>
      <c r="F60">
        <v>4.29</v>
      </c>
      <c r="G60">
        <v>70506</v>
      </c>
      <c r="H60">
        <v>30172120</v>
      </c>
      <c r="I60">
        <v>1.1000000000000001</v>
      </c>
      <c r="J60" t="s">
        <v>198</v>
      </c>
      <c r="K60" t="s">
        <v>2</v>
      </c>
      <c r="L60">
        <v>0</v>
      </c>
      <c r="M60">
        <v>4.28</v>
      </c>
      <c r="N60">
        <v>39184</v>
      </c>
      <c r="O60">
        <v>31321</v>
      </c>
      <c r="P60">
        <v>1.25</v>
      </c>
      <c r="Q60">
        <v>438</v>
      </c>
      <c r="R60">
        <v>1846</v>
      </c>
      <c r="S60" t="s">
        <v>3</v>
      </c>
      <c r="T60">
        <v>169169.27</v>
      </c>
      <c r="U60" t="s">
        <v>199</v>
      </c>
      <c r="V60" t="s">
        <v>200</v>
      </c>
      <c r="W60">
        <v>0.16</v>
      </c>
    </row>
    <row r="61" spans="1:23">
      <c r="A61" t="str">
        <f>"000090"</f>
        <v>000090</v>
      </c>
      <c r="B61" t="s">
        <v>201</v>
      </c>
      <c r="C61">
        <v>8.42</v>
      </c>
      <c r="D61">
        <v>8.5399999999999991</v>
      </c>
      <c r="E61">
        <v>8.42</v>
      </c>
      <c r="F61">
        <v>8.4600000000000009</v>
      </c>
      <c r="G61">
        <v>43743</v>
      </c>
      <c r="H61">
        <v>37114428</v>
      </c>
      <c r="I61">
        <v>0.76</v>
      </c>
      <c r="J61" t="s">
        <v>33</v>
      </c>
      <c r="K61" t="s">
        <v>2</v>
      </c>
      <c r="L61">
        <v>-0.35</v>
      </c>
      <c r="M61">
        <v>8.48</v>
      </c>
      <c r="N61">
        <v>21575</v>
      </c>
      <c r="O61">
        <v>22168</v>
      </c>
      <c r="P61">
        <v>0.97</v>
      </c>
      <c r="Q61">
        <v>603</v>
      </c>
      <c r="R61">
        <v>17264</v>
      </c>
      <c r="S61" t="s">
        <v>3</v>
      </c>
      <c r="T61">
        <v>55253.07</v>
      </c>
      <c r="U61" t="s">
        <v>202</v>
      </c>
      <c r="V61" t="s">
        <v>202</v>
      </c>
      <c r="W61">
        <v>-0.19</v>
      </c>
    </row>
    <row r="62" spans="1:23">
      <c r="A62" t="str">
        <f>"000096"</f>
        <v>000096</v>
      </c>
      <c r="B62" t="s">
        <v>203</v>
      </c>
      <c r="C62">
        <v>7.38</v>
      </c>
      <c r="D62">
        <v>7.48</v>
      </c>
      <c r="E62">
        <v>7.29</v>
      </c>
      <c r="F62">
        <v>7.48</v>
      </c>
      <c r="G62">
        <v>134444</v>
      </c>
      <c r="H62">
        <v>99443888</v>
      </c>
      <c r="I62">
        <v>1.07</v>
      </c>
      <c r="J62" t="s">
        <v>204</v>
      </c>
      <c r="K62" t="s">
        <v>2</v>
      </c>
      <c r="L62">
        <v>0.94</v>
      </c>
      <c r="M62">
        <v>7.4</v>
      </c>
      <c r="N62">
        <v>65602</v>
      </c>
      <c r="O62">
        <v>68842</v>
      </c>
      <c r="P62">
        <v>0.95</v>
      </c>
      <c r="Q62">
        <v>647</v>
      </c>
      <c r="R62">
        <v>1759</v>
      </c>
      <c r="S62" t="s">
        <v>3</v>
      </c>
      <c r="T62">
        <v>51084.800000000003</v>
      </c>
      <c r="U62" t="s">
        <v>205</v>
      </c>
      <c r="V62" t="s">
        <v>206</v>
      </c>
      <c r="W62">
        <v>1.1000000000000001</v>
      </c>
    </row>
    <row r="63" spans="1:23">
      <c r="A63" t="str">
        <f>"000099"</f>
        <v>000099</v>
      </c>
      <c r="B63" t="s">
        <v>207</v>
      </c>
      <c r="C63">
        <v>9.8800000000000008</v>
      </c>
      <c r="D63">
        <v>10.039999999999999</v>
      </c>
      <c r="E63">
        <v>9.7799999999999994</v>
      </c>
      <c r="F63">
        <v>9.85</v>
      </c>
      <c r="G63">
        <v>185849</v>
      </c>
      <c r="H63">
        <v>183763440</v>
      </c>
      <c r="I63">
        <v>0.83</v>
      </c>
      <c r="J63" t="s">
        <v>208</v>
      </c>
      <c r="K63" t="s">
        <v>2</v>
      </c>
      <c r="L63">
        <v>-0.4</v>
      </c>
      <c r="M63">
        <v>9.89</v>
      </c>
      <c r="N63">
        <v>107123</v>
      </c>
      <c r="O63">
        <v>78725</v>
      </c>
      <c r="P63">
        <v>1.36</v>
      </c>
      <c r="Q63">
        <v>109</v>
      </c>
      <c r="R63">
        <v>786</v>
      </c>
      <c r="S63" t="s">
        <v>3</v>
      </c>
      <c r="T63">
        <v>57531.67</v>
      </c>
      <c r="U63" t="s">
        <v>209</v>
      </c>
      <c r="V63" t="s">
        <v>209</v>
      </c>
      <c r="W63">
        <v>-0.25</v>
      </c>
    </row>
    <row r="64" spans="1:23">
      <c r="A64" t="str">
        <f>"000100"</f>
        <v>000100</v>
      </c>
      <c r="B64" t="s">
        <v>210</v>
      </c>
      <c r="C64">
        <v>2.63</v>
      </c>
      <c r="D64">
        <v>2.73</v>
      </c>
      <c r="E64">
        <v>2.62</v>
      </c>
      <c r="F64">
        <v>2.71</v>
      </c>
      <c r="G64">
        <v>4163424</v>
      </c>
      <c r="H64">
        <v>1116860160</v>
      </c>
      <c r="I64">
        <v>1.84</v>
      </c>
      <c r="J64" t="s">
        <v>47</v>
      </c>
      <c r="K64" t="s">
        <v>211</v>
      </c>
      <c r="L64">
        <v>3.04</v>
      </c>
      <c r="M64">
        <v>2.68</v>
      </c>
      <c r="N64">
        <v>1448783</v>
      </c>
      <c r="O64">
        <v>2714640</v>
      </c>
      <c r="P64">
        <v>0.53</v>
      </c>
      <c r="Q64">
        <v>64153</v>
      </c>
      <c r="R64">
        <v>7766</v>
      </c>
      <c r="S64" t="s">
        <v>3</v>
      </c>
      <c r="T64">
        <v>813618.25</v>
      </c>
      <c r="U64" t="s">
        <v>212</v>
      </c>
      <c r="V64" t="s">
        <v>213</v>
      </c>
      <c r="W64">
        <v>3.2</v>
      </c>
    </row>
    <row r="65" spans="1:23">
      <c r="A65" t="str">
        <f>"000150"</f>
        <v>000150</v>
      </c>
      <c r="B65" t="s">
        <v>214</v>
      </c>
      <c r="C65">
        <v>9.59</v>
      </c>
      <c r="D65">
        <v>10.130000000000001</v>
      </c>
      <c r="E65">
        <v>9.31</v>
      </c>
      <c r="F65">
        <v>9.93</v>
      </c>
      <c r="G65">
        <v>119622</v>
      </c>
      <c r="H65">
        <v>117023704</v>
      </c>
      <c r="I65">
        <v>0.59</v>
      </c>
      <c r="J65" t="s">
        <v>15</v>
      </c>
      <c r="K65" t="s">
        <v>211</v>
      </c>
      <c r="L65">
        <v>3.44</v>
      </c>
      <c r="M65">
        <v>9.7799999999999994</v>
      </c>
      <c r="N65">
        <v>60754</v>
      </c>
      <c r="O65">
        <v>58868</v>
      </c>
      <c r="P65">
        <v>1.03</v>
      </c>
      <c r="Q65">
        <v>393</v>
      </c>
      <c r="R65">
        <v>1283</v>
      </c>
      <c r="S65" t="s">
        <v>3</v>
      </c>
      <c r="T65">
        <v>32400</v>
      </c>
      <c r="U65" t="s">
        <v>24</v>
      </c>
      <c r="V65" t="s">
        <v>24</v>
      </c>
      <c r="W65">
        <v>3.6</v>
      </c>
    </row>
    <row r="66" spans="1:23">
      <c r="A66" t="str">
        <f>"000151"</f>
        <v>000151</v>
      </c>
      <c r="B66" t="s">
        <v>215</v>
      </c>
      <c r="C66">
        <v>13.87</v>
      </c>
      <c r="D66">
        <v>14.2</v>
      </c>
      <c r="E66">
        <v>13.79</v>
      </c>
      <c r="F66">
        <v>14.1</v>
      </c>
      <c r="G66">
        <v>84074</v>
      </c>
      <c r="H66">
        <v>117859376</v>
      </c>
      <c r="I66">
        <v>0.74</v>
      </c>
      <c r="J66" t="s">
        <v>173</v>
      </c>
      <c r="K66" t="s">
        <v>34</v>
      </c>
      <c r="L66">
        <v>1.66</v>
      </c>
      <c r="M66">
        <v>14.02</v>
      </c>
      <c r="N66">
        <v>41144</v>
      </c>
      <c r="O66">
        <v>42930</v>
      </c>
      <c r="P66">
        <v>0.96</v>
      </c>
      <c r="Q66">
        <v>262</v>
      </c>
      <c r="R66">
        <v>297</v>
      </c>
      <c r="S66" t="s">
        <v>3</v>
      </c>
      <c r="T66">
        <v>26654.400000000001</v>
      </c>
      <c r="U66" t="s">
        <v>216</v>
      </c>
      <c r="V66" t="s">
        <v>217</v>
      </c>
      <c r="W66">
        <v>1.82</v>
      </c>
    </row>
    <row r="67" spans="1:23">
      <c r="A67" t="str">
        <f>"000153"</f>
        <v>000153</v>
      </c>
      <c r="B67" t="s">
        <v>218</v>
      </c>
      <c r="C67">
        <v>10.15</v>
      </c>
      <c r="D67">
        <v>10.5</v>
      </c>
      <c r="E67">
        <v>9.9</v>
      </c>
      <c r="F67">
        <v>10.06</v>
      </c>
      <c r="G67">
        <v>156608</v>
      </c>
      <c r="H67">
        <v>159847792</v>
      </c>
      <c r="I67">
        <v>1.1299999999999999</v>
      </c>
      <c r="J67" t="s">
        <v>219</v>
      </c>
      <c r="K67" t="s">
        <v>220</v>
      </c>
      <c r="L67">
        <v>-1.18</v>
      </c>
      <c r="M67">
        <v>10.210000000000001</v>
      </c>
      <c r="N67">
        <v>93546</v>
      </c>
      <c r="O67">
        <v>63061</v>
      </c>
      <c r="P67">
        <v>1.48</v>
      </c>
      <c r="Q67">
        <v>3</v>
      </c>
      <c r="R67">
        <v>732</v>
      </c>
      <c r="S67" t="s">
        <v>3</v>
      </c>
      <c r="T67">
        <v>28714.51</v>
      </c>
      <c r="U67" t="s">
        <v>221</v>
      </c>
      <c r="V67" t="s">
        <v>222</v>
      </c>
      <c r="W67">
        <v>-1.02</v>
      </c>
    </row>
    <row r="68" spans="1:23">
      <c r="A68" t="str">
        <f>"000155"</f>
        <v>000155</v>
      </c>
      <c r="B68" t="s">
        <v>223</v>
      </c>
      <c r="C68" t="s">
        <v>3</v>
      </c>
      <c r="D68" t="s">
        <v>3</v>
      </c>
      <c r="E68" t="s">
        <v>3</v>
      </c>
      <c r="F68">
        <v>0</v>
      </c>
      <c r="G68">
        <v>0</v>
      </c>
      <c r="H68">
        <v>0</v>
      </c>
      <c r="I68">
        <v>0</v>
      </c>
      <c r="J68" t="s">
        <v>224</v>
      </c>
      <c r="K68" t="s">
        <v>225</v>
      </c>
      <c r="L68" t="s">
        <v>3</v>
      </c>
      <c r="M68">
        <v>5.32</v>
      </c>
      <c r="N68">
        <v>0</v>
      </c>
      <c r="O68">
        <v>0</v>
      </c>
      <c r="P68" t="s">
        <v>3</v>
      </c>
      <c r="Q68">
        <v>0</v>
      </c>
      <c r="R68">
        <v>0</v>
      </c>
      <c r="S68" t="s">
        <v>3</v>
      </c>
      <c r="T68">
        <v>47000</v>
      </c>
      <c r="U68" t="s">
        <v>226</v>
      </c>
      <c r="V68" t="s">
        <v>226</v>
      </c>
      <c r="W68">
        <v>0.16</v>
      </c>
    </row>
    <row r="69" spans="1:23">
      <c r="A69" t="str">
        <f>"000156"</f>
        <v>000156</v>
      </c>
      <c r="B69" t="s">
        <v>227</v>
      </c>
      <c r="C69">
        <v>31.95</v>
      </c>
      <c r="D69">
        <v>32.979999999999997</v>
      </c>
      <c r="E69">
        <v>31.82</v>
      </c>
      <c r="F69">
        <v>32.630000000000003</v>
      </c>
      <c r="G69">
        <v>56401</v>
      </c>
      <c r="H69">
        <v>183346304</v>
      </c>
      <c r="I69">
        <v>0.98</v>
      </c>
      <c r="J69" t="s">
        <v>228</v>
      </c>
      <c r="K69" t="s">
        <v>229</v>
      </c>
      <c r="L69">
        <v>2.2200000000000002</v>
      </c>
      <c r="M69">
        <v>32.51</v>
      </c>
      <c r="N69">
        <v>23562</v>
      </c>
      <c r="O69">
        <v>32838</v>
      </c>
      <c r="P69">
        <v>0.72</v>
      </c>
      <c r="Q69">
        <v>489</v>
      </c>
      <c r="R69">
        <v>289</v>
      </c>
      <c r="S69" t="s">
        <v>3</v>
      </c>
      <c r="T69">
        <v>7031.14</v>
      </c>
      <c r="U69" t="s">
        <v>230</v>
      </c>
      <c r="V69" t="s">
        <v>231</v>
      </c>
      <c r="W69">
        <v>2.38</v>
      </c>
    </row>
    <row r="70" spans="1:23">
      <c r="A70" t="str">
        <f>"000157"</f>
        <v>000157</v>
      </c>
      <c r="B70" t="s">
        <v>232</v>
      </c>
      <c r="C70">
        <v>4.8099999999999996</v>
      </c>
      <c r="D70">
        <v>4.87</v>
      </c>
      <c r="E70">
        <v>4.76</v>
      </c>
      <c r="F70">
        <v>4.82</v>
      </c>
      <c r="G70">
        <v>726549</v>
      </c>
      <c r="H70">
        <v>349370304</v>
      </c>
      <c r="I70">
        <v>1.04</v>
      </c>
      <c r="J70" t="s">
        <v>233</v>
      </c>
      <c r="K70" t="s">
        <v>234</v>
      </c>
      <c r="L70">
        <v>0</v>
      </c>
      <c r="M70">
        <v>4.8099999999999996</v>
      </c>
      <c r="N70">
        <v>363107</v>
      </c>
      <c r="O70">
        <v>363441</v>
      </c>
      <c r="P70">
        <v>1</v>
      </c>
      <c r="Q70">
        <v>7644</v>
      </c>
      <c r="R70">
        <v>3887</v>
      </c>
      <c r="S70" t="s">
        <v>3</v>
      </c>
      <c r="T70">
        <v>626117.18999999994</v>
      </c>
      <c r="U70" t="s">
        <v>235</v>
      </c>
      <c r="V70" t="s">
        <v>236</v>
      </c>
      <c r="W70">
        <v>0.16</v>
      </c>
    </row>
    <row r="71" spans="1:23">
      <c r="A71" t="str">
        <f>"000158"</f>
        <v>000158</v>
      </c>
      <c r="B71" t="s">
        <v>237</v>
      </c>
      <c r="C71" t="s">
        <v>3</v>
      </c>
      <c r="D71" t="s">
        <v>3</v>
      </c>
      <c r="E71" t="s">
        <v>3</v>
      </c>
      <c r="F71">
        <v>0</v>
      </c>
      <c r="G71">
        <v>0</v>
      </c>
      <c r="H71">
        <v>0</v>
      </c>
      <c r="I71">
        <v>0</v>
      </c>
      <c r="J71" t="s">
        <v>55</v>
      </c>
      <c r="K71" t="s">
        <v>238</v>
      </c>
      <c r="L71" t="s">
        <v>3</v>
      </c>
      <c r="M71">
        <v>5.44</v>
      </c>
      <c r="N71">
        <v>0</v>
      </c>
      <c r="O71">
        <v>0</v>
      </c>
      <c r="P71" t="s">
        <v>3</v>
      </c>
      <c r="Q71">
        <v>0</v>
      </c>
      <c r="R71">
        <v>0</v>
      </c>
      <c r="S71" t="s">
        <v>3</v>
      </c>
      <c r="T71">
        <v>71886.100000000006</v>
      </c>
      <c r="U71" t="s">
        <v>239</v>
      </c>
      <c r="V71" t="s">
        <v>239</v>
      </c>
      <c r="W71">
        <v>0.16</v>
      </c>
    </row>
    <row r="72" spans="1:23">
      <c r="A72" t="str">
        <f>"000159"</f>
        <v>000159</v>
      </c>
      <c r="B72" t="s">
        <v>240</v>
      </c>
      <c r="C72">
        <v>8.77</v>
      </c>
      <c r="D72">
        <v>8.86</v>
      </c>
      <c r="E72">
        <v>8.66</v>
      </c>
      <c r="F72">
        <v>8.84</v>
      </c>
      <c r="G72">
        <v>116035</v>
      </c>
      <c r="H72">
        <v>101909232</v>
      </c>
      <c r="I72">
        <v>0.89</v>
      </c>
      <c r="J72" t="s">
        <v>204</v>
      </c>
      <c r="K72" t="s">
        <v>241</v>
      </c>
      <c r="L72">
        <v>0.8</v>
      </c>
      <c r="M72">
        <v>8.7799999999999994</v>
      </c>
      <c r="N72">
        <v>57794</v>
      </c>
      <c r="O72">
        <v>58240</v>
      </c>
      <c r="P72">
        <v>0.99</v>
      </c>
      <c r="Q72">
        <v>701</v>
      </c>
      <c r="R72">
        <v>1349</v>
      </c>
      <c r="S72" t="s">
        <v>3</v>
      </c>
      <c r="T72">
        <v>48113.919999999998</v>
      </c>
      <c r="U72" t="s">
        <v>242</v>
      </c>
      <c r="V72" t="s">
        <v>242</v>
      </c>
      <c r="W72">
        <v>0.96</v>
      </c>
    </row>
    <row r="73" spans="1:23">
      <c r="A73" t="str">
        <f>"000301"</f>
        <v>000301</v>
      </c>
      <c r="B73" t="s">
        <v>243</v>
      </c>
      <c r="C73">
        <v>3.41</v>
      </c>
      <c r="D73">
        <v>3.44</v>
      </c>
      <c r="E73">
        <v>3.36</v>
      </c>
      <c r="F73">
        <v>3.42</v>
      </c>
      <c r="G73">
        <v>199774</v>
      </c>
      <c r="H73">
        <v>68097408</v>
      </c>
      <c r="I73">
        <v>1.45</v>
      </c>
      <c r="J73" t="s">
        <v>26</v>
      </c>
      <c r="K73" t="s">
        <v>244</v>
      </c>
      <c r="L73">
        <v>0.28999999999999998</v>
      </c>
      <c r="M73">
        <v>3.41</v>
      </c>
      <c r="N73">
        <v>77393</v>
      </c>
      <c r="O73">
        <v>122381</v>
      </c>
      <c r="P73">
        <v>0.63</v>
      </c>
      <c r="Q73">
        <v>3564</v>
      </c>
      <c r="R73">
        <v>1883</v>
      </c>
      <c r="S73" t="s">
        <v>3</v>
      </c>
      <c r="T73">
        <v>121823.64</v>
      </c>
      <c r="U73" t="s">
        <v>245</v>
      </c>
      <c r="V73" t="s">
        <v>245</v>
      </c>
      <c r="W73">
        <v>0.45</v>
      </c>
    </row>
    <row r="74" spans="1:23">
      <c r="A74" t="str">
        <f>"000333"</f>
        <v>000333</v>
      </c>
      <c r="B74" t="s">
        <v>246</v>
      </c>
      <c r="C74">
        <v>22.26</v>
      </c>
      <c r="D74">
        <v>22.32</v>
      </c>
      <c r="E74">
        <v>21.9</v>
      </c>
      <c r="F74">
        <v>21.97</v>
      </c>
      <c r="G74">
        <v>176771</v>
      </c>
      <c r="H74">
        <v>388660864</v>
      </c>
      <c r="I74">
        <v>0.88</v>
      </c>
      <c r="J74" t="s">
        <v>47</v>
      </c>
      <c r="K74" t="s">
        <v>211</v>
      </c>
      <c r="L74">
        <v>-1.26</v>
      </c>
      <c r="M74">
        <v>21.99</v>
      </c>
      <c r="N74">
        <v>87664</v>
      </c>
      <c r="O74">
        <v>89106</v>
      </c>
      <c r="P74">
        <v>0.98</v>
      </c>
      <c r="Q74">
        <v>555</v>
      </c>
      <c r="R74">
        <v>33</v>
      </c>
      <c r="S74" t="s">
        <v>3</v>
      </c>
      <c r="T74">
        <v>171095.73</v>
      </c>
      <c r="U74" t="s">
        <v>247</v>
      </c>
      <c r="V74" t="s">
        <v>248</v>
      </c>
      <c r="W74">
        <v>-1.1000000000000001</v>
      </c>
    </row>
    <row r="75" spans="1:23">
      <c r="A75" t="str">
        <f>"000338"</f>
        <v>000338</v>
      </c>
      <c r="B75" t="s">
        <v>249</v>
      </c>
      <c r="C75">
        <v>21.13</v>
      </c>
      <c r="D75">
        <v>21.25</v>
      </c>
      <c r="E75">
        <v>20.98</v>
      </c>
      <c r="F75">
        <v>21.11</v>
      </c>
      <c r="G75">
        <v>174617</v>
      </c>
      <c r="H75">
        <v>368704096</v>
      </c>
      <c r="I75">
        <v>0.93</v>
      </c>
      <c r="J75" t="s">
        <v>98</v>
      </c>
      <c r="K75" t="s">
        <v>250</v>
      </c>
      <c r="L75">
        <v>0.09</v>
      </c>
      <c r="M75">
        <v>21.12</v>
      </c>
      <c r="N75">
        <v>84642</v>
      </c>
      <c r="O75">
        <v>89974</v>
      </c>
      <c r="P75">
        <v>0.94</v>
      </c>
      <c r="Q75">
        <v>96</v>
      </c>
      <c r="R75">
        <v>78</v>
      </c>
      <c r="S75" t="s">
        <v>3</v>
      </c>
      <c r="T75">
        <v>97104.9</v>
      </c>
      <c r="U75" t="s">
        <v>251</v>
      </c>
      <c r="V75" t="s">
        <v>252</v>
      </c>
      <c r="W75">
        <v>0.25</v>
      </c>
    </row>
    <row r="76" spans="1:23">
      <c r="A76" t="str">
        <f>"000400"</f>
        <v>000400</v>
      </c>
      <c r="B76" t="s">
        <v>253</v>
      </c>
      <c r="C76">
        <v>22</v>
      </c>
      <c r="D76">
        <v>22.08</v>
      </c>
      <c r="E76">
        <v>21.72</v>
      </c>
      <c r="F76">
        <v>22.03</v>
      </c>
      <c r="G76">
        <v>262227</v>
      </c>
      <c r="H76">
        <v>574154432</v>
      </c>
      <c r="I76">
        <v>0.99</v>
      </c>
      <c r="J76" t="s">
        <v>145</v>
      </c>
      <c r="K76" t="s">
        <v>254</v>
      </c>
      <c r="L76">
        <v>-0.45</v>
      </c>
      <c r="M76">
        <v>21.9</v>
      </c>
      <c r="N76">
        <v>139147</v>
      </c>
      <c r="O76">
        <v>123079</v>
      </c>
      <c r="P76">
        <v>1.1299999999999999</v>
      </c>
      <c r="Q76">
        <v>606</v>
      </c>
      <c r="R76">
        <v>945</v>
      </c>
      <c r="S76" t="s">
        <v>3</v>
      </c>
      <c r="T76">
        <v>59433.279999999999</v>
      </c>
      <c r="U76" t="s">
        <v>255</v>
      </c>
      <c r="V76" t="s">
        <v>256</v>
      </c>
      <c r="W76">
        <v>-0.28999999999999998</v>
      </c>
    </row>
    <row r="77" spans="1:23">
      <c r="A77" t="str">
        <f>"000401"</f>
        <v>000401</v>
      </c>
      <c r="B77" t="s">
        <v>257</v>
      </c>
      <c r="C77">
        <v>8.75</v>
      </c>
      <c r="D77">
        <v>8.86</v>
      </c>
      <c r="E77">
        <v>8.65</v>
      </c>
      <c r="F77">
        <v>8.82</v>
      </c>
      <c r="G77">
        <v>198446</v>
      </c>
      <c r="H77">
        <v>173702304</v>
      </c>
      <c r="I77">
        <v>1.18</v>
      </c>
      <c r="J77" t="s">
        <v>258</v>
      </c>
      <c r="K77" t="s">
        <v>238</v>
      </c>
      <c r="L77">
        <v>0.68</v>
      </c>
      <c r="M77">
        <v>8.75</v>
      </c>
      <c r="N77">
        <v>102922</v>
      </c>
      <c r="O77">
        <v>95524</v>
      </c>
      <c r="P77">
        <v>1.08</v>
      </c>
      <c r="Q77">
        <v>579</v>
      </c>
      <c r="R77">
        <v>990</v>
      </c>
      <c r="S77" t="s">
        <v>3</v>
      </c>
      <c r="T77">
        <v>121233.36</v>
      </c>
      <c r="U77" t="s">
        <v>259</v>
      </c>
      <c r="V77" t="s">
        <v>260</v>
      </c>
      <c r="W77">
        <v>0.84</v>
      </c>
    </row>
    <row r="78" spans="1:23">
      <c r="A78" t="str">
        <f>"000402"</f>
        <v>000402</v>
      </c>
      <c r="B78" t="s">
        <v>261</v>
      </c>
      <c r="C78">
        <v>6.54</v>
      </c>
      <c r="D78">
        <v>6.56</v>
      </c>
      <c r="E78">
        <v>6.43</v>
      </c>
      <c r="F78">
        <v>6.47</v>
      </c>
      <c r="G78">
        <v>266721</v>
      </c>
      <c r="H78">
        <v>172756336</v>
      </c>
      <c r="I78">
        <v>1.02</v>
      </c>
      <c r="J78" t="s">
        <v>7</v>
      </c>
      <c r="K78" t="s">
        <v>34</v>
      </c>
      <c r="L78">
        <v>-1.22</v>
      </c>
      <c r="M78">
        <v>6.48</v>
      </c>
      <c r="N78">
        <v>151833</v>
      </c>
      <c r="O78">
        <v>114887</v>
      </c>
      <c r="P78">
        <v>1.32</v>
      </c>
      <c r="Q78">
        <v>1424</v>
      </c>
      <c r="R78">
        <v>1016</v>
      </c>
      <c r="S78" t="s">
        <v>3</v>
      </c>
      <c r="T78">
        <v>302439.31</v>
      </c>
      <c r="U78" t="s">
        <v>262</v>
      </c>
      <c r="V78" t="s">
        <v>263</v>
      </c>
      <c r="W78">
        <v>-1.06</v>
      </c>
    </row>
    <row r="79" spans="1:23">
      <c r="A79" t="str">
        <f>"000403"</f>
        <v>000403</v>
      </c>
      <c r="B79" t="s">
        <v>264</v>
      </c>
      <c r="C79">
        <v>18.489999999999998</v>
      </c>
      <c r="D79">
        <v>19.170000000000002</v>
      </c>
      <c r="E79">
        <v>18.399999999999999</v>
      </c>
      <c r="F79">
        <v>18.97</v>
      </c>
      <c r="G79">
        <v>62714</v>
      </c>
      <c r="H79">
        <v>118256416</v>
      </c>
      <c r="I79">
        <v>1.32</v>
      </c>
      <c r="J79" t="s">
        <v>11</v>
      </c>
      <c r="K79" t="s">
        <v>265</v>
      </c>
      <c r="L79">
        <v>2.93</v>
      </c>
      <c r="M79">
        <v>18.86</v>
      </c>
      <c r="N79">
        <v>27277</v>
      </c>
      <c r="O79">
        <v>35437</v>
      </c>
      <c r="P79">
        <v>0.77</v>
      </c>
      <c r="Q79">
        <v>631</v>
      </c>
      <c r="R79">
        <v>39</v>
      </c>
      <c r="S79" t="s">
        <v>3</v>
      </c>
      <c r="T79">
        <v>18151.84</v>
      </c>
      <c r="U79" t="s">
        <v>266</v>
      </c>
      <c r="V79" t="s">
        <v>267</v>
      </c>
      <c r="W79">
        <v>3.09</v>
      </c>
    </row>
    <row r="80" spans="1:23">
      <c r="A80" t="str">
        <f>"000404"</f>
        <v>000404</v>
      </c>
      <c r="B80" t="s">
        <v>268</v>
      </c>
      <c r="C80">
        <v>6.36</v>
      </c>
      <c r="D80">
        <v>6.48</v>
      </c>
      <c r="E80">
        <v>6.28</v>
      </c>
      <c r="F80">
        <v>6.46</v>
      </c>
      <c r="G80">
        <v>155942</v>
      </c>
      <c r="H80">
        <v>99739120</v>
      </c>
      <c r="I80">
        <v>1.54</v>
      </c>
      <c r="J80" t="s">
        <v>269</v>
      </c>
      <c r="K80" t="s">
        <v>265</v>
      </c>
      <c r="L80">
        <v>2.0499999999999998</v>
      </c>
      <c r="M80">
        <v>6.4</v>
      </c>
      <c r="N80">
        <v>64478</v>
      </c>
      <c r="O80">
        <v>91464</v>
      </c>
      <c r="P80">
        <v>0.7</v>
      </c>
      <c r="Q80">
        <v>1488</v>
      </c>
      <c r="R80">
        <v>1098</v>
      </c>
      <c r="S80" t="s">
        <v>3</v>
      </c>
      <c r="T80">
        <v>49550.89</v>
      </c>
      <c r="U80" t="s">
        <v>270</v>
      </c>
      <c r="V80" t="s">
        <v>271</v>
      </c>
      <c r="W80">
        <v>2.21</v>
      </c>
    </row>
    <row r="81" spans="1:23">
      <c r="A81" t="str">
        <f>"000407"</f>
        <v>000407</v>
      </c>
      <c r="B81" t="s">
        <v>272</v>
      </c>
      <c r="C81">
        <v>6.25</v>
      </c>
      <c r="D81">
        <v>6.63</v>
      </c>
      <c r="E81">
        <v>6.25</v>
      </c>
      <c r="F81">
        <v>6.52</v>
      </c>
      <c r="G81">
        <v>327497</v>
      </c>
      <c r="H81">
        <v>212316432</v>
      </c>
      <c r="I81">
        <v>2.29</v>
      </c>
      <c r="J81" t="s">
        <v>273</v>
      </c>
      <c r="K81" t="s">
        <v>250</v>
      </c>
      <c r="L81">
        <v>4.49</v>
      </c>
      <c r="M81">
        <v>6.48</v>
      </c>
      <c r="N81">
        <v>151341</v>
      </c>
      <c r="O81">
        <v>176156</v>
      </c>
      <c r="P81">
        <v>0.86</v>
      </c>
      <c r="Q81">
        <v>188</v>
      </c>
      <c r="R81">
        <v>1228</v>
      </c>
      <c r="S81" t="s">
        <v>3</v>
      </c>
      <c r="T81">
        <v>64490.39</v>
      </c>
      <c r="U81" t="s">
        <v>274</v>
      </c>
      <c r="V81" t="s">
        <v>275</v>
      </c>
      <c r="W81">
        <v>4.6500000000000004</v>
      </c>
    </row>
    <row r="82" spans="1:23">
      <c r="A82" t="str">
        <f>"000408"</f>
        <v>000408</v>
      </c>
      <c r="B82" t="s">
        <v>276</v>
      </c>
      <c r="C82" t="s">
        <v>3</v>
      </c>
      <c r="D82" t="s">
        <v>3</v>
      </c>
      <c r="E82" t="s">
        <v>3</v>
      </c>
      <c r="F82">
        <v>0</v>
      </c>
      <c r="G82">
        <v>0</v>
      </c>
      <c r="H82">
        <v>0</v>
      </c>
      <c r="I82">
        <v>0</v>
      </c>
      <c r="J82" t="s">
        <v>173</v>
      </c>
      <c r="K82" t="s">
        <v>238</v>
      </c>
      <c r="L82" t="s">
        <v>3</v>
      </c>
      <c r="M82">
        <v>5.91</v>
      </c>
      <c r="N82">
        <v>0</v>
      </c>
      <c r="O82">
        <v>0</v>
      </c>
      <c r="P82" t="s">
        <v>3</v>
      </c>
      <c r="Q82">
        <v>0</v>
      </c>
      <c r="R82">
        <v>0</v>
      </c>
      <c r="S82" t="s">
        <v>3</v>
      </c>
      <c r="T82">
        <v>25230.06</v>
      </c>
      <c r="U82" t="s">
        <v>277</v>
      </c>
      <c r="V82" t="s">
        <v>277</v>
      </c>
      <c r="W82">
        <v>0.16</v>
      </c>
    </row>
    <row r="83" spans="1:23">
      <c r="A83" t="str">
        <f>"000409"</f>
        <v>000409</v>
      </c>
      <c r="B83" t="s">
        <v>278</v>
      </c>
      <c r="C83">
        <v>11.3</v>
      </c>
      <c r="D83">
        <v>11.58</v>
      </c>
      <c r="E83">
        <v>11.18</v>
      </c>
      <c r="F83">
        <v>11.58</v>
      </c>
      <c r="G83">
        <v>74001</v>
      </c>
      <c r="H83">
        <v>84844560</v>
      </c>
      <c r="I83">
        <v>1.55</v>
      </c>
      <c r="J83" t="s">
        <v>279</v>
      </c>
      <c r="K83" t="s">
        <v>250</v>
      </c>
      <c r="L83">
        <v>2.84</v>
      </c>
      <c r="M83">
        <v>11.47</v>
      </c>
      <c r="N83">
        <v>32991</v>
      </c>
      <c r="O83">
        <v>41009</v>
      </c>
      <c r="P83">
        <v>0.8</v>
      </c>
      <c r="Q83">
        <v>914</v>
      </c>
      <c r="R83">
        <v>1856</v>
      </c>
      <c r="S83" t="s">
        <v>3</v>
      </c>
      <c r="T83">
        <v>27613.33</v>
      </c>
      <c r="U83" t="s">
        <v>280</v>
      </c>
      <c r="V83" t="s">
        <v>281</v>
      </c>
      <c r="W83">
        <v>3</v>
      </c>
    </row>
    <row r="84" spans="1:23">
      <c r="A84" t="str">
        <f>"000410"</f>
        <v>000410</v>
      </c>
      <c r="B84" t="s">
        <v>282</v>
      </c>
      <c r="C84">
        <v>7.67</v>
      </c>
      <c r="D84">
        <v>7.94</v>
      </c>
      <c r="E84">
        <v>7.65</v>
      </c>
      <c r="F84">
        <v>7.75</v>
      </c>
      <c r="G84">
        <v>425802</v>
      </c>
      <c r="H84">
        <v>331407104</v>
      </c>
      <c r="I84">
        <v>2.17</v>
      </c>
      <c r="J84" t="s">
        <v>283</v>
      </c>
      <c r="K84" t="s">
        <v>162</v>
      </c>
      <c r="L84">
        <v>2.2400000000000002</v>
      </c>
      <c r="M84">
        <v>7.78</v>
      </c>
      <c r="N84">
        <v>205987</v>
      </c>
      <c r="O84">
        <v>219815</v>
      </c>
      <c r="P84">
        <v>0.94</v>
      </c>
      <c r="Q84">
        <v>2060</v>
      </c>
      <c r="R84">
        <v>3293</v>
      </c>
      <c r="S84" t="s">
        <v>3</v>
      </c>
      <c r="T84">
        <v>73877.59</v>
      </c>
      <c r="U84" t="s">
        <v>284</v>
      </c>
      <c r="V84" t="s">
        <v>285</v>
      </c>
      <c r="W84">
        <v>2.4</v>
      </c>
    </row>
    <row r="85" spans="1:23">
      <c r="A85" t="str">
        <f>"000411"</f>
        <v>000411</v>
      </c>
      <c r="B85" t="s">
        <v>286</v>
      </c>
      <c r="C85">
        <v>13.02</v>
      </c>
      <c r="D85">
        <v>13.13</v>
      </c>
      <c r="E85">
        <v>12.94</v>
      </c>
      <c r="F85">
        <v>13.1</v>
      </c>
      <c r="G85">
        <v>25730</v>
      </c>
      <c r="H85">
        <v>33497892</v>
      </c>
      <c r="I85">
        <v>1.03</v>
      </c>
      <c r="J85" t="s">
        <v>91</v>
      </c>
      <c r="K85" t="s">
        <v>229</v>
      </c>
      <c r="L85">
        <v>0.08</v>
      </c>
      <c r="M85">
        <v>13.02</v>
      </c>
      <c r="N85">
        <v>12831</v>
      </c>
      <c r="O85">
        <v>12898</v>
      </c>
      <c r="P85">
        <v>0.99</v>
      </c>
      <c r="Q85">
        <v>187</v>
      </c>
      <c r="R85">
        <v>268</v>
      </c>
      <c r="S85" t="s">
        <v>3</v>
      </c>
      <c r="T85">
        <v>20363.830000000002</v>
      </c>
      <c r="U85" t="s">
        <v>287</v>
      </c>
      <c r="V85" t="s">
        <v>288</v>
      </c>
      <c r="W85">
        <v>0.23</v>
      </c>
    </row>
    <row r="86" spans="1:23">
      <c r="A86" t="str">
        <f>"000413"</f>
        <v>000413</v>
      </c>
      <c r="B86" t="s">
        <v>289</v>
      </c>
      <c r="C86">
        <v>8.44</v>
      </c>
      <c r="D86">
        <v>8.51</v>
      </c>
      <c r="E86">
        <v>8.33</v>
      </c>
      <c r="F86">
        <v>8.4700000000000006</v>
      </c>
      <c r="G86">
        <v>676194</v>
      </c>
      <c r="H86">
        <v>570160000</v>
      </c>
      <c r="I86">
        <v>0.67</v>
      </c>
      <c r="J86" t="s">
        <v>62</v>
      </c>
      <c r="K86" t="s">
        <v>238</v>
      </c>
      <c r="L86">
        <v>0.47</v>
      </c>
      <c r="M86">
        <v>8.43</v>
      </c>
      <c r="N86">
        <v>310097</v>
      </c>
      <c r="O86">
        <v>366096</v>
      </c>
      <c r="P86">
        <v>0.85</v>
      </c>
      <c r="Q86">
        <v>3331</v>
      </c>
      <c r="R86">
        <v>8008</v>
      </c>
      <c r="S86" t="s">
        <v>3</v>
      </c>
      <c r="T86">
        <v>201866.19</v>
      </c>
      <c r="U86" t="s">
        <v>290</v>
      </c>
      <c r="V86" t="s">
        <v>291</v>
      </c>
      <c r="W86">
        <v>0.63</v>
      </c>
    </row>
    <row r="87" spans="1:23">
      <c r="A87" t="str">
        <f>"000415"</f>
        <v>000415</v>
      </c>
      <c r="B87" t="s">
        <v>292</v>
      </c>
      <c r="C87">
        <v>8.9700000000000006</v>
      </c>
      <c r="D87">
        <v>8.98</v>
      </c>
      <c r="E87">
        <v>8.83</v>
      </c>
      <c r="F87">
        <v>8.92</v>
      </c>
      <c r="G87">
        <v>106581</v>
      </c>
      <c r="H87">
        <v>94664424</v>
      </c>
      <c r="I87">
        <v>0.71</v>
      </c>
      <c r="J87" t="s">
        <v>293</v>
      </c>
      <c r="K87" t="s">
        <v>241</v>
      </c>
      <c r="L87">
        <v>-0.45</v>
      </c>
      <c r="M87">
        <v>8.8800000000000008</v>
      </c>
      <c r="N87">
        <v>62534</v>
      </c>
      <c r="O87">
        <v>44047</v>
      </c>
      <c r="P87">
        <v>1.42</v>
      </c>
      <c r="Q87">
        <v>292</v>
      </c>
      <c r="R87">
        <v>562</v>
      </c>
      <c r="S87" t="s">
        <v>3</v>
      </c>
      <c r="T87">
        <v>126917.42</v>
      </c>
      <c r="U87" t="s">
        <v>294</v>
      </c>
      <c r="V87" t="s">
        <v>295</v>
      </c>
      <c r="W87">
        <v>-0.28999999999999998</v>
      </c>
    </row>
    <row r="88" spans="1:23">
      <c r="A88" t="str">
        <f>"000416"</f>
        <v>000416</v>
      </c>
      <c r="B88" t="s">
        <v>296</v>
      </c>
      <c r="C88">
        <v>8.85</v>
      </c>
      <c r="D88">
        <v>8.92</v>
      </c>
      <c r="E88">
        <v>8.7200000000000006</v>
      </c>
      <c r="F88">
        <v>8.81</v>
      </c>
      <c r="G88">
        <v>51484</v>
      </c>
      <c r="H88">
        <v>45472504</v>
      </c>
      <c r="I88">
        <v>0.71</v>
      </c>
      <c r="J88" t="s">
        <v>297</v>
      </c>
      <c r="K88" t="s">
        <v>250</v>
      </c>
      <c r="L88">
        <v>-0.56000000000000005</v>
      </c>
      <c r="M88">
        <v>8.83</v>
      </c>
      <c r="N88">
        <v>31455</v>
      </c>
      <c r="O88">
        <v>20029</v>
      </c>
      <c r="P88">
        <v>1.57</v>
      </c>
      <c r="Q88">
        <v>1042</v>
      </c>
      <c r="R88">
        <v>240</v>
      </c>
      <c r="S88" t="s">
        <v>3</v>
      </c>
      <c r="T88">
        <v>53161.03</v>
      </c>
      <c r="U88" t="s">
        <v>298</v>
      </c>
      <c r="V88" t="s">
        <v>299</v>
      </c>
      <c r="W88">
        <v>-0.41</v>
      </c>
    </row>
    <row r="89" spans="1:23">
      <c r="A89" t="str">
        <f>"000417"</f>
        <v>000417</v>
      </c>
      <c r="B89" t="s">
        <v>300</v>
      </c>
      <c r="C89">
        <v>6.27</v>
      </c>
      <c r="D89">
        <v>6.32</v>
      </c>
      <c r="E89">
        <v>6.2</v>
      </c>
      <c r="F89">
        <v>6.3</v>
      </c>
      <c r="G89">
        <v>146251</v>
      </c>
      <c r="H89">
        <v>91743240</v>
      </c>
      <c r="I89">
        <v>1.1399999999999999</v>
      </c>
      <c r="J89" t="s">
        <v>297</v>
      </c>
      <c r="K89" t="s">
        <v>220</v>
      </c>
      <c r="L89">
        <v>0.48</v>
      </c>
      <c r="M89">
        <v>6.27</v>
      </c>
      <c r="N89">
        <v>68810</v>
      </c>
      <c r="O89">
        <v>77441</v>
      </c>
      <c r="P89">
        <v>0.89</v>
      </c>
      <c r="Q89">
        <v>292</v>
      </c>
      <c r="R89">
        <v>8439</v>
      </c>
      <c r="S89" t="s">
        <v>3</v>
      </c>
      <c r="T89">
        <v>77859.75</v>
      </c>
      <c r="U89" t="s">
        <v>301</v>
      </c>
      <c r="V89" t="s">
        <v>302</v>
      </c>
      <c r="W89">
        <v>0.64</v>
      </c>
    </row>
    <row r="90" spans="1:23">
      <c r="A90" t="str">
        <f>"000418"</f>
        <v>000418</v>
      </c>
      <c r="B90" t="s">
        <v>303</v>
      </c>
      <c r="C90">
        <v>12.08</v>
      </c>
      <c r="D90">
        <v>12.1</v>
      </c>
      <c r="E90">
        <v>11.8</v>
      </c>
      <c r="F90">
        <v>11.91</v>
      </c>
      <c r="G90">
        <v>30635</v>
      </c>
      <c r="H90">
        <v>36456668</v>
      </c>
      <c r="I90">
        <v>0.65</v>
      </c>
      <c r="J90" t="s">
        <v>47</v>
      </c>
      <c r="K90" t="s">
        <v>244</v>
      </c>
      <c r="L90">
        <v>-0.5</v>
      </c>
      <c r="M90">
        <v>11.9</v>
      </c>
      <c r="N90">
        <v>19239</v>
      </c>
      <c r="O90">
        <v>11395</v>
      </c>
      <c r="P90">
        <v>1.69</v>
      </c>
      <c r="Q90">
        <v>34</v>
      </c>
      <c r="R90">
        <v>107</v>
      </c>
      <c r="S90" t="s">
        <v>3</v>
      </c>
      <c r="T90">
        <v>43776.1</v>
      </c>
      <c r="U90" t="s">
        <v>304</v>
      </c>
      <c r="V90" t="s">
        <v>305</v>
      </c>
      <c r="W90">
        <v>-0.34</v>
      </c>
    </row>
    <row r="91" spans="1:23">
      <c r="A91" t="str">
        <f>"000419"</f>
        <v>000419</v>
      </c>
      <c r="B91" t="s">
        <v>306</v>
      </c>
      <c r="C91">
        <v>6.52</v>
      </c>
      <c r="D91">
        <v>7.06</v>
      </c>
      <c r="E91">
        <v>6.42</v>
      </c>
      <c r="F91">
        <v>6.87</v>
      </c>
      <c r="G91">
        <v>370145</v>
      </c>
      <c r="H91">
        <v>249250544</v>
      </c>
      <c r="I91">
        <v>1.49</v>
      </c>
      <c r="J91" t="s">
        <v>297</v>
      </c>
      <c r="K91" t="s">
        <v>234</v>
      </c>
      <c r="L91">
        <v>6.02</v>
      </c>
      <c r="M91">
        <v>6.73</v>
      </c>
      <c r="N91">
        <v>170034</v>
      </c>
      <c r="O91">
        <v>200110</v>
      </c>
      <c r="P91">
        <v>0.85</v>
      </c>
      <c r="Q91">
        <v>551</v>
      </c>
      <c r="R91">
        <v>640</v>
      </c>
      <c r="S91" t="s">
        <v>3</v>
      </c>
      <c r="T91">
        <v>54329</v>
      </c>
      <c r="U91" t="s">
        <v>307</v>
      </c>
      <c r="V91" t="s">
        <v>308</v>
      </c>
      <c r="W91">
        <v>6.18</v>
      </c>
    </row>
    <row r="92" spans="1:23">
      <c r="A92" t="str">
        <f>"000420"</f>
        <v>000420</v>
      </c>
      <c r="B92" t="s">
        <v>309</v>
      </c>
      <c r="C92">
        <v>5.17</v>
      </c>
      <c r="D92">
        <v>5.25</v>
      </c>
      <c r="E92">
        <v>5.17</v>
      </c>
      <c r="F92">
        <v>5.24</v>
      </c>
      <c r="G92">
        <v>66166</v>
      </c>
      <c r="H92">
        <v>34478464</v>
      </c>
      <c r="I92">
        <v>1.03</v>
      </c>
      <c r="J92" t="s">
        <v>310</v>
      </c>
      <c r="K92" t="s">
        <v>99</v>
      </c>
      <c r="L92">
        <v>0.57999999999999996</v>
      </c>
      <c r="M92">
        <v>5.21</v>
      </c>
      <c r="N92">
        <v>34915</v>
      </c>
      <c r="O92">
        <v>31251</v>
      </c>
      <c r="P92">
        <v>1.1200000000000001</v>
      </c>
      <c r="Q92">
        <v>447</v>
      </c>
      <c r="R92">
        <v>1424</v>
      </c>
      <c r="S92" t="s">
        <v>3</v>
      </c>
      <c r="T92">
        <v>31831.19</v>
      </c>
      <c r="U92" t="s">
        <v>311</v>
      </c>
      <c r="V92" t="s">
        <v>312</v>
      </c>
      <c r="W92">
        <v>0.73</v>
      </c>
    </row>
    <row r="93" spans="1:23">
      <c r="A93" t="str">
        <f>"000421"</f>
        <v>000421</v>
      </c>
      <c r="B93" t="s">
        <v>313</v>
      </c>
      <c r="C93">
        <v>7.16</v>
      </c>
      <c r="D93">
        <v>7.28</v>
      </c>
      <c r="E93">
        <v>7.11</v>
      </c>
      <c r="F93">
        <v>7.26</v>
      </c>
      <c r="G93">
        <v>79976</v>
      </c>
      <c r="H93">
        <v>57622436</v>
      </c>
      <c r="I93">
        <v>1.46</v>
      </c>
      <c r="J93" t="s">
        <v>314</v>
      </c>
      <c r="K93" t="s">
        <v>244</v>
      </c>
      <c r="L93">
        <v>1.26</v>
      </c>
      <c r="M93">
        <v>7.2</v>
      </c>
      <c r="N93">
        <v>37857</v>
      </c>
      <c r="O93">
        <v>42118</v>
      </c>
      <c r="P93">
        <v>0.9</v>
      </c>
      <c r="Q93">
        <v>909</v>
      </c>
      <c r="R93">
        <v>2299</v>
      </c>
      <c r="S93" t="s">
        <v>3</v>
      </c>
      <c r="T93">
        <v>35162.85</v>
      </c>
      <c r="U93" t="s">
        <v>315</v>
      </c>
      <c r="V93" t="s">
        <v>315</v>
      </c>
      <c r="W93">
        <v>1.41</v>
      </c>
    </row>
    <row r="94" spans="1:23">
      <c r="A94" t="str">
        <f>"000422"</f>
        <v>000422</v>
      </c>
      <c r="B94" t="s">
        <v>316</v>
      </c>
      <c r="C94">
        <v>6</v>
      </c>
      <c r="D94">
        <v>6.01</v>
      </c>
      <c r="E94">
        <v>5.9</v>
      </c>
      <c r="F94">
        <v>5.97</v>
      </c>
      <c r="G94">
        <v>188779</v>
      </c>
      <c r="H94">
        <v>112176848</v>
      </c>
      <c r="I94">
        <v>1.07</v>
      </c>
      <c r="J94" t="s">
        <v>224</v>
      </c>
      <c r="K94" t="s">
        <v>317</v>
      </c>
      <c r="L94">
        <v>-0.17</v>
      </c>
      <c r="M94">
        <v>5.94</v>
      </c>
      <c r="N94">
        <v>106851</v>
      </c>
      <c r="O94">
        <v>81927</v>
      </c>
      <c r="P94">
        <v>1.3</v>
      </c>
      <c r="Q94">
        <v>272</v>
      </c>
      <c r="R94">
        <v>2076</v>
      </c>
      <c r="S94" t="s">
        <v>3</v>
      </c>
      <c r="T94">
        <v>87374.47</v>
      </c>
      <c r="U94" t="s">
        <v>318</v>
      </c>
      <c r="V94" t="s">
        <v>319</v>
      </c>
      <c r="W94">
        <v>-0.01</v>
      </c>
    </row>
    <row r="95" spans="1:23">
      <c r="A95" t="str">
        <f>"000423"</f>
        <v>000423</v>
      </c>
      <c r="B95" t="s">
        <v>320</v>
      </c>
      <c r="C95">
        <v>36.32</v>
      </c>
      <c r="D95">
        <v>36.49</v>
      </c>
      <c r="E95">
        <v>35.729999999999997</v>
      </c>
      <c r="F95">
        <v>35.94</v>
      </c>
      <c r="G95">
        <v>87802</v>
      </c>
      <c r="H95">
        <v>315585120</v>
      </c>
      <c r="I95">
        <v>1.44</v>
      </c>
      <c r="J95" t="s">
        <v>321</v>
      </c>
      <c r="K95" t="s">
        <v>250</v>
      </c>
      <c r="L95">
        <v>-1.02</v>
      </c>
      <c r="M95">
        <v>35.94</v>
      </c>
      <c r="N95">
        <v>49348</v>
      </c>
      <c r="O95">
        <v>38454</v>
      </c>
      <c r="P95">
        <v>1.28</v>
      </c>
      <c r="Q95">
        <v>153</v>
      </c>
      <c r="R95">
        <v>3483</v>
      </c>
      <c r="S95" t="s">
        <v>3</v>
      </c>
      <c r="T95">
        <v>65377.33</v>
      </c>
      <c r="U95" t="s">
        <v>322</v>
      </c>
      <c r="V95" t="s">
        <v>323</v>
      </c>
      <c r="W95">
        <v>-0.86</v>
      </c>
    </row>
    <row r="96" spans="1:23">
      <c r="A96" t="str">
        <f>"000425"</f>
        <v>000425</v>
      </c>
      <c r="B96" t="s">
        <v>324</v>
      </c>
      <c r="C96">
        <v>8.24</v>
      </c>
      <c r="D96">
        <v>8.25</v>
      </c>
      <c r="E96">
        <v>8.1199999999999992</v>
      </c>
      <c r="F96">
        <v>8.19</v>
      </c>
      <c r="G96">
        <v>178133</v>
      </c>
      <c r="H96">
        <v>145830096</v>
      </c>
      <c r="I96">
        <v>0.77</v>
      </c>
      <c r="J96" t="s">
        <v>233</v>
      </c>
      <c r="K96" t="s">
        <v>244</v>
      </c>
      <c r="L96">
        <v>-0.24</v>
      </c>
      <c r="M96">
        <v>8.19</v>
      </c>
      <c r="N96">
        <v>92653</v>
      </c>
      <c r="O96">
        <v>85479</v>
      </c>
      <c r="P96">
        <v>1.08</v>
      </c>
      <c r="Q96">
        <v>680</v>
      </c>
      <c r="R96">
        <v>1381</v>
      </c>
      <c r="S96" t="s">
        <v>3</v>
      </c>
      <c r="T96">
        <v>205562.09</v>
      </c>
      <c r="U96" t="s">
        <v>325</v>
      </c>
      <c r="V96" t="s">
        <v>326</v>
      </c>
      <c r="W96">
        <v>-0.09</v>
      </c>
    </row>
    <row r="97" spans="1:23">
      <c r="A97" t="str">
        <f>"000426"</f>
        <v>000426</v>
      </c>
      <c r="B97" t="s">
        <v>327</v>
      </c>
      <c r="C97">
        <v>11.5</v>
      </c>
      <c r="D97">
        <v>11.62</v>
      </c>
      <c r="E97">
        <v>11.33</v>
      </c>
      <c r="F97">
        <v>11.39</v>
      </c>
      <c r="G97">
        <v>100972</v>
      </c>
      <c r="H97">
        <v>115190440</v>
      </c>
      <c r="I97">
        <v>0.95</v>
      </c>
      <c r="J97" t="s">
        <v>328</v>
      </c>
      <c r="K97" t="s">
        <v>329</v>
      </c>
      <c r="L97">
        <v>-0.7</v>
      </c>
      <c r="M97">
        <v>11.41</v>
      </c>
      <c r="N97">
        <v>56117</v>
      </c>
      <c r="O97">
        <v>44855</v>
      </c>
      <c r="P97">
        <v>1.25</v>
      </c>
      <c r="Q97">
        <v>732</v>
      </c>
      <c r="R97">
        <v>617</v>
      </c>
      <c r="S97" t="s">
        <v>3</v>
      </c>
      <c r="T97">
        <v>46051.41</v>
      </c>
      <c r="U97" t="s">
        <v>330</v>
      </c>
      <c r="V97" t="s">
        <v>331</v>
      </c>
      <c r="W97">
        <v>-0.54</v>
      </c>
    </row>
    <row r="98" spans="1:23">
      <c r="A98" t="str">
        <f>"000428"</f>
        <v>000428</v>
      </c>
      <c r="B98" t="s">
        <v>332</v>
      </c>
      <c r="C98">
        <v>6.04</v>
      </c>
      <c r="D98">
        <v>6.09</v>
      </c>
      <c r="E98">
        <v>5.98</v>
      </c>
      <c r="F98">
        <v>6.07</v>
      </c>
      <c r="G98">
        <v>140929</v>
      </c>
      <c r="H98">
        <v>84956136</v>
      </c>
      <c r="I98">
        <v>0.9</v>
      </c>
      <c r="J98" t="s">
        <v>22</v>
      </c>
      <c r="K98" t="s">
        <v>234</v>
      </c>
      <c r="L98">
        <v>0.5</v>
      </c>
      <c r="M98">
        <v>6.03</v>
      </c>
      <c r="N98">
        <v>67855</v>
      </c>
      <c r="O98">
        <v>73073</v>
      </c>
      <c r="P98">
        <v>0.93</v>
      </c>
      <c r="Q98">
        <v>1516</v>
      </c>
      <c r="R98">
        <v>2385</v>
      </c>
      <c r="S98" t="s">
        <v>3</v>
      </c>
      <c r="T98">
        <v>71876.240000000005</v>
      </c>
      <c r="U98" t="s">
        <v>333</v>
      </c>
      <c r="V98" t="s">
        <v>334</v>
      </c>
      <c r="W98">
        <v>0.66</v>
      </c>
    </row>
    <row r="99" spans="1:23">
      <c r="A99" t="str">
        <f>"000429"</f>
        <v>000429</v>
      </c>
      <c r="B99" t="s">
        <v>335</v>
      </c>
      <c r="C99">
        <v>3.55</v>
      </c>
      <c r="D99">
        <v>3.56</v>
      </c>
      <c r="E99">
        <v>3.51</v>
      </c>
      <c r="F99">
        <v>3.56</v>
      </c>
      <c r="G99">
        <v>44614</v>
      </c>
      <c r="H99">
        <v>15789398</v>
      </c>
      <c r="I99">
        <v>0.91</v>
      </c>
      <c r="J99" t="s">
        <v>336</v>
      </c>
      <c r="K99" t="s">
        <v>211</v>
      </c>
      <c r="L99">
        <v>0.56000000000000005</v>
      </c>
      <c r="M99">
        <v>3.54</v>
      </c>
      <c r="N99">
        <v>20071</v>
      </c>
      <c r="O99">
        <v>24543</v>
      </c>
      <c r="P99">
        <v>0.82</v>
      </c>
      <c r="Q99">
        <v>28</v>
      </c>
      <c r="R99">
        <v>2388</v>
      </c>
      <c r="S99" t="s">
        <v>3</v>
      </c>
      <c r="T99">
        <v>46788.23</v>
      </c>
      <c r="U99" t="s">
        <v>337</v>
      </c>
      <c r="V99" t="s">
        <v>338</v>
      </c>
      <c r="W99">
        <v>0.72</v>
      </c>
    </row>
    <row r="100" spans="1:23">
      <c r="A100" t="str">
        <f>"000430"</f>
        <v>000430</v>
      </c>
      <c r="B100" t="s">
        <v>339</v>
      </c>
      <c r="C100">
        <v>8.15</v>
      </c>
      <c r="D100">
        <v>8.15</v>
      </c>
      <c r="E100">
        <v>8.02</v>
      </c>
      <c r="F100">
        <v>8.1</v>
      </c>
      <c r="G100">
        <v>44572</v>
      </c>
      <c r="H100">
        <v>36039936</v>
      </c>
      <c r="I100">
        <v>0.77</v>
      </c>
      <c r="J100" t="s">
        <v>185</v>
      </c>
      <c r="K100" t="s">
        <v>234</v>
      </c>
      <c r="L100">
        <v>0</v>
      </c>
      <c r="M100">
        <v>8.09</v>
      </c>
      <c r="N100">
        <v>25885</v>
      </c>
      <c r="O100">
        <v>18686</v>
      </c>
      <c r="P100">
        <v>1.39</v>
      </c>
      <c r="Q100">
        <v>711</v>
      </c>
      <c r="R100">
        <v>825</v>
      </c>
      <c r="S100" t="s">
        <v>3</v>
      </c>
      <c r="T100">
        <v>20125.72</v>
      </c>
      <c r="U100" t="s">
        <v>340</v>
      </c>
      <c r="V100" t="s">
        <v>341</v>
      </c>
      <c r="W100">
        <v>0.16</v>
      </c>
    </row>
    <row r="101" spans="1:23">
      <c r="A101" t="str">
        <f>"000488"</f>
        <v>000488</v>
      </c>
      <c r="B101" t="s">
        <v>342</v>
      </c>
      <c r="C101">
        <v>4.63</v>
      </c>
      <c r="D101">
        <v>4.67</v>
      </c>
      <c r="E101">
        <v>4.5999999999999996</v>
      </c>
      <c r="F101">
        <v>4.6500000000000004</v>
      </c>
      <c r="G101">
        <v>109252</v>
      </c>
      <c r="H101">
        <v>50730368</v>
      </c>
      <c r="I101">
        <v>1.03</v>
      </c>
      <c r="J101" t="s">
        <v>343</v>
      </c>
      <c r="K101" t="s">
        <v>250</v>
      </c>
      <c r="L101">
        <v>0.43</v>
      </c>
      <c r="M101">
        <v>4.6399999999999997</v>
      </c>
      <c r="N101">
        <v>51326</v>
      </c>
      <c r="O101">
        <v>57925</v>
      </c>
      <c r="P101">
        <v>0.89</v>
      </c>
      <c r="Q101">
        <v>1174</v>
      </c>
      <c r="R101">
        <v>960</v>
      </c>
      <c r="S101" t="s">
        <v>3</v>
      </c>
      <c r="T101">
        <v>110503.72</v>
      </c>
      <c r="U101" t="s">
        <v>344</v>
      </c>
      <c r="V101" t="s">
        <v>345</v>
      </c>
      <c r="W101">
        <v>0.59</v>
      </c>
    </row>
    <row r="102" spans="1:23">
      <c r="A102" t="str">
        <f>"000498"</f>
        <v>000498</v>
      </c>
      <c r="B102" t="s">
        <v>346</v>
      </c>
      <c r="C102">
        <v>4.37</v>
      </c>
      <c r="D102">
        <v>4.43</v>
      </c>
      <c r="E102">
        <v>4.34</v>
      </c>
      <c r="F102">
        <v>4.3499999999999996</v>
      </c>
      <c r="G102">
        <v>105794</v>
      </c>
      <c r="H102">
        <v>46262508</v>
      </c>
      <c r="I102">
        <v>0.96</v>
      </c>
      <c r="J102" t="s">
        <v>33</v>
      </c>
      <c r="K102" t="s">
        <v>250</v>
      </c>
      <c r="L102">
        <v>-0.46</v>
      </c>
      <c r="M102">
        <v>4.37</v>
      </c>
      <c r="N102">
        <v>59431</v>
      </c>
      <c r="O102">
        <v>46363</v>
      </c>
      <c r="P102">
        <v>1.28</v>
      </c>
      <c r="Q102">
        <v>533</v>
      </c>
      <c r="R102">
        <v>1591</v>
      </c>
      <c r="S102" t="s">
        <v>3</v>
      </c>
      <c r="T102">
        <v>35417.01</v>
      </c>
      <c r="U102" t="s">
        <v>347</v>
      </c>
      <c r="V102" t="s">
        <v>348</v>
      </c>
      <c r="W102">
        <v>-0.3</v>
      </c>
    </row>
    <row r="103" spans="1:23">
      <c r="A103" t="str">
        <f>"000501"</f>
        <v>000501</v>
      </c>
      <c r="B103" t="s">
        <v>349</v>
      </c>
      <c r="C103">
        <v>13.17</v>
      </c>
      <c r="D103">
        <v>13.44</v>
      </c>
      <c r="E103">
        <v>13.1</v>
      </c>
      <c r="F103">
        <v>13.36</v>
      </c>
      <c r="G103">
        <v>61776</v>
      </c>
      <c r="H103">
        <v>82290744</v>
      </c>
      <c r="I103">
        <v>1.27</v>
      </c>
      <c r="J103" t="s">
        <v>297</v>
      </c>
      <c r="K103" t="s">
        <v>317</v>
      </c>
      <c r="L103">
        <v>1.6</v>
      </c>
      <c r="M103">
        <v>13.32</v>
      </c>
      <c r="N103">
        <v>27851</v>
      </c>
      <c r="O103">
        <v>33924</v>
      </c>
      <c r="P103">
        <v>0.82</v>
      </c>
      <c r="Q103">
        <v>340</v>
      </c>
      <c r="R103">
        <v>735</v>
      </c>
      <c r="S103" t="s">
        <v>3</v>
      </c>
      <c r="T103">
        <v>50718.42</v>
      </c>
      <c r="U103" t="s">
        <v>350</v>
      </c>
      <c r="V103" t="s">
        <v>351</v>
      </c>
      <c r="W103">
        <v>1.76</v>
      </c>
    </row>
    <row r="104" spans="1:23">
      <c r="A104" t="str">
        <f>"000502"</f>
        <v>000502</v>
      </c>
      <c r="B104" t="s">
        <v>352</v>
      </c>
      <c r="C104">
        <v>8.94</v>
      </c>
      <c r="D104">
        <v>9.49</v>
      </c>
      <c r="E104">
        <v>8.85</v>
      </c>
      <c r="F104">
        <v>9.4</v>
      </c>
      <c r="G104">
        <v>150464</v>
      </c>
      <c r="H104">
        <v>138459904</v>
      </c>
      <c r="I104">
        <v>0.79</v>
      </c>
      <c r="J104" t="s">
        <v>15</v>
      </c>
      <c r="K104" t="s">
        <v>211</v>
      </c>
      <c r="L104">
        <v>6.94</v>
      </c>
      <c r="M104">
        <v>9.1999999999999993</v>
      </c>
      <c r="N104">
        <v>69196</v>
      </c>
      <c r="O104">
        <v>81267</v>
      </c>
      <c r="P104">
        <v>0.85</v>
      </c>
      <c r="Q104">
        <v>60</v>
      </c>
      <c r="R104">
        <v>442</v>
      </c>
      <c r="S104" t="s">
        <v>3</v>
      </c>
      <c r="T104">
        <v>18332.91</v>
      </c>
      <c r="U104" t="s">
        <v>353</v>
      </c>
      <c r="V104" t="s">
        <v>122</v>
      </c>
      <c r="W104">
        <v>7.1</v>
      </c>
    </row>
    <row r="105" spans="1:23">
      <c r="A105" t="str">
        <f>"000503"</f>
        <v>000503</v>
      </c>
      <c r="B105" t="s">
        <v>354</v>
      </c>
      <c r="C105">
        <v>23.6</v>
      </c>
      <c r="D105">
        <v>24.1</v>
      </c>
      <c r="E105">
        <v>23.36</v>
      </c>
      <c r="F105">
        <v>23.98</v>
      </c>
      <c r="G105">
        <v>207668</v>
      </c>
      <c r="H105">
        <v>492193760</v>
      </c>
      <c r="I105">
        <v>0.67</v>
      </c>
      <c r="J105" t="s">
        <v>355</v>
      </c>
      <c r="K105" t="s">
        <v>356</v>
      </c>
      <c r="L105">
        <v>0.8</v>
      </c>
      <c r="M105">
        <v>23.7</v>
      </c>
      <c r="N105">
        <v>97048</v>
      </c>
      <c r="O105">
        <v>110619</v>
      </c>
      <c r="P105">
        <v>0.88</v>
      </c>
      <c r="Q105">
        <v>2</v>
      </c>
      <c r="R105">
        <v>101</v>
      </c>
      <c r="S105" t="s">
        <v>3</v>
      </c>
      <c r="T105">
        <v>89796.7</v>
      </c>
      <c r="U105" t="s">
        <v>357</v>
      </c>
      <c r="V105" t="s">
        <v>358</v>
      </c>
      <c r="W105">
        <v>0.96</v>
      </c>
    </row>
    <row r="106" spans="1:23">
      <c r="A106" t="str">
        <f>"000504"</f>
        <v>000504</v>
      </c>
      <c r="B106" t="s">
        <v>359</v>
      </c>
      <c r="C106" t="s">
        <v>3</v>
      </c>
      <c r="D106" t="s">
        <v>3</v>
      </c>
      <c r="E106" t="s">
        <v>3</v>
      </c>
      <c r="F106">
        <v>0</v>
      </c>
      <c r="G106">
        <v>0</v>
      </c>
      <c r="H106">
        <v>0</v>
      </c>
      <c r="I106">
        <v>0</v>
      </c>
      <c r="J106" t="s">
        <v>360</v>
      </c>
      <c r="K106" t="s">
        <v>234</v>
      </c>
      <c r="L106" t="s">
        <v>3</v>
      </c>
      <c r="M106">
        <v>7.13</v>
      </c>
      <c r="N106">
        <v>0</v>
      </c>
      <c r="O106">
        <v>0</v>
      </c>
      <c r="P106" t="s">
        <v>3</v>
      </c>
      <c r="Q106">
        <v>0</v>
      </c>
      <c r="R106">
        <v>0</v>
      </c>
      <c r="S106" t="s">
        <v>3</v>
      </c>
      <c r="T106">
        <v>30997.25</v>
      </c>
      <c r="U106" t="s">
        <v>361</v>
      </c>
      <c r="V106" t="s">
        <v>362</v>
      </c>
      <c r="W106">
        <v>0.16</v>
      </c>
    </row>
    <row r="107" spans="1:23">
      <c r="A107" t="str">
        <f>"000505"</f>
        <v>000505</v>
      </c>
      <c r="B107" t="s">
        <v>363</v>
      </c>
      <c r="C107">
        <v>5.58</v>
      </c>
      <c r="D107">
        <v>6.16</v>
      </c>
      <c r="E107">
        <v>5.56</v>
      </c>
      <c r="F107">
        <v>6.05</v>
      </c>
      <c r="G107">
        <v>151710</v>
      </c>
      <c r="H107">
        <v>89075200</v>
      </c>
      <c r="I107">
        <v>2.5</v>
      </c>
      <c r="J107" t="s">
        <v>7</v>
      </c>
      <c r="K107" t="s">
        <v>356</v>
      </c>
      <c r="L107">
        <v>7.84</v>
      </c>
      <c r="M107">
        <v>5.87</v>
      </c>
      <c r="N107">
        <v>64504</v>
      </c>
      <c r="O107">
        <v>87205</v>
      </c>
      <c r="P107">
        <v>0.74</v>
      </c>
      <c r="Q107">
        <v>471</v>
      </c>
      <c r="R107">
        <v>718</v>
      </c>
      <c r="S107" t="s">
        <v>3</v>
      </c>
      <c r="T107">
        <v>36044.53</v>
      </c>
      <c r="U107" t="s">
        <v>364</v>
      </c>
      <c r="V107" t="s">
        <v>365</v>
      </c>
      <c r="W107">
        <v>8</v>
      </c>
    </row>
    <row r="108" spans="1:23">
      <c r="A108" t="str">
        <f>"000506"</f>
        <v>000506</v>
      </c>
      <c r="B108" t="s">
        <v>366</v>
      </c>
      <c r="C108">
        <v>5.28</v>
      </c>
      <c r="D108">
        <v>5.48</v>
      </c>
      <c r="E108">
        <v>5.27</v>
      </c>
      <c r="F108">
        <v>5.4</v>
      </c>
      <c r="G108">
        <v>210366</v>
      </c>
      <c r="H108">
        <v>113517624</v>
      </c>
      <c r="I108">
        <v>0.81</v>
      </c>
      <c r="J108" t="s">
        <v>15</v>
      </c>
      <c r="K108" t="s">
        <v>250</v>
      </c>
      <c r="L108">
        <v>2.08</v>
      </c>
      <c r="M108">
        <v>5.4</v>
      </c>
      <c r="N108">
        <v>100179</v>
      </c>
      <c r="O108">
        <v>110186</v>
      </c>
      <c r="P108">
        <v>0.91</v>
      </c>
      <c r="Q108">
        <v>2404</v>
      </c>
      <c r="R108">
        <v>2089</v>
      </c>
      <c r="S108" t="s">
        <v>3</v>
      </c>
      <c r="T108">
        <v>92801.09</v>
      </c>
      <c r="U108" t="s">
        <v>367</v>
      </c>
      <c r="V108" t="s">
        <v>368</v>
      </c>
      <c r="W108">
        <v>2.2400000000000002</v>
      </c>
    </row>
    <row r="109" spans="1:23">
      <c r="A109" t="str">
        <f>"000507"</f>
        <v>000507</v>
      </c>
      <c r="B109" t="s">
        <v>369</v>
      </c>
      <c r="C109">
        <v>5.69</v>
      </c>
      <c r="D109">
        <v>5.75</v>
      </c>
      <c r="E109">
        <v>5.54</v>
      </c>
      <c r="F109">
        <v>5.6</v>
      </c>
      <c r="G109">
        <v>358072</v>
      </c>
      <c r="H109">
        <v>200989520</v>
      </c>
      <c r="I109">
        <v>0.55000000000000004</v>
      </c>
      <c r="J109" t="s">
        <v>70</v>
      </c>
      <c r="K109" t="s">
        <v>211</v>
      </c>
      <c r="L109">
        <v>-1.23</v>
      </c>
      <c r="M109">
        <v>5.61</v>
      </c>
      <c r="N109">
        <v>213463</v>
      </c>
      <c r="O109">
        <v>144608</v>
      </c>
      <c r="P109">
        <v>1.48</v>
      </c>
      <c r="Q109">
        <v>3682</v>
      </c>
      <c r="R109">
        <v>376</v>
      </c>
      <c r="S109" t="s">
        <v>3</v>
      </c>
      <c r="T109">
        <v>77214.38</v>
      </c>
      <c r="U109" t="s">
        <v>370</v>
      </c>
      <c r="V109" t="s">
        <v>371</v>
      </c>
      <c r="W109">
        <v>-1.08</v>
      </c>
    </row>
    <row r="110" spans="1:23">
      <c r="A110" t="str">
        <f>"000509"</f>
        <v>000509</v>
      </c>
      <c r="B110" t="s">
        <v>372</v>
      </c>
      <c r="C110">
        <v>6.76</v>
      </c>
      <c r="D110">
        <v>6.8</v>
      </c>
      <c r="E110">
        <v>6.42</v>
      </c>
      <c r="F110">
        <v>6.44</v>
      </c>
      <c r="G110">
        <v>1050869</v>
      </c>
      <c r="H110">
        <v>690074496</v>
      </c>
      <c r="I110">
        <v>2.56</v>
      </c>
      <c r="J110" t="s">
        <v>150</v>
      </c>
      <c r="K110" t="s">
        <v>225</v>
      </c>
      <c r="L110">
        <v>-0.77</v>
      </c>
      <c r="M110">
        <v>6.57</v>
      </c>
      <c r="N110">
        <v>554122</v>
      </c>
      <c r="O110">
        <v>496747</v>
      </c>
      <c r="P110">
        <v>1.1200000000000001</v>
      </c>
      <c r="Q110">
        <v>2905</v>
      </c>
      <c r="R110">
        <v>3505</v>
      </c>
      <c r="S110" t="s">
        <v>3</v>
      </c>
      <c r="T110">
        <v>52805.69</v>
      </c>
      <c r="U110" t="s">
        <v>373</v>
      </c>
      <c r="V110" t="s">
        <v>374</v>
      </c>
      <c r="W110">
        <v>-0.61</v>
      </c>
    </row>
    <row r="111" spans="1:23">
      <c r="A111" t="str">
        <f>"000510"</f>
        <v>000510</v>
      </c>
      <c r="B111" t="s">
        <v>375</v>
      </c>
      <c r="C111">
        <v>8.59</v>
      </c>
      <c r="D111">
        <v>8.9</v>
      </c>
      <c r="E111">
        <v>8.59</v>
      </c>
      <c r="F111">
        <v>8.7899999999999991</v>
      </c>
      <c r="G111">
        <v>412115</v>
      </c>
      <c r="H111">
        <v>361908192</v>
      </c>
      <c r="I111">
        <v>1.3</v>
      </c>
      <c r="J111" t="s">
        <v>376</v>
      </c>
      <c r="K111" t="s">
        <v>225</v>
      </c>
      <c r="L111">
        <v>2.33</v>
      </c>
      <c r="M111">
        <v>8.7799999999999994</v>
      </c>
      <c r="N111">
        <v>185058</v>
      </c>
      <c r="O111">
        <v>227056</v>
      </c>
      <c r="P111">
        <v>0.82</v>
      </c>
      <c r="Q111">
        <v>434</v>
      </c>
      <c r="R111">
        <v>4166</v>
      </c>
      <c r="S111" t="s">
        <v>3</v>
      </c>
      <c r="T111">
        <v>60912.23</v>
      </c>
      <c r="U111" t="s">
        <v>377</v>
      </c>
      <c r="V111" t="s">
        <v>378</v>
      </c>
      <c r="W111">
        <v>2.4900000000000002</v>
      </c>
    </row>
    <row r="112" spans="1:23">
      <c r="A112" t="str">
        <f>"000511"</f>
        <v>000511</v>
      </c>
      <c r="B112" t="s">
        <v>379</v>
      </c>
      <c r="C112">
        <v>9.44</v>
      </c>
      <c r="D112">
        <v>10.08</v>
      </c>
      <c r="E112">
        <v>9.44</v>
      </c>
      <c r="F112">
        <v>10.07</v>
      </c>
      <c r="G112">
        <v>1763191</v>
      </c>
      <c r="H112">
        <v>1744121088</v>
      </c>
      <c r="I112">
        <v>2.74</v>
      </c>
      <c r="J112" t="s">
        <v>380</v>
      </c>
      <c r="K112" t="s">
        <v>162</v>
      </c>
      <c r="L112">
        <v>6.79</v>
      </c>
      <c r="M112">
        <v>9.89</v>
      </c>
      <c r="N112">
        <v>776166</v>
      </c>
      <c r="O112">
        <v>987025</v>
      </c>
      <c r="P112">
        <v>0.79</v>
      </c>
      <c r="Q112">
        <v>8067</v>
      </c>
      <c r="R112">
        <v>21493</v>
      </c>
      <c r="S112" t="s">
        <v>3</v>
      </c>
      <c r="T112">
        <v>115482.22</v>
      </c>
      <c r="U112" t="s">
        <v>381</v>
      </c>
      <c r="V112" t="s">
        <v>381</v>
      </c>
      <c r="W112">
        <v>6.95</v>
      </c>
    </row>
    <row r="113" spans="1:23">
      <c r="A113" t="str">
        <f>"000513"</f>
        <v>000513</v>
      </c>
      <c r="B113" t="s">
        <v>382</v>
      </c>
      <c r="C113">
        <v>50.25</v>
      </c>
      <c r="D113">
        <v>51.8</v>
      </c>
      <c r="E113">
        <v>50.25</v>
      </c>
      <c r="F113">
        <v>51.3</v>
      </c>
      <c r="G113">
        <v>14810</v>
      </c>
      <c r="H113">
        <v>75753960</v>
      </c>
      <c r="I113">
        <v>0.89</v>
      </c>
      <c r="J113" t="s">
        <v>321</v>
      </c>
      <c r="K113" t="s">
        <v>211</v>
      </c>
      <c r="L113">
        <v>2.33</v>
      </c>
      <c r="M113">
        <v>51.15</v>
      </c>
      <c r="N113">
        <v>6040</v>
      </c>
      <c r="O113">
        <v>8770</v>
      </c>
      <c r="P113">
        <v>0.69</v>
      </c>
      <c r="Q113">
        <v>1</v>
      </c>
      <c r="R113">
        <v>37</v>
      </c>
      <c r="S113" t="s">
        <v>3</v>
      </c>
      <c r="T113">
        <v>17766.91</v>
      </c>
      <c r="U113" t="s">
        <v>383</v>
      </c>
      <c r="V113" t="s">
        <v>384</v>
      </c>
      <c r="W113">
        <v>2.4900000000000002</v>
      </c>
    </row>
    <row r="114" spans="1:23">
      <c r="A114" t="str">
        <f>"000514"</f>
        <v>000514</v>
      </c>
      <c r="B114" t="s">
        <v>385</v>
      </c>
      <c r="C114">
        <v>5.0199999999999996</v>
      </c>
      <c r="D114">
        <v>5.05</v>
      </c>
      <c r="E114">
        <v>4.97</v>
      </c>
      <c r="F114">
        <v>5.0199999999999996</v>
      </c>
      <c r="G114">
        <v>117450</v>
      </c>
      <c r="H114">
        <v>58694560</v>
      </c>
      <c r="I114">
        <v>0.74</v>
      </c>
      <c r="J114" t="s">
        <v>15</v>
      </c>
      <c r="K114" t="s">
        <v>386</v>
      </c>
      <c r="L114">
        <v>-0.4</v>
      </c>
      <c r="M114">
        <v>5</v>
      </c>
      <c r="N114">
        <v>73668</v>
      </c>
      <c r="O114">
        <v>43781</v>
      </c>
      <c r="P114">
        <v>1.68</v>
      </c>
      <c r="Q114">
        <v>154</v>
      </c>
      <c r="R114">
        <v>1067</v>
      </c>
      <c r="S114" t="s">
        <v>3</v>
      </c>
      <c r="T114">
        <v>84377.09</v>
      </c>
      <c r="U114" t="s">
        <v>387</v>
      </c>
      <c r="V114" t="s">
        <v>387</v>
      </c>
      <c r="W114">
        <v>-0.24</v>
      </c>
    </row>
    <row r="115" spans="1:23">
      <c r="A115" t="str">
        <f>"000516"</f>
        <v>000516</v>
      </c>
      <c r="B115" t="s">
        <v>388</v>
      </c>
      <c r="C115">
        <v>7.77</v>
      </c>
      <c r="D115">
        <v>7.78</v>
      </c>
      <c r="E115">
        <v>7.64</v>
      </c>
      <c r="F115">
        <v>7.72</v>
      </c>
      <c r="G115">
        <v>237589</v>
      </c>
      <c r="H115">
        <v>182813408</v>
      </c>
      <c r="I115">
        <v>1.1499999999999999</v>
      </c>
      <c r="J115" t="s">
        <v>297</v>
      </c>
      <c r="K115" t="s">
        <v>389</v>
      </c>
      <c r="L115">
        <v>-0.77</v>
      </c>
      <c r="M115">
        <v>7.69</v>
      </c>
      <c r="N115">
        <v>128249</v>
      </c>
      <c r="O115">
        <v>109340</v>
      </c>
      <c r="P115">
        <v>1.17</v>
      </c>
      <c r="Q115">
        <v>586</v>
      </c>
      <c r="R115">
        <v>2013</v>
      </c>
      <c r="S115" t="s">
        <v>3</v>
      </c>
      <c r="T115">
        <v>70442.67</v>
      </c>
      <c r="U115" t="s">
        <v>390</v>
      </c>
      <c r="V115" t="s">
        <v>391</v>
      </c>
      <c r="W115">
        <v>-0.61</v>
      </c>
    </row>
    <row r="116" spans="1:23">
      <c r="A116" t="str">
        <f>"000517"</f>
        <v>000517</v>
      </c>
      <c r="B116" t="s">
        <v>392</v>
      </c>
      <c r="C116">
        <v>6.71</v>
      </c>
      <c r="D116">
        <v>7.03</v>
      </c>
      <c r="E116">
        <v>6.66</v>
      </c>
      <c r="F116">
        <v>6.74</v>
      </c>
      <c r="G116">
        <v>97261</v>
      </c>
      <c r="H116">
        <v>66703876</v>
      </c>
      <c r="I116">
        <v>1.1299999999999999</v>
      </c>
      <c r="J116" t="s">
        <v>15</v>
      </c>
      <c r="K116" t="s">
        <v>229</v>
      </c>
      <c r="L116">
        <v>0.6</v>
      </c>
      <c r="M116">
        <v>6.86</v>
      </c>
      <c r="N116">
        <v>54708</v>
      </c>
      <c r="O116">
        <v>42552</v>
      </c>
      <c r="P116">
        <v>1.29</v>
      </c>
      <c r="Q116">
        <v>372</v>
      </c>
      <c r="R116">
        <v>724</v>
      </c>
      <c r="S116" t="s">
        <v>3</v>
      </c>
      <c r="T116">
        <v>22231.58</v>
      </c>
      <c r="U116" t="s">
        <v>393</v>
      </c>
      <c r="V116" t="s">
        <v>394</v>
      </c>
      <c r="W116">
        <v>0.76</v>
      </c>
    </row>
    <row r="117" spans="1:23">
      <c r="A117" t="str">
        <f>"000518"</f>
        <v>000518</v>
      </c>
      <c r="B117" t="s">
        <v>395</v>
      </c>
      <c r="C117">
        <v>4.07</v>
      </c>
      <c r="D117">
        <v>4.1399999999999997</v>
      </c>
      <c r="E117">
        <v>4</v>
      </c>
      <c r="F117">
        <v>4.0999999999999996</v>
      </c>
      <c r="G117">
        <v>315080</v>
      </c>
      <c r="H117">
        <v>128441088</v>
      </c>
      <c r="I117">
        <v>1.1000000000000001</v>
      </c>
      <c r="J117" t="s">
        <v>11</v>
      </c>
      <c r="K117" t="s">
        <v>244</v>
      </c>
      <c r="L117">
        <v>0.74</v>
      </c>
      <c r="M117">
        <v>4.08</v>
      </c>
      <c r="N117">
        <v>136009</v>
      </c>
      <c r="O117">
        <v>179070</v>
      </c>
      <c r="P117">
        <v>0.76</v>
      </c>
      <c r="Q117">
        <v>1815</v>
      </c>
      <c r="R117">
        <v>5669</v>
      </c>
      <c r="S117" t="s">
        <v>3</v>
      </c>
      <c r="T117">
        <v>102953.57</v>
      </c>
      <c r="U117" t="s">
        <v>396</v>
      </c>
      <c r="V117" t="s">
        <v>396</v>
      </c>
      <c r="W117">
        <v>0.9</v>
      </c>
    </row>
    <row r="118" spans="1:23">
      <c r="A118" t="str">
        <f>"000519"</f>
        <v>000519</v>
      </c>
      <c r="B118" t="s">
        <v>397</v>
      </c>
      <c r="C118">
        <v>15.87</v>
      </c>
      <c r="D118">
        <v>15.9</v>
      </c>
      <c r="E118">
        <v>15.51</v>
      </c>
      <c r="F118">
        <v>15.8</v>
      </c>
      <c r="G118">
        <v>69890</v>
      </c>
      <c r="H118">
        <v>109822568</v>
      </c>
      <c r="I118">
        <v>0.59</v>
      </c>
      <c r="J118" t="s">
        <v>398</v>
      </c>
      <c r="K118" t="s">
        <v>234</v>
      </c>
      <c r="L118">
        <v>-0.06</v>
      </c>
      <c r="M118">
        <v>15.71</v>
      </c>
      <c r="N118">
        <v>37422</v>
      </c>
      <c r="O118">
        <v>32468</v>
      </c>
      <c r="P118">
        <v>1.1499999999999999</v>
      </c>
      <c r="Q118">
        <v>101</v>
      </c>
      <c r="R118">
        <v>37</v>
      </c>
      <c r="S118" t="s">
        <v>3</v>
      </c>
      <c r="T118">
        <v>19039.75</v>
      </c>
      <c r="U118" t="s">
        <v>399</v>
      </c>
      <c r="V118" t="s">
        <v>400</v>
      </c>
      <c r="W118">
        <v>0.1</v>
      </c>
    </row>
    <row r="119" spans="1:23">
      <c r="A119" t="str">
        <f>"000521"</f>
        <v>000521</v>
      </c>
      <c r="B119" t="s">
        <v>401</v>
      </c>
      <c r="C119">
        <v>5.71</v>
      </c>
      <c r="D119">
        <v>5.89</v>
      </c>
      <c r="E119">
        <v>5.61</v>
      </c>
      <c r="F119">
        <v>5.8</v>
      </c>
      <c r="G119">
        <v>228398</v>
      </c>
      <c r="H119">
        <v>131383344</v>
      </c>
      <c r="I119">
        <v>1.25</v>
      </c>
      <c r="J119" t="s">
        <v>47</v>
      </c>
      <c r="K119" t="s">
        <v>220</v>
      </c>
      <c r="L119">
        <v>1.4</v>
      </c>
      <c r="M119">
        <v>5.75</v>
      </c>
      <c r="N119">
        <v>124835</v>
      </c>
      <c r="O119">
        <v>103563</v>
      </c>
      <c r="P119">
        <v>1.21</v>
      </c>
      <c r="Q119">
        <v>2971</v>
      </c>
      <c r="R119">
        <v>1609</v>
      </c>
      <c r="S119" t="s">
        <v>3</v>
      </c>
      <c r="T119">
        <v>53588</v>
      </c>
      <c r="U119" t="s">
        <v>402</v>
      </c>
      <c r="V119" t="s">
        <v>403</v>
      </c>
      <c r="W119">
        <v>1.56</v>
      </c>
    </row>
    <row r="120" spans="1:23">
      <c r="A120" t="str">
        <f>"000523"</f>
        <v>000523</v>
      </c>
      <c r="B120" t="s">
        <v>404</v>
      </c>
      <c r="C120">
        <v>9.41</v>
      </c>
      <c r="D120">
        <v>9.4600000000000009</v>
      </c>
      <c r="E120">
        <v>9.31</v>
      </c>
      <c r="F120">
        <v>9.3699999999999992</v>
      </c>
      <c r="G120">
        <v>63852</v>
      </c>
      <c r="H120">
        <v>59731752</v>
      </c>
      <c r="I120">
        <v>0.63</v>
      </c>
      <c r="J120" t="s">
        <v>405</v>
      </c>
      <c r="K120" t="s">
        <v>211</v>
      </c>
      <c r="L120">
        <v>-0.43</v>
      </c>
      <c r="M120">
        <v>9.35</v>
      </c>
      <c r="N120">
        <v>33807</v>
      </c>
      <c r="O120">
        <v>30044</v>
      </c>
      <c r="P120">
        <v>1.1299999999999999</v>
      </c>
      <c r="Q120">
        <v>291</v>
      </c>
      <c r="R120">
        <v>450</v>
      </c>
      <c r="S120" t="s">
        <v>3</v>
      </c>
      <c r="T120">
        <v>44493.73</v>
      </c>
      <c r="U120" t="s">
        <v>406</v>
      </c>
      <c r="V120" t="s">
        <v>407</v>
      </c>
      <c r="W120">
        <v>-0.27</v>
      </c>
    </row>
    <row r="121" spans="1:23">
      <c r="A121" t="str">
        <f>"000524"</f>
        <v>000524</v>
      </c>
      <c r="B121" t="s">
        <v>408</v>
      </c>
      <c r="C121">
        <v>9.58</v>
      </c>
      <c r="D121">
        <v>9.8000000000000007</v>
      </c>
      <c r="E121">
        <v>9.58</v>
      </c>
      <c r="F121">
        <v>9.59</v>
      </c>
      <c r="G121">
        <v>27418</v>
      </c>
      <c r="H121">
        <v>26455558</v>
      </c>
      <c r="I121">
        <v>0.71</v>
      </c>
      <c r="J121" t="s">
        <v>22</v>
      </c>
      <c r="K121" t="s">
        <v>211</v>
      </c>
      <c r="L121">
        <v>-0.42</v>
      </c>
      <c r="M121">
        <v>9.65</v>
      </c>
      <c r="N121">
        <v>14344</v>
      </c>
      <c r="O121">
        <v>13074</v>
      </c>
      <c r="P121">
        <v>1.1000000000000001</v>
      </c>
      <c r="Q121">
        <v>116</v>
      </c>
      <c r="R121">
        <v>39</v>
      </c>
      <c r="S121" t="s">
        <v>3</v>
      </c>
      <c r="T121">
        <v>26967.16</v>
      </c>
      <c r="U121" t="s">
        <v>409</v>
      </c>
      <c r="V121" t="s">
        <v>409</v>
      </c>
      <c r="W121">
        <v>-0.26</v>
      </c>
    </row>
    <row r="122" spans="1:23">
      <c r="A122" t="str">
        <f>"000525"</f>
        <v>000525</v>
      </c>
      <c r="B122" t="s">
        <v>410</v>
      </c>
      <c r="C122">
        <v>14.66</v>
      </c>
      <c r="D122">
        <v>14.67</v>
      </c>
      <c r="E122">
        <v>14.47</v>
      </c>
      <c r="F122">
        <v>14.6</v>
      </c>
      <c r="G122">
        <v>78097</v>
      </c>
      <c r="H122">
        <v>113614336</v>
      </c>
      <c r="I122">
        <v>1.1000000000000001</v>
      </c>
      <c r="J122" t="s">
        <v>224</v>
      </c>
      <c r="K122" t="s">
        <v>244</v>
      </c>
      <c r="L122">
        <v>-0.41</v>
      </c>
      <c r="M122">
        <v>14.55</v>
      </c>
      <c r="N122">
        <v>42967</v>
      </c>
      <c r="O122">
        <v>35130</v>
      </c>
      <c r="P122">
        <v>1.22</v>
      </c>
      <c r="Q122">
        <v>679</v>
      </c>
      <c r="R122">
        <v>60</v>
      </c>
      <c r="S122" t="s">
        <v>3</v>
      </c>
      <c r="T122">
        <v>27997.5</v>
      </c>
      <c r="U122" t="s">
        <v>411</v>
      </c>
      <c r="V122" t="s">
        <v>412</v>
      </c>
      <c r="W122">
        <v>-0.25</v>
      </c>
    </row>
    <row r="123" spans="1:23">
      <c r="A123" t="str">
        <f>"000526"</f>
        <v>000526</v>
      </c>
      <c r="B123" t="s">
        <v>413</v>
      </c>
      <c r="C123">
        <v>17.5</v>
      </c>
      <c r="D123">
        <v>19.21</v>
      </c>
      <c r="E123">
        <v>17.5</v>
      </c>
      <c r="F123">
        <v>19.21</v>
      </c>
      <c r="G123">
        <v>116877</v>
      </c>
      <c r="H123">
        <v>215017840</v>
      </c>
      <c r="I123">
        <v>11.07</v>
      </c>
      <c r="J123" t="s">
        <v>154</v>
      </c>
      <c r="K123" t="s">
        <v>414</v>
      </c>
      <c r="L123">
        <v>9.9600000000000009</v>
      </c>
      <c r="M123">
        <v>18.399999999999999</v>
      </c>
      <c r="N123">
        <v>50810</v>
      </c>
      <c r="O123">
        <v>66066</v>
      </c>
      <c r="P123">
        <v>0.77</v>
      </c>
      <c r="Q123">
        <v>106</v>
      </c>
      <c r="R123">
        <v>1675</v>
      </c>
      <c r="S123" t="s">
        <v>3</v>
      </c>
      <c r="T123">
        <v>9619.5</v>
      </c>
      <c r="U123" t="s">
        <v>415</v>
      </c>
      <c r="V123" t="s">
        <v>415</v>
      </c>
      <c r="W123">
        <v>10.119999999999999</v>
      </c>
    </row>
    <row r="124" spans="1:23">
      <c r="A124" t="str">
        <f>"000528"</f>
        <v>000528</v>
      </c>
      <c r="B124" t="s">
        <v>416</v>
      </c>
      <c r="C124">
        <v>6.57</v>
      </c>
      <c r="D124">
        <v>6.78</v>
      </c>
      <c r="E124">
        <v>6.52</v>
      </c>
      <c r="F124">
        <v>6.66</v>
      </c>
      <c r="G124">
        <v>343185</v>
      </c>
      <c r="H124">
        <v>228742320</v>
      </c>
      <c r="I124">
        <v>1.81</v>
      </c>
      <c r="J124" t="s">
        <v>233</v>
      </c>
      <c r="K124" t="s">
        <v>417</v>
      </c>
      <c r="L124">
        <v>1.52</v>
      </c>
      <c r="M124">
        <v>6.67</v>
      </c>
      <c r="N124">
        <v>167604</v>
      </c>
      <c r="O124">
        <v>175580</v>
      </c>
      <c r="P124">
        <v>0.95</v>
      </c>
      <c r="Q124">
        <v>2022</v>
      </c>
      <c r="R124">
        <v>4730</v>
      </c>
      <c r="S124" t="s">
        <v>3</v>
      </c>
      <c r="T124">
        <v>112508.84</v>
      </c>
      <c r="U124" t="s">
        <v>418</v>
      </c>
      <c r="V124" t="s">
        <v>419</v>
      </c>
      <c r="W124">
        <v>1.68</v>
      </c>
    </row>
    <row r="125" spans="1:23">
      <c r="A125" t="str">
        <f>"000529"</f>
        <v>000529</v>
      </c>
      <c r="B125" t="s">
        <v>420</v>
      </c>
      <c r="C125">
        <v>9.99</v>
      </c>
      <c r="D125">
        <v>10.029999999999999</v>
      </c>
      <c r="E125">
        <v>9.75</v>
      </c>
      <c r="F125">
        <v>9.8000000000000007</v>
      </c>
      <c r="G125">
        <v>92314</v>
      </c>
      <c r="H125">
        <v>90781264</v>
      </c>
      <c r="I125">
        <v>0.67</v>
      </c>
      <c r="J125" t="s">
        <v>421</v>
      </c>
      <c r="K125" t="s">
        <v>211</v>
      </c>
      <c r="L125">
        <v>-1.8</v>
      </c>
      <c r="M125">
        <v>9.83</v>
      </c>
      <c r="N125">
        <v>60489</v>
      </c>
      <c r="O125">
        <v>31824</v>
      </c>
      <c r="P125">
        <v>1.9</v>
      </c>
      <c r="Q125">
        <v>91</v>
      </c>
      <c r="R125">
        <v>220</v>
      </c>
      <c r="S125" t="s">
        <v>3</v>
      </c>
      <c r="T125">
        <v>56719.78</v>
      </c>
      <c r="U125" t="s">
        <v>422</v>
      </c>
      <c r="V125" t="s">
        <v>423</v>
      </c>
      <c r="W125">
        <v>-1.65</v>
      </c>
    </row>
    <row r="126" spans="1:23">
      <c r="A126" t="str">
        <f>"000530"</f>
        <v>000530</v>
      </c>
      <c r="B126" t="s">
        <v>424</v>
      </c>
      <c r="C126">
        <v>10.98</v>
      </c>
      <c r="D126">
        <v>11.41</v>
      </c>
      <c r="E126">
        <v>10.88</v>
      </c>
      <c r="F126">
        <v>11.39</v>
      </c>
      <c r="G126">
        <v>135596</v>
      </c>
      <c r="H126">
        <v>152096784</v>
      </c>
      <c r="I126">
        <v>1.45</v>
      </c>
      <c r="J126" t="s">
        <v>398</v>
      </c>
      <c r="K126" t="s">
        <v>162</v>
      </c>
      <c r="L126">
        <v>3.64</v>
      </c>
      <c r="M126">
        <v>11.22</v>
      </c>
      <c r="N126">
        <v>56475</v>
      </c>
      <c r="O126">
        <v>79121</v>
      </c>
      <c r="P126">
        <v>0.71</v>
      </c>
      <c r="Q126">
        <v>68</v>
      </c>
      <c r="R126">
        <v>446</v>
      </c>
      <c r="S126" t="s">
        <v>3</v>
      </c>
      <c r="T126">
        <v>21579.34</v>
      </c>
      <c r="U126" t="s">
        <v>425</v>
      </c>
      <c r="V126" t="s">
        <v>426</v>
      </c>
      <c r="W126">
        <v>3.8</v>
      </c>
    </row>
    <row r="127" spans="1:23">
      <c r="A127" t="str">
        <f>"000531"</f>
        <v>000531</v>
      </c>
      <c r="B127" t="s">
        <v>427</v>
      </c>
      <c r="C127">
        <v>8.99</v>
      </c>
      <c r="D127">
        <v>8.99</v>
      </c>
      <c r="E127">
        <v>8.6999999999999993</v>
      </c>
      <c r="F127">
        <v>8.99</v>
      </c>
      <c r="G127">
        <v>137256</v>
      </c>
      <c r="H127">
        <v>121254984</v>
      </c>
      <c r="I127">
        <v>0.77</v>
      </c>
      <c r="J127" t="s">
        <v>87</v>
      </c>
      <c r="K127" t="s">
        <v>211</v>
      </c>
      <c r="L127">
        <v>0.56000000000000005</v>
      </c>
      <c r="M127">
        <v>8.83</v>
      </c>
      <c r="N127">
        <v>72654</v>
      </c>
      <c r="O127">
        <v>64602</v>
      </c>
      <c r="P127">
        <v>1.1200000000000001</v>
      </c>
      <c r="Q127">
        <v>392</v>
      </c>
      <c r="R127">
        <v>859</v>
      </c>
      <c r="S127" t="s">
        <v>3</v>
      </c>
      <c r="T127">
        <v>68508.13</v>
      </c>
      <c r="U127" t="s">
        <v>428</v>
      </c>
      <c r="V127" t="s">
        <v>428</v>
      </c>
      <c r="W127">
        <v>0.72</v>
      </c>
    </row>
    <row r="128" spans="1:23">
      <c r="A128" t="str">
        <f>"000532"</f>
        <v>000532</v>
      </c>
      <c r="B128" t="s">
        <v>429</v>
      </c>
      <c r="C128">
        <v>15.26</v>
      </c>
      <c r="D128">
        <v>15.53</v>
      </c>
      <c r="E128">
        <v>15.16</v>
      </c>
      <c r="F128">
        <v>15.46</v>
      </c>
      <c r="G128">
        <v>106250</v>
      </c>
      <c r="H128">
        <v>163834736</v>
      </c>
      <c r="I128">
        <v>1.22</v>
      </c>
      <c r="J128" t="s">
        <v>62</v>
      </c>
      <c r="K128" t="s">
        <v>211</v>
      </c>
      <c r="L128">
        <v>1.51</v>
      </c>
      <c r="M128">
        <v>15.42</v>
      </c>
      <c r="N128">
        <v>52905</v>
      </c>
      <c r="O128">
        <v>53345</v>
      </c>
      <c r="P128">
        <v>0.99</v>
      </c>
      <c r="Q128">
        <v>80</v>
      </c>
      <c r="R128">
        <v>662</v>
      </c>
      <c r="S128" t="s">
        <v>3</v>
      </c>
      <c r="T128">
        <v>34279.58</v>
      </c>
      <c r="U128" t="s">
        <v>430</v>
      </c>
      <c r="V128" t="s">
        <v>431</v>
      </c>
      <c r="W128">
        <v>1.67</v>
      </c>
    </row>
    <row r="129" spans="1:23">
      <c r="A129" t="str">
        <f>"000533"</f>
        <v>000533</v>
      </c>
      <c r="B129" t="s">
        <v>432</v>
      </c>
      <c r="C129">
        <v>4.57</v>
      </c>
      <c r="D129">
        <v>4.5999999999999996</v>
      </c>
      <c r="E129">
        <v>4.5199999999999996</v>
      </c>
      <c r="F129">
        <v>4.5999999999999996</v>
      </c>
      <c r="G129">
        <v>101411</v>
      </c>
      <c r="H129">
        <v>46317516</v>
      </c>
      <c r="I129">
        <v>0.84</v>
      </c>
      <c r="J129" t="s">
        <v>47</v>
      </c>
      <c r="K129" t="s">
        <v>211</v>
      </c>
      <c r="L129">
        <v>0.44</v>
      </c>
      <c r="M129">
        <v>4.57</v>
      </c>
      <c r="N129">
        <v>47335</v>
      </c>
      <c r="O129">
        <v>54076</v>
      </c>
      <c r="P129">
        <v>0.88</v>
      </c>
      <c r="Q129">
        <v>916</v>
      </c>
      <c r="R129">
        <v>4162</v>
      </c>
      <c r="S129" t="s">
        <v>3</v>
      </c>
      <c r="T129">
        <v>68487.710000000006</v>
      </c>
      <c r="U129" t="s">
        <v>433</v>
      </c>
      <c r="V129" t="s">
        <v>434</v>
      </c>
      <c r="W129">
        <v>0.6</v>
      </c>
    </row>
    <row r="130" spans="1:23">
      <c r="A130" t="str">
        <f>"000534"</f>
        <v>000534</v>
      </c>
      <c r="B130" t="s">
        <v>435</v>
      </c>
      <c r="C130">
        <v>8.0500000000000007</v>
      </c>
      <c r="D130">
        <v>8.75</v>
      </c>
      <c r="E130">
        <v>7.92</v>
      </c>
      <c r="F130">
        <v>8.64</v>
      </c>
      <c r="G130">
        <v>145294</v>
      </c>
      <c r="H130">
        <v>122390448</v>
      </c>
      <c r="I130">
        <v>1.95</v>
      </c>
      <c r="J130" t="s">
        <v>15</v>
      </c>
      <c r="K130" t="s">
        <v>2</v>
      </c>
      <c r="L130">
        <v>7.46</v>
      </c>
      <c r="M130">
        <v>8.42</v>
      </c>
      <c r="N130">
        <v>60744</v>
      </c>
      <c r="O130">
        <v>84550</v>
      </c>
      <c r="P130">
        <v>0.72</v>
      </c>
      <c r="Q130">
        <v>1078</v>
      </c>
      <c r="R130">
        <v>183</v>
      </c>
      <c r="S130" t="s">
        <v>3</v>
      </c>
      <c r="T130">
        <v>21051.27</v>
      </c>
      <c r="U130" t="s">
        <v>436</v>
      </c>
      <c r="V130" t="s">
        <v>437</v>
      </c>
      <c r="W130">
        <v>7.62</v>
      </c>
    </row>
    <row r="131" spans="1:23">
      <c r="A131" t="str">
        <f>"000536"</f>
        <v>000536</v>
      </c>
      <c r="B131" t="s">
        <v>438</v>
      </c>
      <c r="C131">
        <v>28.48</v>
      </c>
      <c r="D131">
        <v>29.15</v>
      </c>
      <c r="E131">
        <v>28.48</v>
      </c>
      <c r="F131">
        <v>28.85</v>
      </c>
      <c r="G131">
        <v>45916</v>
      </c>
      <c r="H131">
        <v>132491176</v>
      </c>
      <c r="I131">
        <v>1.08</v>
      </c>
      <c r="J131" t="s">
        <v>62</v>
      </c>
      <c r="K131" t="s">
        <v>414</v>
      </c>
      <c r="L131">
        <v>1.41</v>
      </c>
      <c r="M131">
        <v>28.86</v>
      </c>
      <c r="N131">
        <v>19980</v>
      </c>
      <c r="O131">
        <v>25935</v>
      </c>
      <c r="P131">
        <v>0.77</v>
      </c>
      <c r="Q131">
        <v>20</v>
      </c>
      <c r="R131">
        <v>10</v>
      </c>
      <c r="S131" t="s">
        <v>3</v>
      </c>
      <c r="T131">
        <v>17277.75</v>
      </c>
      <c r="U131" t="s">
        <v>439</v>
      </c>
      <c r="V131" t="s">
        <v>440</v>
      </c>
      <c r="W131">
        <v>1.56</v>
      </c>
    </row>
    <row r="132" spans="1:23">
      <c r="A132" t="str">
        <f>"000537"</f>
        <v>000537</v>
      </c>
      <c r="B132" t="s">
        <v>441</v>
      </c>
      <c r="C132">
        <v>6.89</v>
      </c>
      <c r="D132">
        <v>6.95</v>
      </c>
      <c r="E132">
        <v>6.78</v>
      </c>
      <c r="F132">
        <v>6.82</v>
      </c>
      <c r="G132">
        <v>164383</v>
      </c>
      <c r="H132">
        <v>112591344</v>
      </c>
      <c r="I132">
        <v>0.91</v>
      </c>
      <c r="J132" t="s">
        <v>15</v>
      </c>
      <c r="K132" t="s">
        <v>442</v>
      </c>
      <c r="L132">
        <v>-1.1599999999999999</v>
      </c>
      <c r="M132">
        <v>6.85</v>
      </c>
      <c r="N132">
        <v>87916</v>
      </c>
      <c r="O132">
        <v>76467</v>
      </c>
      <c r="P132">
        <v>1.1499999999999999</v>
      </c>
      <c r="Q132">
        <v>2217</v>
      </c>
      <c r="R132">
        <v>1139</v>
      </c>
      <c r="S132" t="s">
        <v>3</v>
      </c>
      <c r="T132">
        <v>51271.33</v>
      </c>
      <c r="U132" t="s">
        <v>443</v>
      </c>
      <c r="V132" t="s">
        <v>443</v>
      </c>
      <c r="W132">
        <v>-1</v>
      </c>
    </row>
    <row r="133" spans="1:23">
      <c r="A133" t="str">
        <f>"000538"</f>
        <v>000538</v>
      </c>
      <c r="B133" t="s">
        <v>444</v>
      </c>
      <c r="C133">
        <v>52.41</v>
      </c>
      <c r="D133">
        <v>52.42</v>
      </c>
      <c r="E133">
        <v>51.86</v>
      </c>
      <c r="F133">
        <v>52.37</v>
      </c>
      <c r="G133">
        <v>60237</v>
      </c>
      <c r="H133">
        <v>314135648</v>
      </c>
      <c r="I133">
        <v>0.77</v>
      </c>
      <c r="J133" t="s">
        <v>321</v>
      </c>
      <c r="K133" t="s">
        <v>445</v>
      </c>
      <c r="L133">
        <v>-0.11</v>
      </c>
      <c r="M133">
        <v>52.15</v>
      </c>
      <c r="N133">
        <v>31005</v>
      </c>
      <c r="O133">
        <v>29231</v>
      </c>
      <c r="P133">
        <v>1.06</v>
      </c>
      <c r="Q133">
        <v>122</v>
      </c>
      <c r="R133">
        <v>61</v>
      </c>
      <c r="S133" t="s">
        <v>3</v>
      </c>
      <c r="T133">
        <v>104136.53</v>
      </c>
      <c r="U133" t="s">
        <v>446</v>
      </c>
      <c r="V133" t="s">
        <v>447</v>
      </c>
      <c r="W133">
        <v>0.04</v>
      </c>
    </row>
    <row r="134" spans="1:23">
      <c r="A134" t="str">
        <f>"000539"</f>
        <v>000539</v>
      </c>
      <c r="B134" t="s">
        <v>448</v>
      </c>
      <c r="C134">
        <v>4.99</v>
      </c>
      <c r="D134">
        <v>5.03</v>
      </c>
      <c r="E134">
        <v>4.96</v>
      </c>
      <c r="F134">
        <v>5.0199999999999996</v>
      </c>
      <c r="G134">
        <v>190251</v>
      </c>
      <c r="H134">
        <v>95124768</v>
      </c>
      <c r="I134">
        <v>1.8</v>
      </c>
      <c r="J134" t="s">
        <v>87</v>
      </c>
      <c r="K134" t="s">
        <v>211</v>
      </c>
      <c r="L134">
        <v>1.01</v>
      </c>
      <c r="M134">
        <v>5</v>
      </c>
      <c r="N134">
        <v>85438</v>
      </c>
      <c r="O134">
        <v>104812</v>
      </c>
      <c r="P134">
        <v>0.82</v>
      </c>
      <c r="Q134">
        <v>389</v>
      </c>
      <c r="R134">
        <v>8376</v>
      </c>
      <c r="S134" t="s">
        <v>3</v>
      </c>
      <c r="T134">
        <v>212769.03</v>
      </c>
      <c r="U134" t="s">
        <v>449</v>
      </c>
      <c r="V134" t="s">
        <v>450</v>
      </c>
      <c r="W134">
        <v>1.1599999999999999</v>
      </c>
    </row>
    <row r="135" spans="1:23">
      <c r="A135" t="str">
        <f>"000540"</f>
        <v>000540</v>
      </c>
      <c r="B135" t="s">
        <v>451</v>
      </c>
      <c r="C135">
        <v>7.22</v>
      </c>
      <c r="D135">
        <v>7.27</v>
      </c>
      <c r="E135">
        <v>7.1</v>
      </c>
      <c r="F135">
        <v>7.21</v>
      </c>
      <c r="G135">
        <v>204390</v>
      </c>
      <c r="H135">
        <v>146852384</v>
      </c>
      <c r="I135">
        <v>0.94</v>
      </c>
      <c r="J135" t="s">
        <v>15</v>
      </c>
      <c r="K135" t="s">
        <v>452</v>
      </c>
      <c r="L135">
        <v>0.14000000000000001</v>
      </c>
      <c r="M135">
        <v>7.18</v>
      </c>
      <c r="N135">
        <v>111306</v>
      </c>
      <c r="O135">
        <v>93084</v>
      </c>
      <c r="P135">
        <v>1.2</v>
      </c>
      <c r="Q135">
        <v>46</v>
      </c>
      <c r="R135">
        <v>2451</v>
      </c>
      <c r="S135" t="s">
        <v>3</v>
      </c>
      <c r="T135">
        <v>127855.75</v>
      </c>
      <c r="U135" t="s">
        <v>453</v>
      </c>
      <c r="V135" t="s">
        <v>454</v>
      </c>
      <c r="W135">
        <v>0.3</v>
      </c>
    </row>
    <row r="136" spans="1:23">
      <c r="A136" t="str">
        <f>"000541"</f>
        <v>000541</v>
      </c>
      <c r="B136" t="s">
        <v>455</v>
      </c>
      <c r="C136">
        <v>12.54</v>
      </c>
      <c r="D136">
        <v>13.55</v>
      </c>
      <c r="E136">
        <v>12.3</v>
      </c>
      <c r="F136">
        <v>13.24</v>
      </c>
      <c r="G136">
        <v>478683</v>
      </c>
      <c r="H136">
        <v>618545344</v>
      </c>
      <c r="I136">
        <v>1.48</v>
      </c>
      <c r="J136" t="s">
        <v>47</v>
      </c>
      <c r="K136" t="s">
        <v>211</v>
      </c>
      <c r="L136">
        <v>5.08</v>
      </c>
      <c r="M136">
        <v>12.92</v>
      </c>
      <c r="N136">
        <v>205850</v>
      </c>
      <c r="O136">
        <v>272832</v>
      </c>
      <c r="P136">
        <v>0.75</v>
      </c>
      <c r="Q136">
        <v>1750</v>
      </c>
      <c r="R136">
        <v>938</v>
      </c>
      <c r="S136" t="s">
        <v>3</v>
      </c>
      <c r="T136">
        <v>61813.42</v>
      </c>
      <c r="U136" t="s">
        <v>456</v>
      </c>
      <c r="V136" t="s">
        <v>457</v>
      </c>
      <c r="W136">
        <v>5.24</v>
      </c>
    </row>
    <row r="137" spans="1:23">
      <c r="A137" t="str">
        <f>"000543"</f>
        <v>000543</v>
      </c>
      <c r="B137" t="s">
        <v>458</v>
      </c>
      <c r="C137">
        <v>6.99</v>
      </c>
      <c r="D137">
        <v>7.14</v>
      </c>
      <c r="E137">
        <v>6.95</v>
      </c>
      <c r="F137">
        <v>7.06</v>
      </c>
      <c r="G137">
        <v>242118</v>
      </c>
      <c r="H137">
        <v>170424736</v>
      </c>
      <c r="I137">
        <v>0.9</v>
      </c>
      <c r="J137" t="s">
        <v>87</v>
      </c>
      <c r="K137" t="s">
        <v>220</v>
      </c>
      <c r="L137">
        <v>1.29</v>
      </c>
      <c r="M137">
        <v>7.04</v>
      </c>
      <c r="N137">
        <v>112416</v>
      </c>
      <c r="O137">
        <v>129702</v>
      </c>
      <c r="P137">
        <v>0.87</v>
      </c>
      <c r="Q137">
        <v>1976</v>
      </c>
      <c r="R137">
        <v>1004</v>
      </c>
      <c r="S137" t="s">
        <v>3</v>
      </c>
      <c r="T137">
        <v>102515.75</v>
      </c>
      <c r="U137" t="s">
        <v>459</v>
      </c>
      <c r="V137" t="s">
        <v>460</v>
      </c>
      <c r="W137">
        <v>1.45</v>
      </c>
    </row>
    <row r="138" spans="1:23">
      <c r="A138" t="str">
        <f>"000544"</f>
        <v>000544</v>
      </c>
      <c r="B138" t="s">
        <v>461</v>
      </c>
      <c r="C138">
        <v>11.75</v>
      </c>
      <c r="D138">
        <v>11.79</v>
      </c>
      <c r="E138">
        <v>11.63</v>
      </c>
      <c r="F138">
        <v>11.71</v>
      </c>
      <c r="G138">
        <v>49078</v>
      </c>
      <c r="H138">
        <v>57354004</v>
      </c>
      <c r="I138">
        <v>0.96</v>
      </c>
      <c r="J138" t="s">
        <v>462</v>
      </c>
      <c r="K138" t="s">
        <v>254</v>
      </c>
      <c r="L138">
        <v>-0.26</v>
      </c>
      <c r="M138">
        <v>11.69</v>
      </c>
      <c r="N138">
        <v>29585</v>
      </c>
      <c r="O138">
        <v>19492</v>
      </c>
      <c r="P138">
        <v>1.52</v>
      </c>
      <c r="Q138">
        <v>258</v>
      </c>
      <c r="R138">
        <v>312</v>
      </c>
      <c r="S138" t="s">
        <v>3</v>
      </c>
      <c r="T138">
        <v>26945.98</v>
      </c>
      <c r="U138" t="s">
        <v>463</v>
      </c>
      <c r="V138" t="s">
        <v>463</v>
      </c>
      <c r="W138">
        <v>-0.1</v>
      </c>
    </row>
    <row r="139" spans="1:23">
      <c r="A139" t="str">
        <f>"000545"</f>
        <v>000545</v>
      </c>
      <c r="B139" t="s">
        <v>464</v>
      </c>
      <c r="C139">
        <v>10.9</v>
      </c>
      <c r="D139">
        <v>10.94</v>
      </c>
      <c r="E139">
        <v>10.75</v>
      </c>
      <c r="F139">
        <v>10.86</v>
      </c>
      <c r="G139">
        <v>55750</v>
      </c>
      <c r="H139">
        <v>60486292</v>
      </c>
      <c r="I139">
        <v>0.74</v>
      </c>
      <c r="J139" t="s">
        <v>376</v>
      </c>
      <c r="K139" t="s">
        <v>99</v>
      </c>
      <c r="L139">
        <v>-0.37</v>
      </c>
      <c r="M139">
        <v>10.85</v>
      </c>
      <c r="N139">
        <v>34931</v>
      </c>
      <c r="O139">
        <v>20818</v>
      </c>
      <c r="P139">
        <v>1.68</v>
      </c>
      <c r="Q139">
        <v>1</v>
      </c>
      <c r="R139">
        <v>1083</v>
      </c>
      <c r="S139" t="s">
        <v>3</v>
      </c>
      <c r="T139">
        <v>15637.36</v>
      </c>
      <c r="U139" t="s">
        <v>465</v>
      </c>
      <c r="V139" t="s">
        <v>466</v>
      </c>
      <c r="W139">
        <v>-0.21</v>
      </c>
    </row>
    <row r="140" spans="1:23">
      <c r="A140" t="str">
        <f>"000546"</f>
        <v>000546</v>
      </c>
      <c r="B140" t="s">
        <v>467</v>
      </c>
      <c r="C140">
        <v>9.02</v>
      </c>
      <c r="D140">
        <v>9.02</v>
      </c>
      <c r="E140">
        <v>8.7799999999999994</v>
      </c>
      <c r="F140">
        <v>8.9700000000000006</v>
      </c>
      <c r="G140">
        <v>39365</v>
      </c>
      <c r="H140">
        <v>35056232</v>
      </c>
      <c r="I140">
        <v>0.78</v>
      </c>
      <c r="J140" t="s">
        <v>380</v>
      </c>
      <c r="K140" t="s">
        <v>99</v>
      </c>
      <c r="L140">
        <v>-0.77</v>
      </c>
      <c r="M140">
        <v>8.91</v>
      </c>
      <c r="N140">
        <v>23346</v>
      </c>
      <c r="O140">
        <v>16019</v>
      </c>
      <c r="P140">
        <v>1.46</v>
      </c>
      <c r="Q140">
        <v>39</v>
      </c>
      <c r="R140">
        <v>50</v>
      </c>
      <c r="S140" t="s">
        <v>3</v>
      </c>
      <c r="T140">
        <v>14623.8</v>
      </c>
      <c r="U140" t="s">
        <v>468</v>
      </c>
      <c r="V140" t="s">
        <v>469</v>
      </c>
      <c r="W140">
        <v>-0.62</v>
      </c>
    </row>
    <row r="141" spans="1:23">
      <c r="A141" t="str">
        <f>"000547"</f>
        <v>000547</v>
      </c>
      <c r="B141" t="s">
        <v>470</v>
      </c>
      <c r="C141" t="s">
        <v>3</v>
      </c>
      <c r="D141" t="s">
        <v>3</v>
      </c>
      <c r="E141" t="s">
        <v>3</v>
      </c>
      <c r="F141">
        <v>0</v>
      </c>
      <c r="G141">
        <v>0</v>
      </c>
      <c r="H141">
        <v>0</v>
      </c>
      <c r="I141">
        <v>0</v>
      </c>
      <c r="J141" t="s">
        <v>112</v>
      </c>
      <c r="K141" t="s">
        <v>414</v>
      </c>
      <c r="L141" t="s">
        <v>3</v>
      </c>
      <c r="M141">
        <v>5.97</v>
      </c>
      <c r="N141">
        <v>0</v>
      </c>
      <c r="O141">
        <v>0</v>
      </c>
      <c r="P141" t="s">
        <v>3</v>
      </c>
      <c r="Q141">
        <v>0</v>
      </c>
      <c r="R141">
        <v>0</v>
      </c>
      <c r="S141" t="s">
        <v>3</v>
      </c>
      <c r="T141">
        <v>83484.63</v>
      </c>
      <c r="U141" t="s">
        <v>471</v>
      </c>
      <c r="V141" t="s">
        <v>472</v>
      </c>
      <c r="W141">
        <v>0.16</v>
      </c>
    </row>
    <row r="142" spans="1:23">
      <c r="A142" t="str">
        <f>"000548"</f>
        <v>000548</v>
      </c>
      <c r="B142" t="s">
        <v>473</v>
      </c>
      <c r="C142">
        <v>5.79</v>
      </c>
      <c r="D142">
        <v>6.03</v>
      </c>
      <c r="E142">
        <v>5.74</v>
      </c>
      <c r="F142">
        <v>5.9</v>
      </c>
      <c r="G142">
        <v>156230</v>
      </c>
      <c r="H142">
        <v>92155688</v>
      </c>
      <c r="I142">
        <v>1.43</v>
      </c>
      <c r="J142" t="s">
        <v>336</v>
      </c>
      <c r="K142" t="s">
        <v>234</v>
      </c>
      <c r="L142">
        <v>1.55</v>
      </c>
      <c r="M142">
        <v>5.9</v>
      </c>
      <c r="N142">
        <v>76818</v>
      </c>
      <c r="O142">
        <v>79412</v>
      </c>
      <c r="P142">
        <v>0.97</v>
      </c>
      <c r="Q142">
        <v>2209</v>
      </c>
      <c r="R142">
        <v>61</v>
      </c>
      <c r="S142" t="s">
        <v>3</v>
      </c>
      <c r="T142">
        <v>49920.1</v>
      </c>
      <c r="U142" t="s">
        <v>474</v>
      </c>
      <c r="V142" t="s">
        <v>474</v>
      </c>
      <c r="W142">
        <v>1.71</v>
      </c>
    </row>
    <row r="143" spans="1:23">
      <c r="A143" t="str">
        <f>"000550"</f>
        <v>000550</v>
      </c>
      <c r="B143" t="s">
        <v>475</v>
      </c>
      <c r="C143">
        <v>32.25</v>
      </c>
      <c r="D143">
        <v>32.25</v>
      </c>
      <c r="E143">
        <v>31.62</v>
      </c>
      <c r="F143">
        <v>31.83</v>
      </c>
      <c r="G143">
        <v>21930</v>
      </c>
      <c r="H143">
        <v>69651832</v>
      </c>
      <c r="I143">
        <v>0.74</v>
      </c>
      <c r="J143" t="s">
        <v>476</v>
      </c>
      <c r="K143" t="s">
        <v>265</v>
      </c>
      <c r="L143">
        <v>-0.5</v>
      </c>
      <c r="M143">
        <v>31.76</v>
      </c>
      <c r="N143">
        <v>13764</v>
      </c>
      <c r="O143">
        <v>8166</v>
      </c>
      <c r="P143">
        <v>1.69</v>
      </c>
      <c r="Q143">
        <v>41</v>
      </c>
      <c r="R143">
        <v>62</v>
      </c>
      <c r="S143" t="s">
        <v>3</v>
      </c>
      <c r="T143">
        <v>51739.21</v>
      </c>
      <c r="U143" t="s">
        <v>477</v>
      </c>
      <c r="V143" t="s">
        <v>478</v>
      </c>
      <c r="W143">
        <v>-0.34</v>
      </c>
    </row>
    <row r="144" spans="1:23">
      <c r="A144" t="str">
        <f>"000551"</f>
        <v>000551</v>
      </c>
      <c r="B144" t="s">
        <v>479</v>
      </c>
      <c r="C144">
        <v>9.7100000000000009</v>
      </c>
      <c r="D144">
        <v>9.76</v>
      </c>
      <c r="E144">
        <v>9.5500000000000007</v>
      </c>
      <c r="F144">
        <v>9.64</v>
      </c>
      <c r="G144">
        <v>107009</v>
      </c>
      <c r="H144">
        <v>103123544</v>
      </c>
      <c r="I144">
        <v>1.17</v>
      </c>
      <c r="J144" t="s">
        <v>269</v>
      </c>
      <c r="K144" t="s">
        <v>244</v>
      </c>
      <c r="L144">
        <v>-0.31</v>
      </c>
      <c r="M144">
        <v>9.64</v>
      </c>
      <c r="N144">
        <v>59963</v>
      </c>
      <c r="O144">
        <v>47045</v>
      </c>
      <c r="P144">
        <v>1.27</v>
      </c>
      <c r="Q144">
        <v>1090</v>
      </c>
      <c r="R144">
        <v>647</v>
      </c>
      <c r="S144" t="s">
        <v>3</v>
      </c>
      <c r="T144">
        <v>40008.03</v>
      </c>
      <c r="U144" t="s">
        <v>480</v>
      </c>
      <c r="V144" t="s">
        <v>480</v>
      </c>
      <c r="W144">
        <v>-0.15</v>
      </c>
    </row>
    <row r="145" spans="1:23">
      <c r="A145" t="str">
        <f>"000552"</f>
        <v>000552</v>
      </c>
      <c r="B145" t="s">
        <v>481</v>
      </c>
      <c r="C145">
        <v>9.07</v>
      </c>
      <c r="D145">
        <v>9.18</v>
      </c>
      <c r="E145">
        <v>8.9600000000000009</v>
      </c>
      <c r="F145">
        <v>9.1</v>
      </c>
      <c r="G145">
        <v>82488</v>
      </c>
      <c r="H145">
        <v>74836384</v>
      </c>
      <c r="I145">
        <v>1.25</v>
      </c>
      <c r="J145" t="s">
        <v>482</v>
      </c>
      <c r="K145" t="s">
        <v>483</v>
      </c>
      <c r="L145">
        <v>0.44</v>
      </c>
      <c r="M145">
        <v>9.07</v>
      </c>
      <c r="N145">
        <v>37531</v>
      </c>
      <c r="O145">
        <v>44956</v>
      </c>
      <c r="P145">
        <v>0.83</v>
      </c>
      <c r="Q145">
        <v>206</v>
      </c>
      <c r="R145">
        <v>431</v>
      </c>
      <c r="S145" t="s">
        <v>3</v>
      </c>
      <c r="T145">
        <v>35412.42</v>
      </c>
      <c r="U145" t="s">
        <v>484</v>
      </c>
      <c r="V145" t="s">
        <v>485</v>
      </c>
      <c r="W145">
        <v>0.6</v>
      </c>
    </row>
    <row r="146" spans="1:23">
      <c r="A146" t="str">
        <f>"000553"</f>
        <v>000553</v>
      </c>
      <c r="B146" t="s">
        <v>486</v>
      </c>
      <c r="C146">
        <v>12.58</v>
      </c>
      <c r="D146">
        <v>12.61</v>
      </c>
      <c r="E146">
        <v>12.46</v>
      </c>
      <c r="F146">
        <v>12.5</v>
      </c>
      <c r="G146">
        <v>100337</v>
      </c>
      <c r="H146">
        <v>125457792</v>
      </c>
      <c r="I146">
        <v>1.3</v>
      </c>
      <c r="J146" t="s">
        <v>224</v>
      </c>
      <c r="K146" t="s">
        <v>317</v>
      </c>
      <c r="L146">
        <v>-0.56000000000000005</v>
      </c>
      <c r="M146">
        <v>12.5</v>
      </c>
      <c r="N146">
        <v>61501</v>
      </c>
      <c r="O146">
        <v>38836</v>
      </c>
      <c r="P146">
        <v>1.58</v>
      </c>
      <c r="Q146">
        <v>364</v>
      </c>
      <c r="R146">
        <v>590</v>
      </c>
      <c r="S146" t="s">
        <v>3</v>
      </c>
      <c r="T146">
        <v>36389.370000000003</v>
      </c>
      <c r="U146" t="s">
        <v>487</v>
      </c>
      <c r="V146" t="s">
        <v>488</v>
      </c>
      <c r="W146">
        <v>-0.4</v>
      </c>
    </row>
    <row r="147" spans="1:23">
      <c r="A147" t="str">
        <f>"000554"</f>
        <v>000554</v>
      </c>
      <c r="B147" t="s">
        <v>489</v>
      </c>
      <c r="C147">
        <v>8.84</v>
      </c>
      <c r="D147">
        <v>8.84</v>
      </c>
      <c r="E147">
        <v>8.66</v>
      </c>
      <c r="F147">
        <v>8.7799999999999994</v>
      </c>
      <c r="G147">
        <v>130068</v>
      </c>
      <c r="H147">
        <v>113762240</v>
      </c>
      <c r="I147">
        <v>0.76</v>
      </c>
      <c r="J147" t="s">
        <v>204</v>
      </c>
      <c r="K147" t="s">
        <v>250</v>
      </c>
      <c r="L147">
        <v>-0.11</v>
      </c>
      <c r="M147">
        <v>8.75</v>
      </c>
      <c r="N147">
        <v>72125</v>
      </c>
      <c r="O147">
        <v>57943</v>
      </c>
      <c r="P147">
        <v>1.24</v>
      </c>
      <c r="Q147">
        <v>406</v>
      </c>
      <c r="R147">
        <v>1934</v>
      </c>
      <c r="S147" t="s">
        <v>3</v>
      </c>
      <c r="T147">
        <v>36264.959999999999</v>
      </c>
      <c r="U147" t="s">
        <v>490</v>
      </c>
      <c r="V147" t="s">
        <v>396</v>
      </c>
      <c r="W147">
        <v>0.04</v>
      </c>
    </row>
    <row r="148" spans="1:23">
      <c r="A148" t="str">
        <f>"000555"</f>
        <v>000555</v>
      </c>
      <c r="B148" t="s">
        <v>491</v>
      </c>
      <c r="C148">
        <v>39.19</v>
      </c>
      <c r="D148">
        <v>39.39</v>
      </c>
      <c r="E148">
        <v>38.9</v>
      </c>
      <c r="F148">
        <v>39.07</v>
      </c>
      <c r="G148">
        <v>6068</v>
      </c>
      <c r="H148">
        <v>23705070</v>
      </c>
      <c r="I148">
        <v>0.32</v>
      </c>
      <c r="J148" t="s">
        <v>112</v>
      </c>
      <c r="K148" t="s">
        <v>2</v>
      </c>
      <c r="L148">
        <v>-0.31</v>
      </c>
      <c r="M148">
        <v>39.07</v>
      </c>
      <c r="N148">
        <v>3854</v>
      </c>
      <c r="O148">
        <v>2213</v>
      </c>
      <c r="P148">
        <v>1.74</v>
      </c>
      <c r="Q148">
        <v>26</v>
      </c>
      <c r="R148">
        <v>47</v>
      </c>
      <c r="S148" t="s">
        <v>3</v>
      </c>
      <c r="T148">
        <v>9062.76</v>
      </c>
      <c r="U148" t="s">
        <v>492</v>
      </c>
      <c r="V148" t="s">
        <v>493</v>
      </c>
      <c r="W148">
        <v>-0.15</v>
      </c>
    </row>
    <row r="149" spans="1:23">
      <c r="A149" t="str">
        <f>"000557"</f>
        <v>000557</v>
      </c>
      <c r="B149" t="s">
        <v>494</v>
      </c>
      <c r="C149" t="s">
        <v>3</v>
      </c>
      <c r="D149" t="s">
        <v>3</v>
      </c>
      <c r="E149" t="s">
        <v>3</v>
      </c>
      <c r="F149">
        <v>0</v>
      </c>
      <c r="G149">
        <v>0</v>
      </c>
      <c r="H149">
        <v>0</v>
      </c>
      <c r="I149">
        <v>0</v>
      </c>
      <c r="J149" t="s">
        <v>495</v>
      </c>
      <c r="K149" t="s">
        <v>496</v>
      </c>
      <c r="L149" t="s">
        <v>3</v>
      </c>
      <c r="M149">
        <v>7</v>
      </c>
      <c r="N149">
        <v>0</v>
      </c>
      <c r="O149">
        <v>0</v>
      </c>
      <c r="P149" t="s">
        <v>3</v>
      </c>
      <c r="Q149">
        <v>0</v>
      </c>
      <c r="R149">
        <v>0</v>
      </c>
      <c r="S149" t="s">
        <v>3</v>
      </c>
      <c r="T149">
        <v>65959.67</v>
      </c>
      <c r="U149" t="s">
        <v>497</v>
      </c>
      <c r="V149" t="s">
        <v>498</v>
      </c>
      <c r="W149">
        <v>0.16</v>
      </c>
    </row>
    <row r="150" spans="1:23">
      <c r="A150" t="str">
        <f>"000558"</f>
        <v>000558</v>
      </c>
      <c r="B150" t="s">
        <v>499</v>
      </c>
      <c r="C150">
        <v>6.06</v>
      </c>
      <c r="D150">
        <v>6.11</v>
      </c>
      <c r="E150">
        <v>6</v>
      </c>
      <c r="F150">
        <v>6.04</v>
      </c>
      <c r="G150">
        <v>49518</v>
      </c>
      <c r="H150">
        <v>29895872</v>
      </c>
      <c r="I150">
        <v>0.65</v>
      </c>
      <c r="J150" t="s">
        <v>15</v>
      </c>
      <c r="K150" t="s">
        <v>229</v>
      </c>
      <c r="L150">
        <v>-0.82</v>
      </c>
      <c r="M150">
        <v>6.04</v>
      </c>
      <c r="N150">
        <v>31055</v>
      </c>
      <c r="O150">
        <v>18462</v>
      </c>
      <c r="P150">
        <v>1.68</v>
      </c>
      <c r="Q150">
        <v>188</v>
      </c>
      <c r="R150">
        <v>451</v>
      </c>
      <c r="S150" t="s">
        <v>3</v>
      </c>
      <c r="T150">
        <v>62975.35</v>
      </c>
      <c r="U150" t="s">
        <v>500</v>
      </c>
      <c r="V150" t="s">
        <v>501</v>
      </c>
      <c r="W150">
        <v>-0.66</v>
      </c>
    </row>
    <row r="151" spans="1:23">
      <c r="A151" t="str">
        <f>"000559"</f>
        <v>000559</v>
      </c>
      <c r="B151" t="s">
        <v>502</v>
      </c>
      <c r="C151">
        <v>14.27</v>
      </c>
      <c r="D151">
        <v>14.55</v>
      </c>
      <c r="E151">
        <v>14.25</v>
      </c>
      <c r="F151">
        <v>14.4</v>
      </c>
      <c r="G151">
        <v>647584</v>
      </c>
      <c r="H151">
        <v>934230784</v>
      </c>
      <c r="I151">
        <v>1.1100000000000001</v>
      </c>
      <c r="J151" t="s">
        <v>98</v>
      </c>
      <c r="K151" t="s">
        <v>229</v>
      </c>
      <c r="L151">
        <v>1.91</v>
      </c>
      <c r="M151">
        <v>14.43</v>
      </c>
      <c r="N151">
        <v>314460</v>
      </c>
      <c r="O151">
        <v>333123</v>
      </c>
      <c r="P151">
        <v>0.94</v>
      </c>
      <c r="Q151">
        <v>3077</v>
      </c>
      <c r="R151">
        <v>2848</v>
      </c>
      <c r="S151" t="s">
        <v>3</v>
      </c>
      <c r="T151">
        <v>190825.09</v>
      </c>
      <c r="U151" t="s">
        <v>503</v>
      </c>
      <c r="V151" t="s">
        <v>504</v>
      </c>
      <c r="W151">
        <v>2.0699999999999998</v>
      </c>
    </row>
    <row r="152" spans="1:23">
      <c r="A152" t="str">
        <f>"000560"</f>
        <v>000560</v>
      </c>
      <c r="B152" t="s">
        <v>505</v>
      </c>
      <c r="C152" t="s">
        <v>3</v>
      </c>
      <c r="D152" t="s">
        <v>3</v>
      </c>
      <c r="E152" t="s">
        <v>3</v>
      </c>
      <c r="F152">
        <v>0</v>
      </c>
      <c r="G152">
        <v>0</v>
      </c>
      <c r="H152">
        <v>0</v>
      </c>
      <c r="I152">
        <v>0</v>
      </c>
      <c r="J152" t="s">
        <v>297</v>
      </c>
      <c r="K152" t="s">
        <v>445</v>
      </c>
      <c r="L152" t="s">
        <v>3</v>
      </c>
      <c r="M152">
        <v>8.43</v>
      </c>
      <c r="N152">
        <v>0</v>
      </c>
      <c r="O152">
        <v>0</v>
      </c>
      <c r="P152" t="s">
        <v>3</v>
      </c>
      <c r="Q152">
        <v>0</v>
      </c>
      <c r="R152">
        <v>0</v>
      </c>
      <c r="S152" t="s">
        <v>3</v>
      </c>
      <c r="T152">
        <v>9346.4</v>
      </c>
      <c r="U152" t="s">
        <v>506</v>
      </c>
      <c r="V152" t="s">
        <v>507</v>
      </c>
      <c r="W152">
        <v>0.16</v>
      </c>
    </row>
    <row r="153" spans="1:23">
      <c r="A153" t="str">
        <f>"000561"</f>
        <v>000561</v>
      </c>
      <c r="B153" t="s">
        <v>508</v>
      </c>
      <c r="C153">
        <v>9.69</v>
      </c>
      <c r="D153">
        <v>9.7799999999999994</v>
      </c>
      <c r="E153">
        <v>9.5</v>
      </c>
      <c r="F153">
        <v>9.57</v>
      </c>
      <c r="G153">
        <v>135911</v>
      </c>
      <c r="H153">
        <v>130538992</v>
      </c>
      <c r="I153">
        <v>0.66</v>
      </c>
      <c r="J153" t="s">
        <v>112</v>
      </c>
      <c r="K153" t="s">
        <v>389</v>
      </c>
      <c r="L153">
        <v>-1.24</v>
      </c>
      <c r="M153">
        <v>9.6</v>
      </c>
      <c r="N153">
        <v>78754</v>
      </c>
      <c r="O153">
        <v>57156</v>
      </c>
      <c r="P153">
        <v>1.38</v>
      </c>
      <c r="Q153">
        <v>1285</v>
      </c>
      <c r="R153">
        <v>734</v>
      </c>
      <c r="S153" t="s">
        <v>3</v>
      </c>
      <c r="T153">
        <v>59398.66</v>
      </c>
      <c r="U153" t="s">
        <v>509</v>
      </c>
      <c r="V153" t="s">
        <v>510</v>
      </c>
      <c r="W153">
        <v>-1.08</v>
      </c>
    </row>
    <row r="154" spans="1:23">
      <c r="A154" t="str">
        <f>"000562"</f>
        <v>000562</v>
      </c>
      <c r="B154" t="s">
        <v>511</v>
      </c>
      <c r="C154">
        <v>12.28</v>
      </c>
      <c r="D154">
        <v>12.28</v>
      </c>
      <c r="E154">
        <v>12.06</v>
      </c>
      <c r="F154">
        <v>12.09</v>
      </c>
      <c r="G154">
        <v>485355</v>
      </c>
      <c r="H154">
        <v>588281664</v>
      </c>
      <c r="I154">
        <v>0.61</v>
      </c>
      <c r="J154" t="s">
        <v>512</v>
      </c>
      <c r="K154" t="s">
        <v>241</v>
      </c>
      <c r="L154">
        <v>-1.39</v>
      </c>
      <c r="M154">
        <v>12.12</v>
      </c>
      <c r="N154">
        <v>297180</v>
      </c>
      <c r="O154">
        <v>188174</v>
      </c>
      <c r="P154">
        <v>1.58</v>
      </c>
      <c r="Q154">
        <v>6894</v>
      </c>
      <c r="R154">
        <v>634</v>
      </c>
      <c r="S154" t="s">
        <v>3</v>
      </c>
      <c r="T154">
        <v>351847.69</v>
      </c>
      <c r="U154" t="s">
        <v>513</v>
      </c>
      <c r="V154" t="s">
        <v>514</v>
      </c>
      <c r="W154">
        <v>-1.23</v>
      </c>
    </row>
    <row r="155" spans="1:23">
      <c r="A155" t="str">
        <f>"000563"</f>
        <v>000563</v>
      </c>
      <c r="B155" t="s">
        <v>515</v>
      </c>
      <c r="C155">
        <v>7.29</v>
      </c>
      <c r="D155">
        <v>7.31</v>
      </c>
      <c r="E155">
        <v>7.23</v>
      </c>
      <c r="F155">
        <v>7.27</v>
      </c>
      <c r="G155">
        <v>114676</v>
      </c>
      <c r="H155">
        <v>83275672</v>
      </c>
      <c r="I155">
        <v>0.69</v>
      </c>
      <c r="J155" t="s">
        <v>293</v>
      </c>
      <c r="K155" t="s">
        <v>389</v>
      </c>
      <c r="L155">
        <v>-0.41</v>
      </c>
      <c r="M155">
        <v>7.26</v>
      </c>
      <c r="N155">
        <v>64744</v>
      </c>
      <c r="O155">
        <v>49932</v>
      </c>
      <c r="P155">
        <v>1.3</v>
      </c>
      <c r="Q155">
        <v>276</v>
      </c>
      <c r="R155">
        <v>1172</v>
      </c>
      <c r="S155" t="s">
        <v>3</v>
      </c>
      <c r="T155">
        <v>75266.720000000001</v>
      </c>
      <c r="U155" t="s">
        <v>516</v>
      </c>
      <c r="V155" t="s">
        <v>517</v>
      </c>
      <c r="W155">
        <v>-0.25</v>
      </c>
    </row>
    <row r="156" spans="1:23">
      <c r="A156" t="str">
        <f>"000564"</f>
        <v>000564</v>
      </c>
      <c r="B156" t="s">
        <v>518</v>
      </c>
      <c r="C156" t="s">
        <v>3</v>
      </c>
      <c r="D156" t="s">
        <v>3</v>
      </c>
      <c r="E156" t="s">
        <v>3</v>
      </c>
      <c r="F156">
        <v>0</v>
      </c>
      <c r="G156">
        <v>0</v>
      </c>
      <c r="H156">
        <v>0</v>
      </c>
      <c r="I156">
        <v>0</v>
      </c>
      <c r="J156" t="s">
        <v>297</v>
      </c>
      <c r="K156" t="s">
        <v>389</v>
      </c>
      <c r="L156" t="s">
        <v>3</v>
      </c>
      <c r="M156">
        <v>4.54</v>
      </c>
      <c r="N156">
        <v>0</v>
      </c>
      <c r="O156">
        <v>0</v>
      </c>
      <c r="P156" t="s">
        <v>3</v>
      </c>
      <c r="Q156">
        <v>0</v>
      </c>
      <c r="R156">
        <v>0</v>
      </c>
      <c r="S156" t="s">
        <v>3</v>
      </c>
      <c r="T156">
        <v>33562.01</v>
      </c>
      <c r="U156" t="s">
        <v>519</v>
      </c>
      <c r="V156" t="s">
        <v>520</v>
      </c>
      <c r="W156">
        <v>0.16</v>
      </c>
    </row>
    <row r="157" spans="1:23">
      <c r="A157" t="str">
        <f>"000565"</f>
        <v>000565</v>
      </c>
      <c r="B157" t="s">
        <v>521</v>
      </c>
      <c r="C157">
        <v>11.63</v>
      </c>
      <c r="D157">
        <v>11.82</v>
      </c>
      <c r="E157">
        <v>11.54</v>
      </c>
      <c r="F157">
        <v>11.72</v>
      </c>
      <c r="G157">
        <v>34198</v>
      </c>
      <c r="H157">
        <v>39992120</v>
      </c>
      <c r="I157">
        <v>0.92</v>
      </c>
      <c r="J157" t="s">
        <v>522</v>
      </c>
      <c r="K157" t="s">
        <v>386</v>
      </c>
      <c r="L157">
        <v>1.65</v>
      </c>
      <c r="M157">
        <v>11.69</v>
      </c>
      <c r="N157">
        <v>13881</v>
      </c>
      <c r="O157">
        <v>20317</v>
      </c>
      <c r="P157">
        <v>0.68</v>
      </c>
      <c r="Q157">
        <v>615</v>
      </c>
      <c r="R157">
        <v>307</v>
      </c>
      <c r="S157" t="s">
        <v>3</v>
      </c>
      <c r="T157">
        <v>17343.68</v>
      </c>
      <c r="U157" t="s">
        <v>523</v>
      </c>
      <c r="V157" t="s">
        <v>523</v>
      </c>
      <c r="W157">
        <v>1.81</v>
      </c>
    </row>
    <row r="158" spans="1:23">
      <c r="A158" t="str">
        <f>"000566"</f>
        <v>000566</v>
      </c>
      <c r="B158" t="s">
        <v>524</v>
      </c>
      <c r="C158">
        <v>16.16</v>
      </c>
      <c r="D158">
        <v>16.3</v>
      </c>
      <c r="E158">
        <v>15.92</v>
      </c>
      <c r="F158">
        <v>16.05</v>
      </c>
      <c r="G158">
        <v>94774</v>
      </c>
      <c r="H158">
        <v>152545520</v>
      </c>
      <c r="I158">
        <v>0.91</v>
      </c>
      <c r="J158" t="s">
        <v>219</v>
      </c>
      <c r="K158" t="s">
        <v>356</v>
      </c>
      <c r="L158">
        <v>0.44</v>
      </c>
      <c r="M158">
        <v>16.100000000000001</v>
      </c>
      <c r="N158">
        <v>43635</v>
      </c>
      <c r="O158">
        <v>51138</v>
      </c>
      <c r="P158">
        <v>0.85</v>
      </c>
      <c r="Q158">
        <v>916</v>
      </c>
      <c r="R158">
        <v>561</v>
      </c>
      <c r="S158" t="s">
        <v>3</v>
      </c>
      <c r="T158">
        <v>49426.33</v>
      </c>
      <c r="U158" t="s">
        <v>525</v>
      </c>
      <c r="V158" t="s">
        <v>526</v>
      </c>
      <c r="W158">
        <v>0.6</v>
      </c>
    </row>
    <row r="159" spans="1:23">
      <c r="A159" t="str">
        <f>"000567"</f>
        <v>000567</v>
      </c>
      <c r="B159" t="s">
        <v>527</v>
      </c>
      <c r="C159">
        <v>12.91</v>
      </c>
      <c r="D159">
        <v>13.18</v>
      </c>
      <c r="E159">
        <v>12.79</v>
      </c>
      <c r="F159">
        <v>12.83</v>
      </c>
      <c r="G159">
        <v>25782</v>
      </c>
      <c r="H159">
        <v>33287482</v>
      </c>
      <c r="I159">
        <v>0.69</v>
      </c>
      <c r="J159" t="s">
        <v>15</v>
      </c>
      <c r="K159" t="s">
        <v>356</v>
      </c>
      <c r="L159">
        <v>-1.08</v>
      </c>
      <c r="M159">
        <v>12.91</v>
      </c>
      <c r="N159">
        <v>17849</v>
      </c>
      <c r="O159">
        <v>7933</v>
      </c>
      <c r="P159">
        <v>2.25</v>
      </c>
      <c r="Q159">
        <v>142</v>
      </c>
      <c r="R159">
        <v>475</v>
      </c>
      <c r="S159" t="s">
        <v>3</v>
      </c>
      <c r="T159">
        <v>13168.76</v>
      </c>
      <c r="U159" t="s">
        <v>528</v>
      </c>
      <c r="V159" t="s">
        <v>529</v>
      </c>
      <c r="W159">
        <v>-0.92</v>
      </c>
    </row>
    <row r="160" spans="1:23">
      <c r="A160" t="str">
        <f>"000568"</f>
        <v>000568</v>
      </c>
      <c r="B160" t="s">
        <v>530</v>
      </c>
      <c r="C160">
        <v>18.45</v>
      </c>
      <c r="D160">
        <v>18.46</v>
      </c>
      <c r="E160">
        <v>18.170000000000002</v>
      </c>
      <c r="F160">
        <v>18.21</v>
      </c>
      <c r="G160">
        <v>104194</v>
      </c>
      <c r="H160">
        <v>190263216</v>
      </c>
      <c r="I160">
        <v>0.74</v>
      </c>
      <c r="J160" t="s">
        <v>531</v>
      </c>
      <c r="K160" t="s">
        <v>225</v>
      </c>
      <c r="L160">
        <v>-1.41</v>
      </c>
      <c r="M160">
        <v>18.260000000000002</v>
      </c>
      <c r="N160">
        <v>58914</v>
      </c>
      <c r="O160">
        <v>45279</v>
      </c>
      <c r="P160">
        <v>1.3</v>
      </c>
      <c r="Q160">
        <v>985</v>
      </c>
      <c r="R160">
        <v>84</v>
      </c>
      <c r="S160" t="s">
        <v>3</v>
      </c>
      <c r="T160">
        <v>140022.59</v>
      </c>
      <c r="U160" t="s">
        <v>532</v>
      </c>
      <c r="V160" t="s">
        <v>533</v>
      </c>
      <c r="W160">
        <v>-1.25</v>
      </c>
    </row>
    <row r="161" spans="1:23">
      <c r="A161" t="str">
        <f>"000570"</f>
        <v>000570</v>
      </c>
      <c r="B161" t="s">
        <v>534</v>
      </c>
      <c r="C161">
        <v>8.84</v>
      </c>
      <c r="D161">
        <v>9.52</v>
      </c>
      <c r="E161">
        <v>8.81</v>
      </c>
      <c r="F161">
        <v>9.35</v>
      </c>
      <c r="G161">
        <v>279127</v>
      </c>
      <c r="H161">
        <v>256768432</v>
      </c>
      <c r="I161">
        <v>1.58</v>
      </c>
      <c r="J161" t="s">
        <v>535</v>
      </c>
      <c r="K161" t="s">
        <v>244</v>
      </c>
      <c r="L161">
        <v>5.77</v>
      </c>
      <c r="M161">
        <v>9.1999999999999993</v>
      </c>
      <c r="N161">
        <v>138174</v>
      </c>
      <c r="O161">
        <v>140952</v>
      </c>
      <c r="P161">
        <v>0.98</v>
      </c>
      <c r="Q161">
        <v>2047</v>
      </c>
      <c r="R161">
        <v>827</v>
      </c>
      <c r="S161" t="s">
        <v>3</v>
      </c>
      <c r="T161">
        <v>41137.42</v>
      </c>
      <c r="U161" t="s">
        <v>536</v>
      </c>
      <c r="V161" t="s">
        <v>537</v>
      </c>
      <c r="W161">
        <v>5.93</v>
      </c>
    </row>
    <row r="162" spans="1:23">
      <c r="A162" t="str">
        <f>"000571"</f>
        <v>000571</v>
      </c>
      <c r="B162" t="s">
        <v>538</v>
      </c>
      <c r="C162">
        <v>5.0599999999999996</v>
      </c>
      <c r="D162">
        <v>5.13</v>
      </c>
      <c r="E162">
        <v>4.97</v>
      </c>
      <c r="F162">
        <v>5.08</v>
      </c>
      <c r="G162">
        <v>235182</v>
      </c>
      <c r="H162">
        <v>118614720</v>
      </c>
      <c r="I162">
        <v>0.51</v>
      </c>
      <c r="J162" t="s">
        <v>482</v>
      </c>
      <c r="K162" t="s">
        <v>356</v>
      </c>
      <c r="L162">
        <v>0.59</v>
      </c>
      <c r="M162">
        <v>5.04</v>
      </c>
      <c r="N162">
        <v>119184</v>
      </c>
      <c r="O162">
        <v>115998</v>
      </c>
      <c r="P162">
        <v>1.03</v>
      </c>
      <c r="Q162">
        <v>2607</v>
      </c>
      <c r="R162">
        <v>591</v>
      </c>
      <c r="S162" t="s">
        <v>3</v>
      </c>
      <c r="T162">
        <v>73542.67</v>
      </c>
      <c r="U162" t="s">
        <v>539</v>
      </c>
      <c r="V162" t="s">
        <v>540</v>
      </c>
      <c r="W162">
        <v>0.75</v>
      </c>
    </row>
    <row r="163" spans="1:23">
      <c r="A163" t="str">
        <f>"000572"</f>
        <v>000572</v>
      </c>
      <c r="B163" t="s">
        <v>541</v>
      </c>
      <c r="C163">
        <v>4.63</v>
      </c>
      <c r="D163">
        <v>4.72</v>
      </c>
      <c r="E163">
        <v>4.5999999999999996</v>
      </c>
      <c r="F163">
        <v>4.67</v>
      </c>
      <c r="G163">
        <v>225964</v>
      </c>
      <c r="H163">
        <v>105572328</v>
      </c>
      <c r="I163">
        <v>1.1100000000000001</v>
      </c>
      <c r="J163" t="s">
        <v>476</v>
      </c>
      <c r="K163" t="s">
        <v>356</v>
      </c>
      <c r="L163">
        <v>0.86</v>
      </c>
      <c r="M163">
        <v>4.67</v>
      </c>
      <c r="N163">
        <v>115592</v>
      </c>
      <c r="O163">
        <v>110371</v>
      </c>
      <c r="P163">
        <v>1.05</v>
      </c>
      <c r="Q163">
        <v>1803</v>
      </c>
      <c r="R163">
        <v>4871</v>
      </c>
      <c r="S163" t="s">
        <v>3</v>
      </c>
      <c r="T163">
        <v>164176.39000000001</v>
      </c>
      <c r="U163" t="s">
        <v>542</v>
      </c>
      <c r="V163" t="s">
        <v>543</v>
      </c>
      <c r="W163">
        <v>1.02</v>
      </c>
    </row>
    <row r="164" spans="1:23">
      <c r="A164" t="str">
        <f>"000573"</f>
        <v>000573</v>
      </c>
      <c r="B164" t="s">
        <v>544</v>
      </c>
      <c r="C164">
        <v>4.4000000000000004</v>
      </c>
      <c r="D164">
        <v>4.46</v>
      </c>
      <c r="E164">
        <v>4.3600000000000003</v>
      </c>
      <c r="F164">
        <v>4.4400000000000004</v>
      </c>
      <c r="G164">
        <v>108677</v>
      </c>
      <c r="H164">
        <v>47944436</v>
      </c>
      <c r="I164">
        <v>1.33</v>
      </c>
      <c r="J164" t="s">
        <v>15</v>
      </c>
      <c r="K164" t="s">
        <v>211</v>
      </c>
      <c r="L164">
        <v>0.68</v>
      </c>
      <c r="M164">
        <v>4.41</v>
      </c>
      <c r="N164">
        <v>58603</v>
      </c>
      <c r="O164">
        <v>50073</v>
      </c>
      <c r="P164">
        <v>1.17</v>
      </c>
      <c r="Q164">
        <v>487</v>
      </c>
      <c r="R164">
        <v>2491</v>
      </c>
      <c r="S164" t="s">
        <v>3</v>
      </c>
      <c r="T164">
        <v>62228.57</v>
      </c>
      <c r="U164" t="s">
        <v>545</v>
      </c>
      <c r="V164" t="s">
        <v>546</v>
      </c>
      <c r="W164">
        <v>0.84</v>
      </c>
    </row>
    <row r="165" spans="1:23">
      <c r="A165" t="str">
        <f>"000576"</f>
        <v>000576</v>
      </c>
      <c r="B165" t="s">
        <v>547</v>
      </c>
      <c r="C165">
        <v>13.88</v>
      </c>
      <c r="D165">
        <v>14.05</v>
      </c>
      <c r="E165">
        <v>13.68</v>
      </c>
      <c r="F165">
        <v>13.84</v>
      </c>
      <c r="G165">
        <v>23790</v>
      </c>
      <c r="H165">
        <v>33039258</v>
      </c>
      <c r="I165">
        <v>0.65</v>
      </c>
      <c r="J165" t="s">
        <v>26</v>
      </c>
      <c r="K165" t="s">
        <v>211</v>
      </c>
      <c r="L165">
        <v>0.51</v>
      </c>
      <c r="M165">
        <v>13.89</v>
      </c>
      <c r="N165">
        <v>12171</v>
      </c>
      <c r="O165">
        <v>11619</v>
      </c>
      <c r="P165">
        <v>1.05</v>
      </c>
      <c r="Q165">
        <v>183</v>
      </c>
      <c r="R165">
        <v>352</v>
      </c>
      <c r="S165" t="s">
        <v>3</v>
      </c>
      <c r="T165">
        <v>25616.05</v>
      </c>
      <c r="U165" t="s">
        <v>548</v>
      </c>
      <c r="V165" t="s">
        <v>549</v>
      </c>
      <c r="W165">
        <v>0.67</v>
      </c>
    </row>
    <row r="166" spans="1:23">
      <c r="A166" t="str">
        <f>"000581"</f>
        <v>000581</v>
      </c>
      <c r="B166" t="s">
        <v>550</v>
      </c>
      <c r="C166">
        <v>26.83</v>
      </c>
      <c r="D166">
        <v>27.02</v>
      </c>
      <c r="E166">
        <v>26.56</v>
      </c>
      <c r="F166">
        <v>26.91</v>
      </c>
      <c r="G166">
        <v>88225</v>
      </c>
      <c r="H166">
        <v>236569216</v>
      </c>
      <c r="I166">
        <v>0.65</v>
      </c>
      <c r="J166" t="s">
        <v>98</v>
      </c>
      <c r="K166" t="s">
        <v>244</v>
      </c>
      <c r="L166">
        <v>0.3</v>
      </c>
      <c r="M166">
        <v>26.81</v>
      </c>
      <c r="N166">
        <v>47728</v>
      </c>
      <c r="O166">
        <v>40497</v>
      </c>
      <c r="P166">
        <v>1.18</v>
      </c>
      <c r="Q166">
        <v>105</v>
      </c>
      <c r="R166">
        <v>346</v>
      </c>
      <c r="S166" t="s">
        <v>3</v>
      </c>
      <c r="T166">
        <v>67848.320000000007</v>
      </c>
      <c r="U166" t="s">
        <v>551</v>
      </c>
      <c r="V166" t="s">
        <v>552</v>
      </c>
      <c r="W166">
        <v>0.46</v>
      </c>
    </row>
    <row r="167" spans="1:23">
      <c r="A167" t="str">
        <f>"000582"</f>
        <v>000582</v>
      </c>
      <c r="B167" t="s">
        <v>553</v>
      </c>
      <c r="C167" t="s">
        <v>3</v>
      </c>
      <c r="D167" t="s">
        <v>3</v>
      </c>
      <c r="E167" t="s">
        <v>3</v>
      </c>
      <c r="F167">
        <v>0</v>
      </c>
      <c r="G167">
        <v>0</v>
      </c>
      <c r="H167">
        <v>0</v>
      </c>
      <c r="I167">
        <v>0</v>
      </c>
      <c r="J167" t="s">
        <v>70</v>
      </c>
      <c r="K167" t="s">
        <v>417</v>
      </c>
      <c r="L167" t="s">
        <v>3</v>
      </c>
      <c r="M167">
        <v>11.83</v>
      </c>
      <c r="N167">
        <v>0</v>
      </c>
      <c r="O167">
        <v>0</v>
      </c>
      <c r="P167" t="s">
        <v>3</v>
      </c>
      <c r="Q167">
        <v>0</v>
      </c>
      <c r="R167">
        <v>0</v>
      </c>
      <c r="S167" t="s">
        <v>3</v>
      </c>
      <c r="T167">
        <v>14166.61</v>
      </c>
      <c r="U167" t="s">
        <v>554</v>
      </c>
      <c r="V167" t="s">
        <v>555</v>
      </c>
      <c r="W167">
        <v>0.16</v>
      </c>
    </row>
    <row r="168" spans="1:23">
      <c r="A168" t="str">
        <f>"000584"</f>
        <v>000584</v>
      </c>
      <c r="B168" t="s">
        <v>556</v>
      </c>
      <c r="C168">
        <v>6.3</v>
      </c>
      <c r="D168">
        <v>6.3</v>
      </c>
      <c r="E168">
        <v>6.15</v>
      </c>
      <c r="F168">
        <v>6.27</v>
      </c>
      <c r="G168">
        <v>116736</v>
      </c>
      <c r="H168">
        <v>72644720</v>
      </c>
      <c r="I168">
        <v>1.1599999999999999</v>
      </c>
      <c r="J168" t="s">
        <v>310</v>
      </c>
      <c r="K168" t="s">
        <v>225</v>
      </c>
      <c r="L168">
        <v>-0.32</v>
      </c>
      <c r="M168">
        <v>6.22</v>
      </c>
      <c r="N168">
        <v>70462</v>
      </c>
      <c r="O168">
        <v>46273</v>
      </c>
      <c r="P168">
        <v>1.52</v>
      </c>
      <c r="Q168">
        <v>2043</v>
      </c>
      <c r="R168">
        <v>561</v>
      </c>
      <c r="S168" t="s">
        <v>3</v>
      </c>
      <c r="T168">
        <v>61061.919999999998</v>
      </c>
      <c r="U168" t="s">
        <v>557</v>
      </c>
      <c r="V168" t="s">
        <v>536</v>
      </c>
      <c r="W168">
        <v>-0.16</v>
      </c>
    </row>
    <row r="169" spans="1:23">
      <c r="A169" t="str">
        <f>"000585"</f>
        <v>000585</v>
      </c>
      <c r="B169" t="s">
        <v>558</v>
      </c>
      <c r="C169">
        <v>4.29</v>
      </c>
      <c r="D169">
        <v>4.45</v>
      </c>
      <c r="E169">
        <v>4.22</v>
      </c>
      <c r="F169">
        <v>4.4000000000000004</v>
      </c>
      <c r="G169">
        <v>223607</v>
      </c>
      <c r="H169">
        <v>97602224</v>
      </c>
      <c r="I169">
        <v>0.86</v>
      </c>
      <c r="J169" t="s">
        <v>145</v>
      </c>
      <c r="K169" t="s">
        <v>162</v>
      </c>
      <c r="L169">
        <v>2.33</v>
      </c>
      <c r="M169">
        <v>4.3600000000000003</v>
      </c>
      <c r="N169">
        <v>94363</v>
      </c>
      <c r="O169">
        <v>129244</v>
      </c>
      <c r="P169">
        <v>0.73</v>
      </c>
      <c r="Q169">
        <v>1988</v>
      </c>
      <c r="R169">
        <v>9125</v>
      </c>
      <c r="S169" t="s">
        <v>3</v>
      </c>
      <c r="T169">
        <v>60942.1</v>
      </c>
      <c r="U169" t="s">
        <v>559</v>
      </c>
      <c r="V169" t="s">
        <v>560</v>
      </c>
      <c r="W169">
        <v>2.48</v>
      </c>
    </row>
    <row r="170" spans="1:23">
      <c r="A170" t="str">
        <f>"000586"</f>
        <v>000586</v>
      </c>
      <c r="B170" t="s">
        <v>561</v>
      </c>
      <c r="C170" t="s">
        <v>3</v>
      </c>
      <c r="D170" t="s">
        <v>3</v>
      </c>
      <c r="E170" t="s">
        <v>3</v>
      </c>
      <c r="F170">
        <v>0</v>
      </c>
      <c r="G170">
        <v>0</v>
      </c>
      <c r="H170">
        <v>0</v>
      </c>
      <c r="I170">
        <v>0</v>
      </c>
      <c r="J170" t="s">
        <v>112</v>
      </c>
      <c r="K170" t="s">
        <v>225</v>
      </c>
      <c r="L170" t="s">
        <v>3</v>
      </c>
      <c r="M170">
        <v>10.220000000000001</v>
      </c>
      <c r="N170">
        <v>0</v>
      </c>
      <c r="O170">
        <v>0</v>
      </c>
      <c r="P170" t="s">
        <v>3</v>
      </c>
      <c r="Q170">
        <v>0</v>
      </c>
      <c r="R170">
        <v>0</v>
      </c>
      <c r="S170" t="s">
        <v>3</v>
      </c>
      <c r="T170">
        <v>19344</v>
      </c>
      <c r="U170" t="s">
        <v>562</v>
      </c>
      <c r="V170" t="s">
        <v>562</v>
      </c>
      <c r="W170">
        <v>0.16</v>
      </c>
    </row>
    <row r="171" spans="1:23">
      <c r="A171" t="str">
        <f>"000587"</f>
        <v>000587</v>
      </c>
      <c r="B171" t="s">
        <v>563</v>
      </c>
      <c r="C171">
        <v>12.08</v>
      </c>
      <c r="D171">
        <v>12.12</v>
      </c>
      <c r="E171">
        <v>11.88</v>
      </c>
      <c r="F171">
        <v>11.96</v>
      </c>
      <c r="G171">
        <v>64709</v>
      </c>
      <c r="H171">
        <v>77395456</v>
      </c>
      <c r="I171">
        <v>0.81</v>
      </c>
      <c r="J171" t="s">
        <v>564</v>
      </c>
      <c r="K171" t="s">
        <v>565</v>
      </c>
      <c r="L171">
        <v>-0.66</v>
      </c>
      <c r="M171">
        <v>11.96</v>
      </c>
      <c r="N171">
        <v>39114</v>
      </c>
      <c r="O171">
        <v>25594</v>
      </c>
      <c r="P171">
        <v>1.53</v>
      </c>
      <c r="Q171">
        <v>151</v>
      </c>
      <c r="R171">
        <v>97</v>
      </c>
      <c r="S171" t="s">
        <v>3</v>
      </c>
      <c r="T171">
        <v>39027.279999999999</v>
      </c>
      <c r="U171" t="s">
        <v>566</v>
      </c>
      <c r="V171" t="s">
        <v>567</v>
      </c>
      <c r="W171">
        <v>-0.51</v>
      </c>
    </row>
    <row r="172" spans="1:23">
      <c r="A172" t="str">
        <f>"000589"</f>
        <v>000589</v>
      </c>
      <c r="B172" t="s">
        <v>568</v>
      </c>
      <c r="C172">
        <v>5.66</v>
      </c>
      <c r="D172">
        <v>6.11</v>
      </c>
      <c r="E172">
        <v>5.62</v>
      </c>
      <c r="F172">
        <v>5.96</v>
      </c>
      <c r="G172">
        <v>253738</v>
      </c>
      <c r="H172">
        <v>149294576</v>
      </c>
      <c r="I172">
        <v>2.96</v>
      </c>
      <c r="J172" t="s">
        <v>98</v>
      </c>
      <c r="K172" t="s">
        <v>452</v>
      </c>
      <c r="L172">
        <v>5.49</v>
      </c>
      <c r="M172">
        <v>5.88</v>
      </c>
      <c r="N172">
        <v>106887</v>
      </c>
      <c r="O172">
        <v>146850</v>
      </c>
      <c r="P172">
        <v>0.73</v>
      </c>
      <c r="Q172">
        <v>993</v>
      </c>
      <c r="R172">
        <v>556</v>
      </c>
      <c r="S172" t="s">
        <v>3</v>
      </c>
      <c r="T172">
        <v>48884.73</v>
      </c>
      <c r="U172" t="s">
        <v>569</v>
      </c>
      <c r="V172" t="s">
        <v>570</v>
      </c>
      <c r="W172">
        <v>5.65</v>
      </c>
    </row>
    <row r="173" spans="1:23">
      <c r="A173" t="str">
        <f>"000590"</f>
        <v>000590</v>
      </c>
      <c r="B173" t="s">
        <v>571</v>
      </c>
      <c r="C173">
        <v>14.9</v>
      </c>
      <c r="D173">
        <v>15.24</v>
      </c>
      <c r="E173">
        <v>14.66</v>
      </c>
      <c r="F173">
        <v>15.18</v>
      </c>
      <c r="G173">
        <v>67773</v>
      </c>
      <c r="H173">
        <v>100762136</v>
      </c>
      <c r="I173">
        <v>1.78</v>
      </c>
      <c r="J173" t="s">
        <v>321</v>
      </c>
      <c r="K173" t="s">
        <v>234</v>
      </c>
      <c r="L173">
        <v>1.74</v>
      </c>
      <c r="M173">
        <v>14.87</v>
      </c>
      <c r="N173">
        <v>28417</v>
      </c>
      <c r="O173">
        <v>39355</v>
      </c>
      <c r="P173">
        <v>0.72</v>
      </c>
      <c r="Q173">
        <v>213</v>
      </c>
      <c r="R173">
        <v>407</v>
      </c>
      <c r="S173" t="s">
        <v>3</v>
      </c>
      <c r="T173">
        <v>22323.61</v>
      </c>
      <c r="U173" t="s">
        <v>572</v>
      </c>
      <c r="V173" t="s">
        <v>573</v>
      </c>
      <c r="W173">
        <v>1.9</v>
      </c>
    </row>
    <row r="174" spans="1:23">
      <c r="A174" t="str">
        <f>"000591"</f>
        <v>000591</v>
      </c>
      <c r="B174" t="s">
        <v>574</v>
      </c>
      <c r="C174">
        <v>12.16</v>
      </c>
      <c r="D174">
        <v>12.4</v>
      </c>
      <c r="E174">
        <v>12.02</v>
      </c>
      <c r="F174">
        <v>12.29</v>
      </c>
      <c r="G174">
        <v>67422</v>
      </c>
      <c r="H174">
        <v>82186216</v>
      </c>
      <c r="I174">
        <v>0.91</v>
      </c>
      <c r="J174" t="s">
        <v>91</v>
      </c>
      <c r="K174" t="s">
        <v>386</v>
      </c>
      <c r="L174">
        <v>1.1499999999999999</v>
      </c>
      <c r="M174">
        <v>12.19</v>
      </c>
      <c r="N174">
        <v>37640</v>
      </c>
      <c r="O174">
        <v>29781</v>
      </c>
      <c r="P174">
        <v>1.26</v>
      </c>
      <c r="Q174">
        <v>63</v>
      </c>
      <c r="R174">
        <v>1642</v>
      </c>
      <c r="S174" t="s">
        <v>3</v>
      </c>
      <c r="T174">
        <v>27463.09</v>
      </c>
      <c r="U174" t="s">
        <v>575</v>
      </c>
      <c r="V174" t="s">
        <v>575</v>
      </c>
      <c r="W174">
        <v>1.31</v>
      </c>
    </row>
    <row r="175" spans="1:23">
      <c r="A175" t="str">
        <f>"000592"</f>
        <v>000592</v>
      </c>
      <c r="B175" t="s">
        <v>576</v>
      </c>
      <c r="C175">
        <v>12.22</v>
      </c>
      <c r="D175">
        <v>12.22</v>
      </c>
      <c r="E175">
        <v>11.67</v>
      </c>
      <c r="F175">
        <v>12</v>
      </c>
      <c r="G175">
        <v>374355</v>
      </c>
      <c r="H175">
        <v>444550528</v>
      </c>
      <c r="I175">
        <v>1.17</v>
      </c>
      <c r="J175" t="s">
        <v>577</v>
      </c>
      <c r="K175" t="s">
        <v>414</v>
      </c>
      <c r="L175">
        <v>-2.2000000000000002</v>
      </c>
      <c r="M175">
        <v>11.88</v>
      </c>
      <c r="N175">
        <v>211107</v>
      </c>
      <c r="O175">
        <v>163247</v>
      </c>
      <c r="P175">
        <v>1.29</v>
      </c>
      <c r="Q175">
        <v>431</v>
      </c>
      <c r="R175">
        <v>2034</v>
      </c>
      <c r="S175" t="s">
        <v>3</v>
      </c>
      <c r="T175">
        <v>83695.199999999997</v>
      </c>
      <c r="U175" t="s">
        <v>578</v>
      </c>
      <c r="V175" t="s">
        <v>579</v>
      </c>
      <c r="W175">
        <v>-2.04</v>
      </c>
    </row>
    <row r="176" spans="1:23">
      <c r="A176" t="str">
        <f>"000593"</f>
        <v>000593</v>
      </c>
      <c r="B176" t="s">
        <v>580</v>
      </c>
      <c r="C176">
        <v>7.25</v>
      </c>
      <c r="D176">
        <v>7.36</v>
      </c>
      <c r="E176">
        <v>7.2</v>
      </c>
      <c r="F176">
        <v>7.31</v>
      </c>
      <c r="G176">
        <v>59634</v>
      </c>
      <c r="H176">
        <v>43612860</v>
      </c>
      <c r="I176">
        <v>1.36</v>
      </c>
      <c r="J176" t="s">
        <v>581</v>
      </c>
      <c r="K176" t="s">
        <v>225</v>
      </c>
      <c r="L176">
        <v>0.97</v>
      </c>
      <c r="M176">
        <v>7.31</v>
      </c>
      <c r="N176">
        <v>28201</v>
      </c>
      <c r="O176">
        <v>31433</v>
      </c>
      <c r="P176">
        <v>0.9</v>
      </c>
      <c r="Q176">
        <v>895</v>
      </c>
      <c r="R176">
        <v>50</v>
      </c>
      <c r="S176" t="s">
        <v>3</v>
      </c>
      <c r="T176">
        <v>22317.48</v>
      </c>
      <c r="U176" t="s">
        <v>582</v>
      </c>
      <c r="V176" t="s">
        <v>583</v>
      </c>
      <c r="W176">
        <v>1.1299999999999999</v>
      </c>
    </row>
    <row r="177" spans="1:23">
      <c r="A177" t="str">
        <f>"000595"</f>
        <v>000595</v>
      </c>
      <c r="B177" t="s">
        <v>584</v>
      </c>
      <c r="C177">
        <v>7.85</v>
      </c>
      <c r="D177">
        <v>7.98</v>
      </c>
      <c r="E177">
        <v>7.76</v>
      </c>
      <c r="F177">
        <v>7.96</v>
      </c>
      <c r="G177">
        <v>59253</v>
      </c>
      <c r="H177">
        <v>46669624</v>
      </c>
      <c r="I177">
        <v>0.8</v>
      </c>
      <c r="J177" t="s">
        <v>398</v>
      </c>
      <c r="K177" t="s">
        <v>496</v>
      </c>
      <c r="L177">
        <v>0.76</v>
      </c>
      <c r="M177">
        <v>7.88</v>
      </c>
      <c r="N177">
        <v>31609</v>
      </c>
      <c r="O177">
        <v>27643</v>
      </c>
      <c r="P177">
        <v>1.1399999999999999</v>
      </c>
      <c r="Q177">
        <v>2</v>
      </c>
      <c r="R177">
        <v>356</v>
      </c>
      <c r="S177" t="s">
        <v>3</v>
      </c>
      <c r="T177">
        <v>21681.03</v>
      </c>
      <c r="U177" t="s">
        <v>585</v>
      </c>
      <c r="V177" t="s">
        <v>586</v>
      </c>
      <c r="W177">
        <v>0.92</v>
      </c>
    </row>
    <row r="178" spans="1:23">
      <c r="A178" t="str">
        <f>"000596"</f>
        <v>000596</v>
      </c>
      <c r="B178" t="s">
        <v>587</v>
      </c>
      <c r="C178">
        <v>27.97</v>
      </c>
      <c r="D178">
        <v>27.97</v>
      </c>
      <c r="E178">
        <v>27.06</v>
      </c>
      <c r="F178">
        <v>27.18</v>
      </c>
      <c r="G178">
        <v>38060</v>
      </c>
      <c r="H178">
        <v>103730808</v>
      </c>
      <c r="I178">
        <v>0.67</v>
      </c>
      <c r="J178" t="s">
        <v>531</v>
      </c>
      <c r="K178" t="s">
        <v>220</v>
      </c>
      <c r="L178">
        <v>-3</v>
      </c>
      <c r="M178">
        <v>27.25</v>
      </c>
      <c r="N178">
        <v>22095</v>
      </c>
      <c r="O178">
        <v>15965</v>
      </c>
      <c r="P178">
        <v>1.38</v>
      </c>
      <c r="Q178">
        <v>94</v>
      </c>
      <c r="R178">
        <v>78</v>
      </c>
      <c r="S178" t="s">
        <v>3</v>
      </c>
      <c r="T178">
        <v>38359.910000000003</v>
      </c>
      <c r="U178" t="s">
        <v>588</v>
      </c>
      <c r="V178" t="s">
        <v>589</v>
      </c>
      <c r="W178">
        <v>-2.84</v>
      </c>
    </row>
    <row r="179" spans="1:23">
      <c r="A179" t="str">
        <f>"000597"</f>
        <v>000597</v>
      </c>
      <c r="B179" t="s">
        <v>590</v>
      </c>
      <c r="C179">
        <v>12.27</v>
      </c>
      <c r="D179">
        <v>12.81</v>
      </c>
      <c r="E179">
        <v>12.27</v>
      </c>
      <c r="F179">
        <v>12.6</v>
      </c>
      <c r="G179">
        <v>174731</v>
      </c>
      <c r="H179">
        <v>219582544</v>
      </c>
      <c r="I179">
        <v>2.19</v>
      </c>
      <c r="J179" t="s">
        <v>219</v>
      </c>
      <c r="K179" t="s">
        <v>162</v>
      </c>
      <c r="L179">
        <v>4.13</v>
      </c>
      <c r="M179">
        <v>12.57</v>
      </c>
      <c r="N179">
        <v>75909</v>
      </c>
      <c r="O179">
        <v>98821</v>
      </c>
      <c r="P179">
        <v>0.77</v>
      </c>
      <c r="Q179">
        <v>52</v>
      </c>
      <c r="R179">
        <v>303</v>
      </c>
      <c r="S179" t="s">
        <v>3</v>
      </c>
      <c r="T179">
        <v>33099.160000000003</v>
      </c>
      <c r="U179" t="s">
        <v>591</v>
      </c>
      <c r="V179" t="s">
        <v>592</v>
      </c>
      <c r="W179">
        <v>4.29</v>
      </c>
    </row>
    <row r="180" spans="1:23">
      <c r="A180" t="str">
        <f>"000598"</f>
        <v>000598</v>
      </c>
      <c r="B180" t="s">
        <v>593</v>
      </c>
      <c r="C180">
        <v>5.7</v>
      </c>
      <c r="D180">
        <v>5.76</v>
      </c>
      <c r="E180">
        <v>5.6</v>
      </c>
      <c r="F180">
        <v>5.69</v>
      </c>
      <c r="G180">
        <v>1625820</v>
      </c>
      <c r="H180">
        <v>920837248</v>
      </c>
      <c r="I180">
        <v>0.99</v>
      </c>
      <c r="J180" t="s">
        <v>462</v>
      </c>
      <c r="K180" t="s">
        <v>225</v>
      </c>
      <c r="L180">
        <v>-0.35</v>
      </c>
      <c r="M180">
        <v>5.66</v>
      </c>
      <c r="N180">
        <v>896451</v>
      </c>
      <c r="O180">
        <v>729369</v>
      </c>
      <c r="P180">
        <v>1.23</v>
      </c>
      <c r="Q180">
        <v>3840</v>
      </c>
      <c r="R180">
        <v>3261</v>
      </c>
      <c r="S180" t="s">
        <v>3</v>
      </c>
      <c r="T180">
        <v>173051.2</v>
      </c>
      <c r="U180" t="s">
        <v>594</v>
      </c>
      <c r="V180" t="s">
        <v>595</v>
      </c>
      <c r="W180">
        <v>-0.19</v>
      </c>
    </row>
    <row r="181" spans="1:23">
      <c r="A181" t="str">
        <f>"000599"</f>
        <v>000599</v>
      </c>
      <c r="B181" t="s">
        <v>596</v>
      </c>
      <c r="C181">
        <v>5.35</v>
      </c>
      <c r="D181">
        <v>5.45</v>
      </c>
      <c r="E181">
        <v>5.35</v>
      </c>
      <c r="F181">
        <v>5.42</v>
      </c>
      <c r="G181">
        <v>126754</v>
      </c>
      <c r="H181">
        <v>68556400</v>
      </c>
      <c r="I181">
        <v>0.97</v>
      </c>
      <c r="J181" t="s">
        <v>98</v>
      </c>
      <c r="K181" t="s">
        <v>250</v>
      </c>
      <c r="L181">
        <v>1.69</v>
      </c>
      <c r="M181">
        <v>5.41</v>
      </c>
      <c r="N181">
        <v>59713</v>
      </c>
      <c r="O181">
        <v>67041</v>
      </c>
      <c r="P181">
        <v>0.89</v>
      </c>
      <c r="Q181">
        <v>885</v>
      </c>
      <c r="R181">
        <v>1223</v>
      </c>
      <c r="S181" t="s">
        <v>3</v>
      </c>
      <c r="T181">
        <v>52478.6</v>
      </c>
      <c r="U181" t="s">
        <v>597</v>
      </c>
      <c r="V181" t="s">
        <v>598</v>
      </c>
      <c r="W181">
        <v>1.85</v>
      </c>
    </row>
    <row r="182" spans="1:23">
      <c r="A182" t="str">
        <f>"000600"</f>
        <v>000600</v>
      </c>
      <c r="B182" t="s">
        <v>599</v>
      </c>
      <c r="C182">
        <v>6.55</v>
      </c>
      <c r="D182">
        <v>6.6</v>
      </c>
      <c r="E182">
        <v>6.52</v>
      </c>
      <c r="F182">
        <v>6.58</v>
      </c>
      <c r="G182">
        <v>112602</v>
      </c>
      <c r="H182">
        <v>73994216</v>
      </c>
      <c r="I182">
        <v>1</v>
      </c>
      <c r="J182" t="s">
        <v>87</v>
      </c>
      <c r="K182" t="s">
        <v>238</v>
      </c>
      <c r="L182">
        <v>0.46</v>
      </c>
      <c r="M182">
        <v>6.57</v>
      </c>
      <c r="N182">
        <v>47690</v>
      </c>
      <c r="O182">
        <v>64911</v>
      </c>
      <c r="P182">
        <v>0.73</v>
      </c>
      <c r="Q182">
        <v>1150</v>
      </c>
      <c r="R182">
        <v>5536</v>
      </c>
      <c r="S182" t="s">
        <v>3</v>
      </c>
      <c r="T182">
        <v>91358.03</v>
      </c>
      <c r="U182" t="s">
        <v>600</v>
      </c>
      <c r="V182" t="s">
        <v>601</v>
      </c>
      <c r="W182">
        <v>0.62</v>
      </c>
    </row>
    <row r="183" spans="1:23">
      <c r="A183" t="str">
        <f>"000601"</f>
        <v>000601</v>
      </c>
      <c r="B183" t="s">
        <v>602</v>
      </c>
      <c r="C183">
        <v>4.5999999999999996</v>
      </c>
      <c r="D183">
        <v>4.6100000000000003</v>
      </c>
      <c r="E183">
        <v>4.55</v>
      </c>
      <c r="F183">
        <v>4.5999999999999996</v>
      </c>
      <c r="G183">
        <v>219091</v>
      </c>
      <c r="H183">
        <v>100331472</v>
      </c>
      <c r="I183">
        <v>1.81</v>
      </c>
      <c r="J183" t="s">
        <v>87</v>
      </c>
      <c r="K183" t="s">
        <v>211</v>
      </c>
      <c r="L183">
        <v>-0.22</v>
      </c>
      <c r="M183">
        <v>4.58</v>
      </c>
      <c r="N183">
        <v>108889</v>
      </c>
      <c r="O183">
        <v>110202</v>
      </c>
      <c r="P183">
        <v>0.99</v>
      </c>
      <c r="Q183">
        <v>1572</v>
      </c>
      <c r="R183">
        <v>3439</v>
      </c>
      <c r="S183" t="s">
        <v>3</v>
      </c>
      <c r="T183">
        <v>99398.67</v>
      </c>
      <c r="U183" t="s">
        <v>603</v>
      </c>
      <c r="V183" t="s">
        <v>604</v>
      </c>
      <c r="W183">
        <v>-0.06</v>
      </c>
    </row>
    <row r="184" spans="1:23">
      <c r="A184" t="str">
        <f>"000603"</f>
        <v>000603</v>
      </c>
      <c r="B184" t="s">
        <v>605</v>
      </c>
      <c r="C184">
        <v>16.5</v>
      </c>
      <c r="D184">
        <v>16.670000000000002</v>
      </c>
      <c r="E184">
        <v>16.25</v>
      </c>
      <c r="F184">
        <v>16.329999999999998</v>
      </c>
      <c r="G184">
        <v>38643</v>
      </c>
      <c r="H184">
        <v>63262128</v>
      </c>
      <c r="I184">
        <v>0.95</v>
      </c>
      <c r="J184" t="s">
        <v>165</v>
      </c>
      <c r="K184" t="s">
        <v>34</v>
      </c>
      <c r="L184">
        <v>-2.04</v>
      </c>
      <c r="M184">
        <v>16.37</v>
      </c>
      <c r="N184">
        <v>22278</v>
      </c>
      <c r="O184">
        <v>16364</v>
      </c>
      <c r="P184">
        <v>1.36</v>
      </c>
      <c r="Q184">
        <v>79</v>
      </c>
      <c r="R184">
        <v>40</v>
      </c>
      <c r="S184" t="s">
        <v>3</v>
      </c>
      <c r="T184">
        <v>8939.9</v>
      </c>
      <c r="U184" t="s">
        <v>606</v>
      </c>
      <c r="V184" t="s">
        <v>607</v>
      </c>
      <c r="W184">
        <v>-1.88</v>
      </c>
    </row>
    <row r="185" spans="1:23">
      <c r="A185" t="str">
        <f>"000605"</f>
        <v>000605</v>
      </c>
      <c r="B185" t="s">
        <v>608</v>
      </c>
      <c r="C185">
        <v>17.12</v>
      </c>
      <c r="D185">
        <v>17.46</v>
      </c>
      <c r="E185">
        <v>17.059999999999999</v>
      </c>
      <c r="F185">
        <v>17.260000000000002</v>
      </c>
      <c r="G185">
        <v>16922</v>
      </c>
      <c r="H185">
        <v>29258478</v>
      </c>
      <c r="I185">
        <v>1.08</v>
      </c>
      <c r="J185" t="s">
        <v>609</v>
      </c>
      <c r="K185" t="s">
        <v>34</v>
      </c>
      <c r="L185">
        <v>0.35</v>
      </c>
      <c r="M185">
        <v>17.29</v>
      </c>
      <c r="N185">
        <v>8945</v>
      </c>
      <c r="O185">
        <v>7976</v>
      </c>
      <c r="P185">
        <v>1.1200000000000001</v>
      </c>
      <c r="Q185">
        <v>167</v>
      </c>
      <c r="R185">
        <v>41</v>
      </c>
      <c r="S185" t="s">
        <v>3</v>
      </c>
      <c r="T185">
        <v>8842.98</v>
      </c>
      <c r="U185" t="s">
        <v>610</v>
      </c>
      <c r="V185" t="s">
        <v>611</v>
      </c>
      <c r="W185">
        <v>0.51</v>
      </c>
    </row>
    <row r="186" spans="1:23">
      <c r="A186" t="str">
        <f>"000606"</f>
        <v>000606</v>
      </c>
      <c r="B186" t="s">
        <v>612</v>
      </c>
      <c r="C186">
        <v>6.75</v>
      </c>
      <c r="D186">
        <v>6.85</v>
      </c>
      <c r="E186">
        <v>6.66</v>
      </c>
      <c r="F186">
        <v>6.73</v>
      </c>
      <c r="G186">
        <v>215068</v>
      </c>
      <c r="H186">
        <v>144875120</v>
      </c>
      <c r="I186">
        <v>0.71</v>
      </c>
      <c r="J186" t="s">
        <v>219</v>
      </c>
      <c r="K186" t="s">
        <v>613</v>
      </c>
      <c r="L186">
        <v>0.6</v>
      </c>
      <c r="M186">
        <v>6.74</v>
      </c>
      <c r="N186">
        <v>112023</v>
      </c>
      <c r="O186">
        <v>103045</v>
      </c>
      <c r="P186">
        <v>1.0900000000000001</v>
      </c>
      <c r="Q186">
        <v>1</v>
      </c>
      <c r="R186">
        <v>1894</v>
      </c>
      <c r="S186" t="s">
        <v>3</v>
      </c>
      <c r="T186">
        <v>40596.35</v>
      </c>
      <c r="U186" t="s">
        <v>614</v>
      </c>
      <c r="V186" t="s">
        <v>615</v>
      </c>
      <c r="W186">
        <v>0.76</v>
      </c>
    </row>
    <row r="187" spans="1:23">
      <c r="A187" t="str">
        <f>"000607"</f>
        <v>000607</v>
      </c>
      <c r="B187" t="s">
        <v>616</v>
      </c>
      <c r="C187">
        <v>10.51</v>
      </c>
      <c r="D187">
        <v>10.7</v>
      </c>
      <c r="E187">
        <v>10.28</v>
      </c>
      <c r="F187">
        <v>10.57</v>
      </c>
      <c r="G187">
        <v>110903</v>
      </c>
      <c r="H187">
        <v>116014544</v>
      </c>
      <c r="I187">
        <v>0.92</v>
      </c>
      <c r="J187" t="s">
        <v>617</v>
      </c>
      <c r="K187" t="s">
        <v>229</v>
      </c>
      <c r="L187">
        <v>0.96</v>
      </c>
      <c r="M187">
        <v>10.46</v>
      </c>
      <c r="N187">
        <v>61085</v>
      </c>
      <c r="O187">
        <v>49817</v>
      </c>
      <c r="P187">
        <v>1.23</v>
      </c>
      <c r="Q187">
        <v>797</v>
      </c>
      <c r="R187">
        <v>815</v>
      </c>
      <c r="S187" t="s">
        <v>3</v>
      </c>
      <c r="T187">
        <v>48773.19</v>
      </c>
      <c r="U187" t="s">
        <v>618</v>
      </c>
      <c r="V187" t="s">
        <v>618</v>
      </c>
      <c r="W187">
        <v>1.1100000000000001</v>
      </c>
    </row>
    <row r="188" spans="1:23">
      <c r="A188" t="str">
        <f>"000608"</f>
        <v>000608</v>
      </c>
      <c r="B188" t="s">
        <v>619</v>
      </c>
      <c r="C188">
        <v>4.4000000000000004</v>
      </c>
      <c r="D188">
        <v>4.45</v>
      </c>
      <c r="E188">
        <v>4.38</v>
      </c>
      <c r="F188">
        <v>4.42</v>
      </c>
      <c r="G188">
        <v>53339</v>
      </c>
      <c r="H188">
        <v>23536064</v>
      </c>
      <c r="I188">
        <v>1.05</v>
      </c>
      <c r="J188" t="s">
        <v>15</v>
      </c>
      <c r="K188" t="s">
        <v>417</v>
      </c>
      <c r="L188">
        <v>0.23</v>
      </c>
      <c r="M188">
        <v>4.41</v>
      </c>
      <c r="N188">
        <v>29408</v>
      </c>
      <c r="O188">
        <v>23930</v>
      </c>
      <c r="P188">
        <v>1.23</v>
      </c>
      <c r="Q188">
        <v>1901</v>
      </c>
      <c r="R188">
        <v>1246</v>
      </c>
      <c r="S188" t="s">
        <v>3</v>
      </c>
      <c r="T188">
        <v>74991.320000000007</v>
      </c>
      <c r="U188" t="s">
        <v>620</v>
      </c>
      <c r="V188" t="s">
        <v>620</v>
      </c>
      <c r="W188">
        <v>0.39</v>
      </c>
    </row>
    <row r="189" spans="1:23">
      <c r="A189" t="str">
        <f>"000609"</f>
        <v>000609</v>
      </c>
      <c r="B189" t="s">
        <v>621</v>
      </c>
      <c r="C189">
        <v>12.5</v>
      </c>
      <c r="D189">
        <v>12.84</v>
      </c>
      <c r="E189">
        <v>12.45</v>
      </c>
      <c r="F189">
        <v>12.84</v>
      </c>
      <c r="G189">
        <v>119192</v>
      </c>
      <c r="H189">
        <v>151347824</v>
      </c>
      <c r="I189">
        <v>0.72</v>
      </c>
      <c r="J189" t="s">
        <v>15</v>
      </c>
      <c r="K189" t="s">
        <v>34</v>
      </c>
      <c r="L189">
        <v>10.029999999999999</v>
      </c>
      <c r="M189">
        <v>12.7</v>
      </c>
      <c r="N189">
        <v>53549</v>
      </c>
      <c r="O189">
        <v>65643</v>
      </c>
      <c r="P189">
        <v>0.82</v>
      </c>
      <c r="Q189">
        <v>49882</v>
      </c>
      <c r="R189">
        <v>0</v>
      </c>
      <c r="S189" t="s">
        <v>3</v>
      </c>
      <c r="T189">
        <v>27412.69</v>
      </c>
      <c r="U189" t="s">
        <v>622</v>
      </c>
      <c r="V189" t="s">
        <v>623</v>
      </c>
      <c r="W189">
        <v>10.18</v>
      </c>
    </row>
    <row r="190" spans="1:23">
      <c r="A190" t="str">
        <f>"000610"</f>
        <v>000610</v>
      </c>
      <c r="B190" t="s">
        <v>624</v>
      </c>
      <c r="C190">
        <v>8.2100000000000009</v>
      </c>
      <c r="D190">
        <v>8.23</v>
      </c>
      <c r="E190">
        <v>8.1199999999999992</v>
      </c>
      <c r="F190">
        <v>8.16</v>
      </c>
      <c r="G190">
        <v>32188</v>
      </c>
      <c r="H190">
        <v>26280670</v>
      </c>
      <c r="I190">
        <v>0.65</v>
      </c>
      <c r="J190" t="s">
        <v>625</v>
      </c>
      <c r="K190" t="s">
        <v>389</v>
      </c>
      <c r="L190">
        <v>-0.49</v>
      </c>
      <c r="M190">
        <v>8.16</v>
      </c>
      <c r="N190">
        <v>19080</v>
      </c>
      <c r="O190">
        <v>13108</v>
      </c>
      <c r="P190">
        <v>1.46</v>
      </c>
      <c r="Q190">
        <v>400</v>
      </c>
      <c r="R190">
        <v>151</v>
      </c>
      <c r="S190" t="s">
        <v>3</v>
      </c>
      <c r="T190">
        <v>19502.47</v>
      </c>
      <c r="U190" t="s">
        <v>626</v>
      </c>
      <c r="V190" t="s">
        <v>627</v>
      </c>
      <c r="W190">
        <v>-0.33</v>
      </c>
    </row>
    <row r="191" spans="1:23">
      <c r="A191" t="str">
        <f>"000611"</f>
        <v>000611</v>
      </c>
      <c r="B191" t="s">
        <v>628</v>
      </c>
      <c r="C191" t="s">
        <v>3</v>
      </c>
      <c r="D191" t="s">
        <v>3</v>
      </c>
      <c r="E191" t="s">
        <v>3</v>
      </c>
      <c r="F191">
        <v>0</v>
      </c>
      <c r="G191">
        <v>0</v>
      </c>
      <c r="H191">
        <v>0</v>
      </c>
      <c r="I191">
        <v>0</v>
      </c>
      <c r="J191" t="s">
        <v>55</v>
      </c>
      <c r="K191" t="s">
        <v>329</v>
      </c>
      <c r="L191" t="s">
        <v>3</v>
      </c>
      <c r="M191">
        <v>5.39</v>
      </c>
      <c r="N191">
        <v>0</v>
      </c>
      <c r="O191">
        <v>0</v>
      </c>
      <c r="P191" t="s">
        <v>3</v>
      </c>
      <c r="Q191">
        <v>0</v>
      </c>
      <c r="R191">
        <v>0</v>
      </c>
      <c r="S191" t="s">
        <v>3</v>
      </c>
      <c r="T191">
        <v>31906.42</v>
      </c>
      <c r="U191" t="s">
        <v>629</v>
      </c>
      <c r="V191" t="s">
        <v>630</v>
      </c>
      <c r="W191">
        <v>0.16</v>
      </c>
    </row>
    <row r="192" spans="1:23">
      <c r="A192" t="str">
        <f>"000612"</f>
        <v>000612</v>
      </c>
      <c r="B192" t="s">
        <v>631</v>
      </c>
      <c r="C192">
        <v>9.19</v>
      </c>
      <c r="D192">
        <v>9.34</v>
      </c>
      <c r="E192">
        <v>8.8000000000000007</v>
      </c>
      <c r="F192">
        <v>9.02</v>
      </c>
      <c r="G192">
        <v>340200</v>
      </c>
      <c r="H192">
        <v>307514048</v>
      </c>
      <c r="I192">
        <v>0.66</v>
      </c>
      <c r="J192" t="s">
        <v>632</v>
      </c>
      <c r="K192" t="s">
        <v>254</v>
      </c>
      <c r="L192">
        <v>-2.06</v>
      </c>
      <c r="M192">
        <v>9.0399999999999991</v>
      </c>
      <c r="N192">
        <v>197022</v>
      </c>
      <c r="O192">
        <v>143178</v>
      </c>
      <c r="P192">
        <v>1.38</v>
      </c>
      <c r="Q192">
        <v>1754</v>
      </c>
      <c r="R192">
        <v>1841</v>
      </c>
      <c r="S192" t="s">
        <v>3</v>
      </c>
      <c r="T192">
        <v>116898.15</v>
      </c>
      <c r="U192" t="s">
        <v>633</v>
      </c>
      <c r="V192" t="s">
        <v>634</v>
      </c>
      <c r="W192">
        <v>-1.9</v>
      </c>
    </row>
    <row r="193" spans="1:23">
      <c r="A193" t="str">
        <f>"000613"</f>
        <v>000613</v>
      </c>
      <c r="B193" t="s">
        <v>635</v>
      </c>
      <c r="C193">
        <v>6.82</v>
      </c>
      <c r="D193">
        <v>6.86</v>
      </c>
      <c r="E193">
        <v>6.66</v>
      </c>
      <c r="F193">
        <v>6.75</v>
      </c>
      <c r="G193">
        <v>59270</v>
      </c>
      <c r="H193">
        <v>40074860</v>
      </c>
      <c r="I193">
        <v>0.72</v>
      </c>
      <c r="J193" t="s">
        <v>625</v>
      </c>
      <c r="K193" t="s">
        <v>356</v>
      </c>
      <c r="L193">
        <v>-1.03</v>
      </c>
      <c r="M193">
        <v>6.76</v>
      </c>
      <c r="N193">
        <v>38035</v>
      </c>
      <c r="O193">
        <v>21234</v>
      </c>
      <c r="P193">
        <v>1.79</v>
      </c>
      <c r="Q193">
        <v>994</v>
      </c>
      <c r="R193">
        <v>1053</v>
      </c>
      <c r="S193" t="s">
        <v>3</v>
      </c>
      <c r="T193">
        <v>26056.48</v>
      </c>
      <c r="U193" t="s">
        <v>636</v>
      </c>
      <c r="V193" t="s">
        <v>425</v>
      </c>
      <c r="W193">
        <v>-0.87</v>
      </c>
    </row>
    <row r="194" spans="1:23">
      <c r="A194" t="str">
        <f>"000615"</f>
        <v>000615</v>
      </c>
      <c r="B194" t="s">
        <v>637</v>
      </c>
      <c r="C194">
        <v>10.74</v>
      </c>
      <c r="D194">
        <v>11.12</v>
      </c>
      <c r="E194">
        <v>10.62</v>
      </c>
      <c r="F194">
        <v>11.09</v>
      </c>
      <c r="G194">
        <v>52580</v>
      </c>
      <c r="H194">
        <v>57403144</v>
      </c>
      <c r="I194">
        <v>0.83</v>
      </c>
      <c r="J194" t="s">
        <v>310</v>
      </c>
      <c r="K194" t="s">
        <v>317</v>
      </c>
      <c r="L194">
        <v>3.36</v>
      </c>
      <c r="M194">
        <v>10.92</v>
      </c>
      <c r="N194">
        <v>22828</v>
      </c>
      <c r="O194">
        <v>29751</v>
      </c>
      <c r="P194">
        <v>0.77</v>
      </c>
      <c r="Q194">
        <v>4307</v>
      </c>
      <c r="R194">
        <v>363</v>
      </c>
      <c r="S194" t="s">
        <v>3</v>
      </c>
      <c r="T194">
        <v>21167.25</v>
      </c>
      <c r="U194" t="s">
        <v>638</v>
      </c>
      <c r="V194" t="s">
        <v>639</v>
      </c>
      <c r="W194">
        <v>3.51</v>
      </c>
    </row>
    <row r="195" spans="1:23">
      <c r="A195" t="str">
        <f>"000616"</f>
        <v>000616</v>
      </c>
      <c r="B195" t="s">
        <v>640</v>
      </c>
      <c r="C195">
        <v>3.96</v>
      </c>
      <c r="D195">
        <v>3.99</v>
      </c>
      <c r="E195">
        <v>3.93</v>
      </c>
      <c r="F195">
        <v>3.95</v>
      </c>
      <c r="G195">
        <v>241625</v>
      </c>
      <c r="H195">
        <v>95595272</v>
      </c>
      <c r="I195">
        <v>0.76</v>
      </c>
      <c r="J195" t="s">
        <v>7</v>
      </c>
      <c r="K195" t="s">
        <v>162</v>
      </c>
      <c r="L195">
        <v>-0.5</v>
      </c>
      <c r="M195">
        <v>3.96</v>
      </c>
      <c r="N195">
        <v>144695</v>
      </c>
      <c r="O195">
        <v>96929</v>
      </c>
      <c r="P195">
        <v>1.49</v>
      </c>
      <c r="Q195">
        <v>9454</v>
      </c>
      <c r="R195">
        <v>2428</v>
      </c>
      <c r="S195" t="s">
        <v>3</v>
      </c>
      <c r="T195">
        <v>143022.64000000001</v>
      </c>
      <c r="U195" t="s">
        <v>641</v>
      </c>
      <c r="V195" t="s">
        <v>641</v>
      </c>
      <c r="W195">
        <v>-0.35</v>
      </c>
    </row>
    <row r="196" spans="1:23">
      <c r="A196" t="str">
        <f>"000617"</f>
        <v>000617</v>
      </c>
      <c r="B196" t="s">
        <v>642</v>
      </c>
      <c r="C196">
        <v>9.6</v>
      </c>
      <c r="D196">
        <v>9.84</v>
      </c>
      <c r="E196">
        <v>9.51</v>
      </c>
      <c r="F196">
        <v>9.77</v>
      </c>
      <c r="G196">
        <v>48948</v>
      </c>
      <c r="H196">
        <v>47203076</v>
      </c>
      <c r="I196">
        <v>1.29</v>
      </c>
      <c r="J196" t="s">
        <v>398</v>
      </c>
      <c r="K196" t="s">
        <v>250</v>
      </c>
      <c r="L196">
        <v>1.98</v>
      </c>
      <c r="M196">
        <v>9.64</v>
      </c>
      <c r="N196">
        <v>20976</v>
      </c>
      <c r="O196">
        <v>27972</v>
      </c>
      <c r="P196">
        <v>0.75</v>
      </c>
      <c r="Q196">
        <v>106</v>
      </c>
      <c r="R196">
        <v>208</v>
      </c>
      <c r="S196" t="s">
        <v>3</v>
      </c>
      <c r="T196">
        <v>28753.91</v>
      </c>
      <c r="U196" t="s">
        <v>643</v>
      </c>
      <c r="V196" t="s">
        <v>643</v>
      </c>
      <c r="W196">
        <v>2.14</v>
      </c>
    </row>
    <row r="197" spans="1:23">
      <c r="A197" t="str">
        <f>"000619"</f>
        <v>000619</v>
      </c>
      <c r="B197" t="s">
        <v>644</v>
      </c>
      <c r="C197">
        <v>7.52</v>
      </c>
      <c r="D197">
        <v>7.68</v>
      </c>
      <c r="E197">
        <v>7.45</v>
      </c>
      <c r="F197">
        <v>7.63</v>
      </c>
      <c r="G197">
        <v>71391</v>
      </c>
      <c r="H197">
        <v>54243904</v>
      </c>
      <c r="I197">
        <v>1.32</v>
      </c>
      <c r="J197" t="s">
        <v>150</v>
      </c>
      <c r="K197" t="s">
        <v>220</v>
      </c>
      <c r="L197">
        <v>1.87</v>
      </c>
      <c r="M197">
        <v>7.6</v>
      </c>
      <c r="N197">
        <v>30813</v>
      </c>
      <c r="O197">
        <v>40578</v>
      </c>
      <c r="P197">
        <v>0.76</v>
      </c>
      <c r="Q197">
        <v>537</v>
      </c>
      <c r="R197">
        <v>475</v>
      </c>
      <c r="S197" t="s">
        <v>3</v>
      </c>
      <c r="T197">
        <v>36000</v>
      </c>
      <c r="U197" t="s">
        <v>645</v>
      </c>
      <c r="V197" t="s">
        <v>645</v>
      </c>
      <c r="W197">
        <v>2.0299999999999998</v>
      </c>
    </row>
    <row r="198" spans="1:23">
      <c r="A198" t="str">
        <f>"000620"</f>
        <v>000620</v>
      </c>
      <c r="B198" t="s">
        <v>646</v>
      </c>
      <c r="C198">
        <v>6.01</v>
      </c>
      <c r="D198">
        <v>6.08</v>
      </c>
      <c r="E198">
        <v>6.01</v>
      </c>
      <c r="F198">
        <v>6.04</v>
      </c>
      <c r="G198">
        <v>155369</v>
      </c>
      <c r="H198">
        <v>93805136</v>
      </c>
      <c r="I198">
        <v>1.1000000000000001</v>
      </c>
      <c r="J198" t="s">
        <v>15</v>
      </c>
      <c r="K198" t="s">
        <v>34</v>
      </c>
      <c r="L198">
        <v>0.33</v>
      </c>
      <c r="M198">
        <v>6.04</v>
      </c>
      <c r="N198">
        <v>70068</v>
      </c>
      <c r="O198">
        <v>85301</v>
      </c>
      <c r="P198">
        <v>0.82</v>
      </c>
      <c r="Q198">
        <v>1805</v>
      </c>
      <c r="R198">
        <v>4249</v>
      </c>
      <c r="S198" t="s">
        <v>3</v>
      </c>
      <c r="T198">
        <v>159797.06</v>
      </c>
      <c r="U198" t="s">
        <v>647</v>
      </c>
      <c r="V198" t="s">
        <v>647</v>
      </c>
      <c r="W198">
        <v>0.49</v>
      </c>
    </row>
    <row r="199" spans="1:23">
      <c r="A199" t="str">
        <f>"000622"</f>
        <v>000622</v>
      </c>
      <c r="B199" t="s">
        <v>648</v>
      </c>
      <c r="C199">
        <v>5.32</v>
      </c>
      <c r="D199">
        <v>5.55</v>
      </c>
      <c r="E199">
        <v>5.27</v>
      </c>
      <c r="F199">
        <v>5.51</v>
      </c>
      <c r="G199">
        <v>117320</v>
      </c>
      <c r="H199">
        <v>63551900</v>
      </c>
      <c r="I199">
        <v>1.45</v>
      </c>
      <c r="J199" t="s">
        <v>98</v>
      </c>
      <c r="K199" t="s">
        <v>234</v>
      </c>
      <c r="L199">
        <v>3.96</v>
      </c>
      <c r="M199">
        <v>5.42</v>
      </c>
      <c r="N199">
        <v>52313</v>
      </c>
      <c r="O199">
        <v>65006</v>
      </c>
      <c r="P199">
        <v>0.8</v>
      </c>
      <c r="Q199">
        <v>143</v>
      </c>
      <c r="R199">
        <v>1179</v>
      </c>
      <c r="S199" t="s">
        <v>3</v>
      </c>
      <c r="T199">
        <v>27320.35</v>
      </c>
      <c r="U199" t="s">
        <v>649</v>
      </c>
      <c r="V199" t="s">
        <v>650</v>
      </c>
      <c r="W199">
        <v>4.12</v>
      </c>
    </row>
    <row r="200" spans="1:23">
      <c r="A200" t="str">
        <f>"000623"</f>
        <v>000623</v>
      </c>
      <c r="B200" t="s">
        <v>651</v>
      </c>
      <c r="C200">
        <v>17.899999999999999</v>
      </c>
      <c r="D200">
        <v>17.96</v>
      </c>
      <c r="E200">
        <v>17.57</v>
      </c>
      <c r="F200">
        <v>17.690000000000001</v>
      </c>
      <c r="G200">
        <v>157066</v>
      </c>
      <c r="H200">
        <v>277935424</v>
      </c>
      <c r="I200">
        <v>1.23</v>
      </c>
      <c r="J200" t="s">
        <v>321</v>
      </c>
      <c r="K200" t="s">
        <v>99</v>
      </c>
      <c r="L200">
        <v>-0.39</v>
      </c>
      <c r="M200">
        <v>17.7</v>
      </c>
      <c r="N200">
        <v>86087</v>
      </c>
      <c r="O200">
        <v>70979</v>
      </c>
      <c r="P200">
        <v>1.21</v>
      </c>
      <c r="Q200">
        <v>371</v>
      </c>
      <c r="R200">
        <v>1160</v>
      </c>
      <c r="S200" t="s">
        <v>3</v>
      </c>
      <c r="T200">
        <v>77115.199999999997</v>
      </c>
      <c r="U200" t="s">
        <v>652</v>
      </c>
      <c r="V200" t="s">
        <v>653</v>
      </c>
      <c r="W200">
        <v>-0.24</v>
      </c>
    </row>
    <row r="201" spans="1:23">
      <c r="A201" t="str">
        <f>"000625"</f>
        <v>000625</v>
      </c>
      <c r="B201" t="s">
        <v>654</v>
      </c>
      <c r="C201">
        <v>13.45</v>
      </c>
      <c r="D201">
        <v>13.9</v>
      </c>
      <c r="E201">
        <v>13.43</v>
      </c>
      <c r="F201">
        <v>13.68</v>
      </c>
      <c r="G201">
        <v>417290</v>
      </c>
      <c r="H201">
        <v>571356928</v>
      </c>
      <c r="I201">
        <v>0.98</v>
      </c>
      <c r="J201" t="s">
        <v>476</v>
      </c>
      <c r="K201" t="s">
        <v>386</v>
      </c>
      <c r="L201">
        <v>1.71</v>
      </c>
      <c r="M201">
        <v>13.69</v>
      </c>
      <c r="N201">
        <v>193403</v>
      </c>
      <c r="O201">
        <v>223886</v>
      </c>
      <c r="P201">
        <v>0.86</v>
      </c>
      <c r="Q201">
        <v>1646</v>
      </c>
      <c r="R201">
        <v>1809</v>
      </c>
      <c r="S201" t="s">
        <v>3</v>
      </c>
      <c r="T201">
        <v>338752</v>
      </c>
      <c r="U201" t="s">
        <v>655</v>
      </c>
      <c r="V201" t="s">
        <v>656</v>
      </c>
      <c r="W201">
        <v>1.87</v>
      </c>
    </row>
    <row r="202" spans="1:23">
      <c r="A202" t="str">
        <f>"000626"</f>
        <v>000626</v>
      </c>
      <c r="B202" t="s">
        <v>657</v>
      </c>
      <c r="C202">
        <v>9.75</v>
      </c>
      <c r="D202">
        <v>9.82</v>
      </c>
      <c r="E202">
        <v>9.6199999999999992</v>
      </c>
      <c r="F202">
        <v>9.73</v>
      </c>
      <c r="G202">
        <v>20482</v>
      </c>
      <c r="H202">
        <v>19916056</v>
      </c>
      <c r="I202">
        <v>0.6</v>
      </c>
      <c r="J202" t="s">
        <v>173</v>
      </c>
      <c r="K202" t="s">
        <v>244</v>
      </c>
      <c r="L202">
        <v>0.31</v>
      </c>
      <c r="M202">
        <v>9.7200000000000006</v>
      </c>
      <c r="N202">
        <v>12658</v>
      </c>
      <c r="O202">
        <v>7823</v>
      </c>
      <c r="P202">
        <v>1.62</v>
      </c>
      <c r="Q202">
        <v>212</v>
      </c>
      <c r="R202">
        <v>537</v>
      </c>
      <c r="S202" t="s">
        <v>3</v>
      </c>
      <c r="T202">
        <v>20229.75</v>
      </c>
      <c r="U202" t="s">
        <v>658</v>
      </c>
      <c r="V202" t="s">
        <v>659</v>
      </c>
      <c r="W202">
        <v>0.47</v>
      </c>
    </row>
    <row r="203" spans="1:23">
      <c r="A203" t="str">
        <f>"000627"</f>
        <v>000627</v>
      </c>
      <c r="B203" t="s">
        <v>660</v>
      </c>
      <c r="C203">
        <v>3.07</v>
      </c>
      <c r="D203">
        <v>3.1</v>
      </c>
      <c r="E203">
        <v>3.04</v>
      </c>
      <c r="F203">
        <v>3.09</v>
      </c>
      <c r="G203">
        <v>253731</v>
      </c>
      <c r="H203">
        <v>78048288</v>
      </c>
      <c r="I203">
        <v>1.63</v>
      </c>
      <c r="J203" t="s">
        <v>376</v>
      </c>
      <c r="K203" t="s">
        <v>317</v>
      </c>
      <c r="L203">
        <v>0.98</v>
      </c>
      <c r="M203">
        <v>3.08</v>
      </c>
      <c r="N203">
        <v>116124</v>
      </c>
      <c r="O203">
        <v>137607</v>
      </c>
      <c r="P203">
        <v>0.84</v>
      </c>
      <c r="Q203">
        <v>3333</v>
      </c>
      <c r="R203">
        <v>25268</v>
      </c>
      <c r="S203" t="s">
        <v>3</v>
      </c>
      <c r="T203">
        <v>135358.98000000001</v>
      </c>
      <c r="U203" t="s">
        <v>661</v>
      </c>
      <c r="V203" t="s">
        <v>661</v>
      </c>
      <c r="W203">
        <v>1.1399999999999999</v>
      </c>
    </row>
    <row r="204" spans="1:23">
      <c r="A204" t="str">
        <f>"000628"</f>
        <v>000628</v>
      </c>
      <c r="B204" t="s">
        <v>662</v>
      </c>
      <c r="C204">
        <v>8.4</v>
      </c>
      <c r="D204">
        <v>8.4</v>
      </c>
      <c r="E204">
        <v>8.25</v>
      </c>
      <c r="F204">
        <v>8.39</v>
      </c>
      <c r="G204">
        <v>29429</v>
      </c>
      <c r="H204">
        <v>24514058</v>
      </c>
      <c r="I204">
        <v>0.78</v>
      </c>
      <c r="J204" t="s">
        <v>663</v>
      </c>
      <c r="K204" t="s">
        <v>225</v>
      </c>
      <c r="L204">
        <v>-0.71</v>
      </c>
      <c r="M204">
        <v>8.33</v>
      </c>
      <c r="N204">
        <v>18074</v>
      </c>
      <c r="O204">
        <v>11354</v>
      </c>
      <c r="P204">
        <v>1.59</v>
      </c>
      <c r="Q204">
        <v>1076</v>
      </c>
      <c r="R204">
        <v>23</v>
      </c>
      <c r="S204" t="s">
        <v>3</v>
      </c>
      <c r="T204">
        <v>18774.72</v>
      </c>
      <c r="U204" t="s">
        <v>664</v>
      </c>
      <c r="V204" t="s">
        <v>665</v>
      </c>
      <c r="W204">
        <v>-0.55000000000000004</v>
      </c>
    </row>
    <row r="205" spans="1:23">
      <c r="A205" t="str">
        <f>"000629"</f>
        <v>000629</v>
      </c>
      <c r="B205" t="s">
        <v>666</v>
      </c>
      <c r="C205">
        <v>2.5099999999999998</v>
      </c>
      <c r="D205">
        <v>2.6</v>
      </c>
      <c r="E205">
        <v>2.4900000000000002</v>
      </c>
      <c r="F205">
        <v>2.59</v>
      </c>
      <c r="G205">
        <v>1724000</v>
      </c>
      <c r="H205">
        <v>441580896</v>
      </c>
      <c r="I205">
        <v>1.93</v>
      </c>
      <c r="J205" t="s">
        <v>279</v>
      </c>
      <c r="K205" t="s">
        <v>225</v>
      </c>
      <c r="L205">
        <v>3.19</v>
      </c>
      <c r="M205">
        <v>2.56</v>
      </c>
      <c r="N205">
        <v>699429</v>
      </c>
      <c r="O205">
        <v>1024570</v>
      </c>
      <c r="P205">
        <v>0.68</v>
      </c>
      <c r="Q205">
        <v>29073</v>
      </c>
      <c r="R205">
        <v>51521</v>
      </c>
      <c r="S205" t="s">
        <v>3</v>
      </c>
      <c r="T205">
        <v>476729.66</v>
      </c>
      <c r="U205" t="s">
        <v>667</v>
      </c>
      <c r="V205" t="s">
        <v>668</v>
      </c>
      <c r="W205">
        <v>3.35</v>
      </c>
    </row>
    <row r="206" spans="1:23">
      <c r="A206" t="str">
        <f>"000630"</f>
        <v>000630</v>
      </c>
      <c r="B206" t="s">
        <v>669</v>
      </c>
      <c r="C206">
        <v>11.3</v>
      </c>
      <c r="D206">
        <v>11.42</v>
      </c>
      <c r="E206">
        <v>11.12</v>
      </c>
      <c r="F206">
        <v>11.22</v>
      </c>
      <c r="G206">
        <v>363275</v>
      </c>
      <c r="H206">
        <v>408817824</v>
      </c>
      <c r="I206">
        <v>1.39</v>
      </c>
      <c r="J206" t="s">
        <v>670</v>
      </c>
      <c r="K206" t="s">
        <v>220</v>
      </c>
      <c r="L206">
        <v>-2.4300000000000002</v>
      </c>
      <c r="M206">
        <v>11.25</v>
      </c>
      <c r="N206">
        <v>196221</v>
      </c>
      <c r="O206">
        <v>167054</v>
      </c>
      <c r="P206">
        <v>1.17</v>
      </c>
      <c r="Q206">
        <v>1155</v>
      </c>
      <c r="R206">
        <v>245</v>
      </c>
      <c r="S206" t="s">
        <v>3</v>
      </c>
      <c r="T206">
        <v>142151.76999999999</v>
      </c>
      <c r="U206" t="s">
        <v>671</v>
      </c>
      <c r="V206" t="s">
        <v>672</v>
      </c>
      <c r="W206">
        <v>-2.2799999999999998</v>
      </c>
    </row>
    <row r="207" spans="1:23">
      <c r="A207" t="str">
        <f>"000631"</f>
        <v>000631</v>
      </c>
      <c r="B207" t="s">
        <v>673</v>
      </c>
      <c r="C207">
        <v>5.98</v>
      </c>
      <c r="D207">
        <v>5.99</v>
      </c>
      <c r="E207">
        <v>5.85</v>
      </c>
      <c r="F207">
        <v>5.92</v>
      </c>
      <c r="G207">
        <v>88571</v>
      </c>
      <c r="H207">
        <v>52214496</v>
      </c>
      <c r="I207">
        <v>0.66</v>
      </c>
      <c r="J207" t="s">
        <v>15</v>
      </c>
      <c r="K207" t="s">
        <v>99</v>
      </c>
      <c r="L207">
        <v>0</v>
      </c>
      <c r="M207">
        <v>5.9</v>
      </c>
      <c r="N207">
        <v>44861</v>
      </c>
      <c r="O207">
        <v>43710</v>
      </c>
      <c r="P207">
        <v>1.03</v>
      </c>
      <c r="Q207">
        <v>666</v>
      </c>
      <c r="R207">
        <v>1484</v>
      </c>
      <c r="S207" t="s">
        <v>3</v>
      </c>
      <c r="T207">
        <v>104550.97</v>
      </c>
      <c r="U207" t="s">
        <v>674</v>
      </c>
      <c r="V207" t="s">
        <v>674</v>
      </c>
      <c r="W207">
        <v>0.16</v>
      </c>
    </row>
    <row r="208" spans="1:23">
      <c r="A208" t="str">
        <f>"000632"</f>
        <v>000632</v>
      </c>
      <c r="B208" t="s">
        <v>675</v>
      </c>
      <c r="C208">
        <v>5.55</v>
      </c>
      <c r="D208">
        <v>5.55</v>
      </c>
      <c r="E208">
        <v>5.4</v>
      </c>
      <c r="F208">
        <v>5.48</v>
      </c>
      <c r="G208">
        <v>107497</v>
      </c>
      <c r="H208">
        <v>58729836</v>
      </c>
      <c r="I208">
        <v>0.81</v>
      </c>
      <c r="J208" t="s">
        <v>26</v>
      </c>
      <c r="K208" t="s">
        <v>414</v>
      </c>
      <c r="L208">
        <v>-1.44</v>
      </c>
      <c r="M208">
        <v>5.46</v>
      </c>
      <c r="N208">
        <v>65623</v>
      </c>
      <c r="O208">
        <v>41873</v>
      </c>
      <c r="P208">
        <v>1.57</v>
      </c>
      <c r="Q208">
        <v>338</v>
      </c>
      <c r="R208">
        <v>2067</v>
      </c>
      <c r="S208" t="s">
        <v>3</v>
      </c>
      <c r="T208">
        <v>46505.91</v>
      </c>
      <c r="U208" t="s">
        <v>110</v>
      </c>
      <c r="V208" t="s">
        <v>676</v>
      </c>
      <c r="W208">
        <v>-1.28</v>
      </c>
    </row>
    <row r="209" spans="1:23">
      <c r="A209" t="str">
        <f>"000633"</f>
        <v>000633</v>
      </c>
      <c r="B209" t="s">
        <v>677</v>
      </c>
      <c r="C209">
        <v>7.08</v>
      </c>
      <c r="D209">
        <v>7.15</v>
      </c>
      <c r="E209">
        <v>6.99</v>
      </c>
      <c r="F209">
        <v>7.08</v>
      </c>
      <c r="G209">
        <v>33441</v>
      </c>
      <c r="H209">
        <v>23655812</v>
      </c>
      <c r="I209">
        <v>0.8</v>
      </c>
      <c r="J209" t="s">
        <v>26</v>
      </c>
      <c r="K209" t="s">
        <v>162</v>
      </c>
      <c r="L209">
        <v>0.43</v>
      </c>
      <c r="M209">
        <v>7.07</v>
      </c>
      <c r="N209">
        <v>17639</v>
      </c>
      <c r="O209">
        <v>15801</v>
      </c>
      <c r="P209">
        <v>1.1200000000000001</v>
      </c>
      <c r="Q209">
        <v>66</v>
      </c>
      <c r="R209">
        <v>302</v>
      </c>
      <c r="S209" t="s">
        <v>3</v>
      </c>
      <c r="T209">
        <v>38510.639999999999</v>
      </c>
      <c r="U209" t="s">
        <v>678</v>
      </c>
      <c r="V209" t="s">
        <v>678</v>
      </c>
      <c r="W209">
        <v>0.57999999999999996</v>
      </c>
    </row>
    <row r="210" spans="1:23">
      <c r="A210" t="str">
        <f>"000635"</f>
        <v>000635</v>
      </c>
      <c r="B210" t="s">
        <v>679</v>
      </c>
      <c r="C210">
        <v>10.28</v>
      </c>
      <c r="D210">
        <v>10.54</v>
      </c>
      <c r="E210">
        <v>10.210000000000001</v>
      </c>
      <c r="F210">
        <v>10.49</v>
      </c>
      <c r="G210">
        <v>72476</v>
      </c>
      <c r="H210">
        <v>75374920</v>
      </c>
      <c r="I210">
        <v>1.63</v>
      </c>
      <c r="J210" t="s">
        <v>376</v>
      </c>
      <c r="K210" t="s">
        <v>496</v>
      </c>
      <c r="L210">
        <v>2.04</v>
      </c>
      <c r="M210">
        <v>10.4</v>
      </c>
      <c r="N210">
        <v>27363</v>
      </c>
      <c r="O210">
        <v>45113</v>
      </c>
      <c r="P210">
        <v>0.61</v>
      </c>
      <c r="Q210">
        <v>284</v>
      </c>
      <c r="R210">
        <v>129</v>
      </c>
      <c r="S210" t="s">
        <v>3</v>
      </c>
      <c r="T210">
        <v>17706.099999999999</v>
      </c>
      <c r="U210" t="s">
        <v>680</v>
      </c>
      <c r="V210" t="s">
        <v>681</v>
      </c>
      <c r="W210">
        <v>2.2000000000000002</v>
      </c>
    </row>
    <row r="211" spans="1:23">
      <c r="A211" t="str">
        <f>"000636"</f>
        <v>000636</v>
      </c>
      <c r="B211" t="s">
        <v>682</v>
      </c>
      <c r="C211">
        <v>8.4499999999999993</v>
      </c>
      <c r="D211">
        <v>8.73</v>
      </c>
      <c r="E211">
        <v>8.41</v>
      </c>
      <c r="F211">
        <v>8.68</v>
      </c>
      <c r="G211">
        <v>116338</v>
      </c>
      <c r="H211">
        <v>99775992</v>
      </c>
      <c r="I211">
        <v>1.1200000000000001</v>
      </c>
      <c r="J211" t="s">
        <v>62</v>
      </c>
      <c r="K211" t="s">
        <v>211</v>
      </c>
      <c r="L211">
        <v>2.6</v>
      </c>
      <c r="M211">
        <v>8.58</v>
      </c>
      <c r="N211">
        <v>49291</v>
      </c>
      <c r="O211">
        <v>67047</v>
      </c>
      <c r="P211">
        <v>0.74</v>
      </c>
      <c r="Q211">
        <v>314</v>
      </c>
      <c r="R211">
        <v>833</v>
      </c>
      <c r="S211" t="s">
        <v>3</v>
      </c>
      <c r="T211">
        <v>67093.63</v>
      </c>
      <c r="U211" t="s">
        <v>683</v>
      </c>
      <c r="V211" t="s">
        <v>683</v>
      </c>
      <c r="W211">
        <v>2.76</v>
      </c>
    </row>
    <row r="212" spans="1:23">
      <c r="A212" t="str">
        <f>"000637"</f>
        <v>000637</v>
      </c>
      <c r="B212" t="s">
        <v>684</v>
      </c>
      <c r="C212">
        <v>6.08</v>
      </c>
      <c r="D212">
        <v>6.15</v>
      </c>
      <c r="E212">
        <v>5.98</v>
      </c>
      <c r="F212">
        <v>6.06</v>
      </c>
      <c r="G212">
        <v>140349</v>
      </c>
      <c r="H212">
        <v>84975648</v>
      </c>
      <c r="I212">
        <v>0.71</v>
      </c>
      <c r="J212" t="s">
        <v>161</v>
      </c>
      <c r="K212" t="s">
        <v>211</v>
      </c>
      <c r="L212">
        <v>-0.49</v>
      </c>
      <c r="M212">
        <v>6.05</v>
      </c>
      <c r="N212">
        <v>80974</v>
      </c>
      <c r="O212">
        <v>59375</v>
      </c>
      <c r="P212">
        <v>1.36</v>
      </c>
      <c r="Q212">
        <v>309</v>
      </c>
      <c r="R212">
        <v>824</v>
      </c>
      <c r="S212" t="s">
        <v>3</v>
      </c>
      <c r="T212">
        <v>36648.230000000003</v>
      </c>
      <c r="U212" t="s">
        <v>685</v>
      </c>
      <c r="V212" t="s">
        <v>433</v>
      </c>
      <c r="W212">
        <v>-0.33</v>
      </c>
    </row>
    <row r="213" spans="1:23">
      <c r="A213" t="str">
        <f>"000638"</f>
        <v>000638</v>
      </c>
      <c r="B213" t="s">
        <v>686</v>
      </c>
      <c r="C213">
        <v>5.8</v>
      </c>
      <c r="D213">
        <v>5.83</v>
      </c>
      <c r="E213">
        <v>5.7</v>
      </c>
      <c r="F213">
        <v>5.81</v>
      </c>
      <c r="G213">
        <v>66908</v>
      </c>
      <c r="H213">
        <v>38587248</v>
      </c>
      <c r="I213">
        <v>0.8</v>
      </c>
      <c r="J213" t="s">
        <v>564</v>
      </c>
      <c r="K213" t="s">
        <v>162</v>
      </c>
      <c r="L213">
        <v>-0.34</v>
      </c>
      <c r="M213">
        <v>5.77</v>
      </c>
      <c r="N213">
        <v>37129</v>
      </c>
      <c r="O213">
        <v>29778</v>
      </c>
      <c r="P213">
        <v>1.25</v>
      </c>
      <c r="Q213">
        <v>417</v>
      </c>
      <c r="R213">
        <v>751</v>
      </c>
      <c r="S213" t="s">
        <v>3</v>
      </c>
      <c r="T213">
        <v>30940</v>
      </c>
      <c r="U213" t="s">
        <v>687</v>
      </c>
      <c r="V213" t="s">
        <v>687</v>
      </c>
      <c r="W213">
        <v>-0.18</v>
      </c>
    </row>
    <row r="214" spans="1:23">
      <c r="A214" t="str">
        <f>"000639"</f>
        <v>000639</v>
      </c>
      <c r="B214" t="s">
        <v>688</v>
      </c>
      <c r="C214">
        <v>17.52</v>
      </c>
      <c r="D214">
        <v>18.13</v>
      </c>
      <c r="E214">
        <v>17.489999999999998</v>
      </c>
      <c r="F214">
        <v>17.920000000000002</v>
      </c>
      <c r="G214">
        <v>57122</v>
      </c>
      <c r="H214">
        <v>102457512</v>
      </c>
      <c r="I214">
        <v>1.69</v>
      </c>
      <c r="J214" t="s">
        <v>421</v>
      </c>
      <c r="K214" t="s">
        <v>250</v>
      </c>
      <c r="L214">
        <v>2.52</v>
      </c>
      <c r="M214">
        <v>17.940000000000001</v>
      </c>
      <c r="N214">
        <v>27069</v>
      </c>
      <c r="O214">
        <v>30053</v>
      </c>
      <c r="P214">
        <v>0.9</v>
      </c>
      <c r="Q214">
        <v>125</v>
      </c>
      <c r="R214">
        <v>167</v>
      </c>
      <c r="S214" t="s">
        <v>3</v>
      </c>
      <c r="T214">
        <v>18832.27</v>
      </c>
      <c r="U214" t="s">
        <v>575</v>
      </c>
      <c r="V214" t="s">
        <v>575</v>
      </c>
      <c r="W214">
        <v>2.68</v>
      </c>
    </row>
    <row r="215" spans="1:23">
      <c r="A215" t="str">
        <f>"000650"</f>
        <v>000650</v>
      </c>
      <c r="B215" t="s">
        <v>689</v>
      </c>
      <c r="C215">
        <v>5.47</v>
      </c>
      <c r="D215">
        <v>5.74</v>
      </c>
      <c r="E215">
        <v>5.4</v>
      </c>
      <c r="F215">
        <v>5.69</v>
      </c>
      <c r="G215">
        <v>365983</v>
      </c>
      <c r="H215">
        <v>205159152</v>
      </c>
      <c r="I215">
        <v>2.23</v>
      </c>
      <c r="J215" t="s">
        <v>321</v>
      </c>
      <c r="K215" t="s">
        <v>265</v>
      </c>
      <c r="L215">
        <v>4.4000000000000004</v>
      </c>
      <c r="M215">
        <v>5.61</v>
      </c>
      <c r="N215">
        <v>167058</v>
      </c>
      <c r="O215">
        <v>198924</v>
      </c>
      <c r="P215">
        <v>0.84</v>
      </c>
      <c r="Q215">
        <v>3120</v>
      </c>
      <c r="R215">
        <v>3896</v>
      </c>
      <c r="S215" t="s">
        <v>3</v>
      </c>
      <c r="T215">
        <v>99040.99</v>
      </c>
      <c r="U215" t="s">
        <v>690</v>
      </c>
      <c r="V215" t="s">
        <v>691</v>
      </c>
      <c r="W215">
        <v>4.5599999999999996</v>
      </c>
    </row>
    <row r="216" spans="1:23">
      <c r="A216" t="str">
        <f>"000651"</f>
        <v>000651</v>
      </c>
      <c r="B216" t="s">
        <v>692</v>
      </c>
      <c r="C216">
        <v>29.53</v>
      </c>
      <c r="D216">
        <v>29.95</v>
      </c>
      <c r="E216">
        <v>29.53</v>
      </c>
      <c r="F216">
        <v>29.91</v>
      </c>
      <c r="G216">
        <v>188578</v>
      </c>
      <c r="H216">
        <v>562667904</v>
      </c>
      <c r="I216">
        <v>0.94</v>
      </c>
      <c r="J216" t="s">
        <v>47</v>
      </c>
      <c r="K216" t="s">
        <v>211</v>
      </c>
      <c r="L216">
        <v>1.1200000000000001</v>
      </c>
      <c r="M216">
        <v>29.84</v>
      </c>
      <c r="N216">
        <v>83061</v>
      </c>
      <c r="O216">
        <v>105516</v>
      </c>
      <c r="P216">
        <v>0.79</v>
      </c>
      <c r="Q216">
        <v>38</v>
      </c>
      <c r="R216">
        <v>525</v>
      </c>
      <c r="S216" t="s">
        <v>3</v>
      </c>
      <c r="T216">
        <v>298621.15999999997</v>
      </c>
      <c r="U216" t="s">
        <v>693</v>
      </c>
      <c r="V216" t="s">
        <v>694</v>
      </c>
      <c r="W216">
        <v>1.27</v>
      </c>
    </row>
    <row r="217" spans="1:23">
      <c r="A217" t="str">
        <f>"000652"</f>
        <v>000652</v>
      </c>
      <c r="B217" t="s">
        <v>695</v>
      </c>
      <c r="C217">
        <v>4.4800000000000004</v>
      </c>
      <c r="D217">
        <v>4.66</v>
      </c>
      <c r="E217">
        <v>4.47</v>
      </c>
      <c r="F217">
        <v>4.63</v>
      </c>
      <c r="G217">
        <v>338945</v>
      </c>
      <c r="H217">
        <v>155178496</v>
      </c>
      <c r="I217">
        <v>1.08</v>
      </c>
      <c r="J217" t="s">
        <v>26</v>
      </c>
      <c r="K217" t="s">
        <v>442</v>
      </c>
      <c r="L217">
        <v>3.35</v>
      </c>
      <c r="M217">
        <v>4.58</v>
      </c>
      <c r="N217">
        <v>148583</v>
      </c>
      <c r="O217">
        <v>190361</v>
      </c>
      <c r="P217">
        <v>0.78</v>
      </c>
      <c r="Q217">
        <v>1559</v>
      </c>
      <c r="R217">
        <v>5468</v>
      </c>
      <c r="S217" t="s">
        <v>3</v>
      </c>
      <c r="T217">
        <v>146389.59</v>
      </c>
      <c r="U217" t="s">
        <v>696</v>
      </c>
      <c r="V217" t="s">
        <v>697</v>
      </c>
      <c r="W217">
        <v>3.51</v>
      </c>
    </row>
    <row r="218" spans="1:23">
      <c r="A218" t="str">
        <f>"000655"</f>
        <v>000655</v>
      </c>
      <c r="B218" t="s">
        <v>698</v>
      </c>
      <c r="C218">
        <v>7.92</v>
      </c>
      <c r="D218">
        <v>8.19</v>
      </c>
      <c r="E218">
        <v>7.86</v>
      </c>
      <c r="F218">
        <v>8.09</v>
      </c>
      <c r="G218">
        <v>131598</v>
      </c>
      <c r="H218">
        <v>105949216</v>
      </c>
      <c r="I218">
        <v>2.57</v>
      </c>
      <c r="J218" t="s">
        <v>279</v>
      </c>
      <c r="K218" t="s">
        <v>250</v>
      </c>
      <c r="L218">
        <v>2.15</v>
      </c>
      <c r="M218">
        <v>8.0500000000000007</v>
      </c>
      <c r="N218">
        <v>59088</v>
      </c>
      <c r="O218">
        <v>72509</v>
      </c>
      <c r="P218">
        <v>0.81</v>
      </c>
      <c r="Q218">
        <v>762</v>
      </c>
      <c r="R218">
        <v>2181</v>
      </c>
      <c r="S218" t="s">
        <v>3</v>
      </c>
      <c r="T218">
        <v>59534.01</v>
      </c>
      <c r="U218" t="s">
        <v>699</v>
      </c>
      <c r="V218" t="s">
        <v>699</v>
      </c>
      <c r="W218">
        <v>2.2999999999999998</v>
      </c>
    </row>
    <row r="219" spans="1:23">
      <c r="A219" t="str">
        <f>"000656"</f>
        <v>000656</v>
      </c>
      <c r="B219" t="s">
        <v>700</v>
      </c>
      <c r="C219">
        <v>9.67</v>
      </c>
      <c r="D219">
        <v>9.7799999999999994</v>
      </c>
      <c r="E219">
        <v>9.4499999999999993</v>
      </c>
      <c r="F219">
        <v>9.77</v>
      </c>
      <c r="G219">
        <v>85335</v>
      </c>
      <c r="H219">
        <v>81729992</v>
      </c>
      <c r="I219">
        <v>0.87</v>
      </c>
      <c r="J219" t="s">
        <v>15</v>
      </c>
      <c r="K219" t="s">
        <v>386</v>
      </c>
      <c r="L219">
        <v>1.35</v>
      </c>
      <c r="M219">
        <v>9.58</v>
      </c>
      <c r="N219">
        <v>39613</v>
      </c>
      <c r="O219">
        <v>45722</v>
      </c>
      <c r="P219">
        <v>0.87</v>
      </c>
      <c r="Q219">
        <v>637</v>
      </c>
      <c r="R219">
        <v>238</v>
      </c>
      <c r="S219" t="s">
        <v>3</v>
      </c>
      <c r="T219">
        <v>41724.92</v>
      </c>
      <c r="U219" t="s">
        <v>701</v>
      </c>
      <c r="V219" t="s">
        <v>702</v>
      </c>
      <c r="W219">
        <v>1.51</v>
      </c>
    </row>
    <row r="220" spans="1:23">
      <c r="A220" t="str">
        <f>"000657"</f>
        <v>000657</v>
      </c>
      <c r="B220" t="s">
        <v>703</v>
      </c>
      <c r="C220">
        <v>14.91</v>
      </c>
      <c r="D220">
        <v>14.97</v>
      </c>
      <c r="E220">
        <v>14.65</v>
      </c>
      <c r="F220">
        <v>14.71</v>
      </c>
      <c r="G220">
        <v>27552</v>
      </c>
      <c r="H220">
        <v>40644212</v>
      </c>
      <c r="I220">
        <v>0.87</v>
      </c>
      <c r="J220" t="s">
        <v>328</v>
      </c>
      <c r="K220" t="s">
        <v>356</v>
      </c>
      <c r="L220">
        <v>-0.74</v>
      </c>
      <c r="M220">
        <v>14.75</v>
      </c>
      <c r="N220">
        <v>18510</v>
      </c>
      <c r="O220">
        <v>9041</v>
      </c>
      <c r="P220">
        <v>2.0499999999999998</v>
      </c>
      <c r="Q220">
        <v>263</v>
      </c>
      <c r="R220">
        <v>6</v>
      </c>
      <c r="S220" t="s">
        <v>3</v>
      </c>
      <c r="T220">
        <v>14405.07</v>
      </c>
      <c r="U220" t="s">
        <v>704</v>
      </c>
      <c r="V220" t="s">
        <v>705</v>
      </c>
      <c r="W220">
        <v>-0.57999999999999996</v>
      </c>
    </row>
    <row r="221" spans="1:23">
      <c r="A221" t="str">
        <f>"000659"</f>
        <v>000659</v>
      </c>
      <c r="B221" t="s">
        <v>706</v>
      </c>
      <c r="C221">
        <v>3.23</v>
      </c>
      <c r="D221">
        <v>3.31</v>
      </c>
      <c r="E221">
        <v>3.2</v>
      </c>
      <c r="F221">
        <v>3.31</v>
      </c>
      <c r="G221">
        <v>203967</v>
      </c>
      <c r="H221">
        <v>66096184</v>
      </c>
      <c r="I221">
        <v>1.01</v>
      </c>
      <c r="J221" t="s">
        <v>707</v>
      </c>
      <c r="K221" t="s">
        <v>211</v>
      </c>
      <c r="L221">
        <v>2.48</v>
      </c>
      <c r="M221">
        <v>3.24</v>
      </c>
      <c r="N221">
        <v>104735</v>
      </c>
      <c r="O221">
        <v>99231</v>
      </c>
      <c r="P221">
        <v>1.06</v>
      </c>
      <c r="Q221">
        <v>2018</v>
      </c>
      <c r="R221">
        <v>6531</v>
      </c>
      <c r="S221" t="s">
        <v>3</v>
      </c>
      <c r="T221">
        <v>128570.25</v>
      </c>
      <c r="U221" t="s">
        <v>708</v>
      </c>
      <c r="V221" t="s">
        <v>708</v>
      </c>
      <c r="W221">
        <v>2.64</v>
      </c>
    </row>
    <row r="222" spans="1:23">
      <c r="A222" t="str">
        <f>"000661"</f>
        <v>000661</v>
      </c>
      <c r="B222" t="s">
        <v>709</v>
      </c>
      <c r="C222">
        <v>98.68</v>
      </c>
      <c r="D222">
        <v>99</v>
      </c>
      <c r="E222">
        <v>95.92</v>
      </c>
      <c r="F222">
        <v>97.38</v>
      </c>
      <c r="G222">
        <v>19451</v>
      </c>
      <c r="H222">
        <v>188377056</v>
      </c>
      <c r="I222">
        <v>1.23</v>
      </c>
      <c r="J222" t="s">
        <v>11</v>
      </c>
      <c r="K222" t="s">
        <v>99</v>
      </c>
      <c r="L222">
        <v>-1.43</v>
      </c>
      <c r="M222">
        <v>96.85</v>
      </c>
      <c r="N222">
        <v>10531</v>
      </c>
      <c r="O222">
        <v>8920</v>
      </c>
      <c r="P222">
        <v>1.18</v>
      </c>
      <c r="Q222">
        <v>40</v>
      </c>
      <c r="R222">
        <v>124</v>
      </c>
      <c r="S222" t="s">
        <v>3</v>
      </c>
      <c r="T222">
        <v>13132.37</v>
      </c>
      <c r="U222" t="s">
        <v>710</v>
      </c>
      <c r="V222" t="s">
        <v>711</v>
      </c>
      <c r="W222">
        <v>-1.27</v>
      </c>
    </row>
    <row r="223" spans="1:23">
      <c r="A223" t="str">
        <f>"000662"</f>
        <v>000662</v>
      </c>
      <c r="B223" t="s">
        <v>712</v>
      </c>
      <c r="C223" t="s">
        <v>3</v>
      </c>
      <c r="D223" t="s">
        <v>3</v>
      </c>
      <c r="E223" t="s">
        <v>3</v>
      </c>
      <c r="F223">
        <v>0</v>
      </c>
      <c r="G223">
        <v>0</v>
      </c>
      <c r="H223">
        <v>0</v>
      </c>
      <c r="I223">
        <v>0</v>
      </c>
      <c r="J223" t="s">
        <v>405</v>
      </c>
      <c r="K223" t="s">
        <v>417</v>
      </c>
      <c r="L223" t="s">
        <v>3</v>
      </c>
      <c r="M223">
        <v>6.28</v>
      </c>
      <c r="N223">
        <v>0</v>
      </c>
      <c r="O223">
        <v>0</v>
      </c>
      <c r="P223" t="s">
        <v>3</v>
      </c>
      <c r="Q223">
        <v>0</v>
      </c>
      <c r="R223">
        <v>0</v>
      </c>
      <c r="S223" t="s">
        <v>3</v>
      </c>
      <c r="T223">
        <v>28798.58</v>
      </c>
      <c r="U223" t="s">
        <v>713</v>
      </c>
      <c r="V223" t="s">
        <v>713</v>
      </c>
      <c r="W223">
        <v>0.16</v>
      </c>
    </row>
    <row r="224" spans="1:23">
      <c r="A224" t="str">
        <f>"000663"</f>
        <v>000663</v>
      </c>
      <c r="B224" t="s">
        <v>714</v>
      </c>
      <c r="C224">
        <v>12.2</v>
      </c>
      <c r="D224">
        <v>12.29</v>
      </c>
      <c r="E224">
        <v>11.96</v>
      </c>
      <c r="F224">
        <v>12.27</v>
      </c>
      <c r="G224">
        <v>55884</v>
      </c>
      <c r="H224">
        <v>67790872</v>
      </c>
      <c r="I224">
        <v>0.78</v>
      </c>
      <c r="J224" t="s">
        <v>577</v>
      </c>
      <c r="K224" t="s">
        <v>414</v>
      </c>
      <c r="L224">
        <v>0.25</v>
      </c>
      <c r="M224">
        <v>12.13</v>
      </c>
      <c r="N224">
        <v>27746</v>
      </c>
      <c r="O224">
        <v>28137</v>
      </c>
      <c r="P224">
        <v>0.99</v>
      </c>
      <c r="Q224">
        <v>811</v>
      </c>
      <c r="R224">
        <v>337</v>
      </c>
      <c r="S224" t="s">
        <v>3</v>
      </c>
      <c r="T224">
        <v>16691.849999999999</v>
      </c>
      <c r="U224" t="s">
        <v>715</v>
      </c>
      <c r="V224" t="s">
        <v>716</v>
      </c>
      <c r="W224">
        <v>0.4</v>
      </c>
    </row>
    <row r="225" spans="1:23">
      <c r="A225" t="str">
        <f>"000665"</f>
        <v>000665</v>
      </c>
      <c r="B225" t="s">
        <v>717</v>
      </c>
      <c r="C225">
        <v>13.38</v>
      </c>
      <c r="D225">
        <v>13.47</v>
      </c>
      <c r="E225">
        <v>13.26</v>
      </c>
      <c r="F225">
        <v>13.47</v>
      </c>
      <c r="G225">
        <v>41752</v>
      </c>
      <c r="H225">
        <v>55810088</v>
      </c>
      <c r="I225">
        <v>0.89</v>
      </c>
      <c r="J225" t="s">
        <v>228</v>
      </c>
      <c r="K225" t="s">
        <v>317</v>
      </c>
      <c r="L225">
        <v>0.9</v>
      </c>
      <c r="M225">
        <v>13.37</v>
      </c>
      <c r="N225">
        <v>19594</v>
      </c>
      <c r="O225">
        <v>22157</v>
      </c>
      <c r="P225">
        <v>0.88</v>
      </c>
      <c r="Q225">
        <v>280</v>
      </c>
      <c r="R225">
        <v>7</v>
      </c>
      <c r="S225" t="s">
        <v>3</v>
      </c>
      <c r="T225">
        <v>18995.71</v>
      </c>
      <c r="U225" t="s">
        <v>718</v>
      </c>
      <c r="V225" t="s">
        <v>719</v>
      </c>
      <c r="W225">
        <v>1.06</v>
      </c>
    </row>
    <row r="226" spans="1:23">
      <c r="A226" t="str">
        <f>"000666"</f>
        <v>000666</v>
      </c>
      <c r="B226" t="s">
        <v>720</v>
      </c>
      <c r="C226">
        <v>13.05</v>
      </c>
      <c r="D226">
        <v>13.06</v>
      </c>
      <c r="E226">
        <v>12.55</v>
      </c>
      <c r="F226">
        <v>12.83</v>
      </c>
      <c r="G226">
        <v>113225</v>
      </c>
      <c r="H226">
        <v>144323136</v>
      </c>
      <c r="I226">
        <v>1.1299999999999999</v>
      </c>
      <c r="J226" t="s">
        <v>721</v>
      </c>
      <c r="K226" t="s">
        <v>34</v>
      </c>
      <c r="L226">
        <v>-0.7</v>
      </c>
      <c r="M226">
        <v>12.75</v>
      </c>
      <c r="N226">
        <v>67450</v>
      </c>
      <c r="O226">
        <v>45775</v>
      </c>
      <c r="P226">
        <v>1.47</v>
      </c>
      <c r="Q226">
        <v>141</v>
      </c>
      <c r="R226">
        <v>522</v>
      </c>
      <c r="S226" t="s">
        <v>3</v>
      </c>
      <c r="T226">
        <v>29345.88</v>
      </c>
      <c r="U226" t="s">
        <v>722</v>
      </c>
      <c r="V226" t="s">
        <v>723</v>
      </c>
      <c r="W226">
        <v>-0.54</v>
      </c>
    </row>
    <row r="227" spans="1:23">
      <c r="A227" t="str">
        <f>"000667"</f>
        <v>000667</v>
      </c>
      <c r="B227" t="s">
        <v>724</v>
      </c>
      <c r="C227">
        <v>2.08</v>
      </c>
      <c r="D227">
        <v>2.11</v>
      </c>
      <c r="E227">
        <v>2.0699999999999998</v>
      </c>
      <c r="F227">
        <v>2.1</v>
      </c>
      <c r="G227">
        <v>461300</v>
      </c>
      <c r="H227">
        <v>96530008</v>
      </c>
      <c r="I227">
        <v>1.24</v>
      </c>
      <c r="J227" t="s">
        <v>7</v>
      </c>
      <c r="K227" t="s">
        <v>445</v>
      </c>
      <c r="L227">
        <v>0.96</v>
      </c>
      <c r="M227">
        <v>2.09</v>
      </c>
      <c r="N227">
        <v>172413</v>
      </c>
      <c r="O227">
        <v>288887</v>
      </c>
      <c r="P227">
        <v>0.6</v>
      </c>
      <c r="Q227">
        <v>20123</v>
      </c>
      <c r="R227">
        <v>39700</v>
      </c>
      <c r="S227" t="s">
        <v>3</v>
      </c>
      <c r="T227">
        <v>255959.23</v>
      </c>
      <c r="U227" t="s">
        <v>725</v>
      </c>
      <c r="V227" t="s">
        <v>725</v>
      </c>
      <c r="W227">
        <v>1.1200000000000001</v>
      </c>
    </row>
    <row r="228" spans="1:23">
      <c r="A228" t="str">
        <f>"000668"</f>
        <v>000668</v>
      </c>
      <c r="B228" t="s">
        <v>726</v>
      </c>
      <c r="C228">
        <v>12.53</v>
      </c>
      <c r="D228">
        <v>12.65</v>
      </c>
      <c r="E228">
        <v>12.35</v>
      </c>
      <c r="F228">
        <v>12.55</v>
      </c>
      <c r="G228">
        <v>16741</v>
      </c>
      <c r="H228">
        <v>20954770</v>
      </c>
      <c r="I228">
        <v>0.98</v>
      </c>
      <c r="J228" t="s">
        <v>15</v>
      </c>
      <c r="K228" t="s">
        <v>727</v>
      </c>
      <c r="L228">
        <v>0.16</v>
      </c>
      <c r="M228">
        <v>12.52</v>
      </c>
      <c r="N228">
        <v>11140</v>
      </c>
      <c r="O228">
        <v>5601</v>
      </c>
      <c r="P228">
        <v>1.99</v>
      </c>
      <c r="Q228">
        <v>20</v>
      </c>
      <c r="R228">
        <v>51</v>
      </c>
      <c r="S228" t="s">
        <v>3</v>
      </c>
      <c r="T228">
        <v>14668.41</v>
      </c>
      <c r="U228" t="s">
        <v>665</v>
      </c>
      <c r="V228" t="s">
        <v>728</v>
      </c>
      <c r="W228">
        <v>0.32</v>
      </c>
    </row>
    <row r="229" spans="1:23">
      <c r="A229" t="str">
        <f>"000669"</f>
        <v>000669</v>
      </c>
      <c r="B229" t="s">
        <v>729</v>
      </c>
      <c r="C229">
        <v>20.58</v>
      </c>
      <c r="D229">
        <v>20.68</v>
      </c>
      <c r="E229">
        <v>20.3</v>
      </c>
      <c r="F229">
        <v>20.48</v>
      </c>
      <c r="G229">
        <v>21923</v>
      </c>
      <c r="H229">
        <v>44695088</v>
      </c>
      <c r="I229">
        <v>0.57999999999999996</v>
      </c>
      <c r="J229" t="s">
        <v>581</v>
      </c>
      <c r="K229" t="s">
        <v>99</v>
      </c>
      <c r="L229">
        <v>-0.39</v>
      </c>
      <c r="M229">
        <v>20.39</v>
      </c>
      <c r="N229">
        <v>11910</v>
      </c>
      <c r="O229">
        <v>10012</v>
      </c>
      <c r="P229">
        <v>1.19</v>
      </c>
      <c r="Q229">
        <v>197</v>
      </c>
      <c r="R229">
        <v>8</v>
      </c>
      <c r="S229" t="s">
        <v>3</v>
      </c>
      <c r="T229">
        <v>22855.91</v>
      </c>
      <c r="U229" t="s">
        <v>730</v>
      </c>
      <c r="V229" t="s">
        <v>731</v>
      </c>
      <c r="W229">
        <v>-0.23</v>
      </c>
    </row>
    <row r="230" spans="1:23">
      <c r="A230" t="str">
        <f>"000670"</f>
        <v>000670</v>
      </c>
      <c r="B230" t="s">
        <v>732</v>
      </c>
      <c r="C230">
        <v>12.25</v>
      </c>
      <c r="D230">
        <v>12.36</v>
      </c>
      <c r="E230">
        <v>12.07</v>
      </c>
      <c r="F230">
        <v>12.18</v>
      </c>
      <c r="G230">
        <v>303962</v>
      </c>
      <c r="H230">
        <v>371097248</v>
      </c>
      <c r="I230">
        <v>0.56999999999999995</v>
      </c>
      <c r="J230" t="s">
        <v>62</v>
      </c>
      <c r="K230" t="s">
        <v>317</v>
      </c>
      <c r="L230">
        <v>-1.77</v>
      </c>
      <c r="M230">
        <v>12.21</v>
      </c>
      <c r="N230">
        <v>176763</v>
      </c>
      <c r="O230">
        <v>127199</v>
      </c>
      <c r="P230">
        <v>1.39</v>
      </c>
      <c r="Q230">
        <v>3490</v>
      </c>
      <c r="R230">
        <v>582</v>
      </c>
      <c r="S230" t="s">
        <v>3</v>
      </c>
      <c r="T230">
        <v>46400.639999999999</v>
      </c>
      <c r="U230" t="s">
        <v>733</v>
      </c>
      <c r="V230" t="s">
        <v>734</v>
      </c>
      <c r="W230">
        <v>-1.62</v>
      </c>
    </row>
    <row r="231" spans="1:23">
      <c r="A231" t="str">
        <f>"000671"</f>
        <v>000671</v>
      </c>
      <c r="B231" t="s">
        <v>735</v>
      </c>
      <c r="C231">
        <v>12.74</v>
      </c>
      <c r="D231">
        <v>12.84</v>
      </c>
      <c r="E231">
        <v>12.41</v>
      </c>
      <c r="F231">
        <v>12.64</v>
      </c>
      <c r="G231">
        <v>28542</v>
      </c>
      <c r="H231">
        <v>35827064</v>
      </c>
      <c r="I231">
        <v>0.37</v>
      </c>
      <c r="J231" t="s">
        <v>15</v>
      </c>
      <c r="K231" t="s">
        <v>414</v>
      </c>
      <c r="L231">
        <v>-0.63</v>
      </c>
      <c r="M231">
        <v>12.55</v>
      </c>
      <c r="N231">
        <v>20077</v>
      </c>
      <c r="O231">
        <v>8465</v>
      </c>
      <c r="P231">
        <v>2.37</v>
      </c>
      <c r="Q231">
        <v>62</v>
      </c>
      <c r="R231">
        <v>113</v>
      </c>
      <c r="S231" t="s">
        <v>3</v>
      </c>
      <c r="T231">
        <v>102512.21</v>
      </c>
      <c r="U231" t="s">
        <v>736</v>
      </c>
      <c r="V231" t="s">
        <v>737</v>
      </c>
      <c r="W231">
        <v>-0.47</v>
      </c>
    </row>
    <row r="232" spans="1:23">
      <c r="A232" t="str">
        <f>"000672"</f>
        <v>000672</v>
      </c>
      <c r="B232" t="s">
        <v>738</v>
      </c>
      <c r="C232">
        <v>6.11</v>
      </c>
      <c r="D232">
        <v>6.16</v>
      </c>
      <c r="E232">
        <v>6.11</v>
      </c>
      <c r="F232">
        <v>6.12</v>
      </c>
      <c r="G232">
        <v>42586</v>
      </c>
      <c r="H232">
        <v>26085822</v>
      </c>
      <c r="I232">
        <v>1.07</v>
      </c>
      <c r="J232" t="s">
        <v>258</v>
      </c>
      <c r="K232" t="s">
        <v>483</v>
      </c>
      <c r="L232">
        <v>0.16</v>
      </c>
      <c r="M232">
        <v>6.13</v>
      </c>
      <c r="N232">
        <v>19285</v>
      </c>
      <c r="O232">
        <v>23301</v>
      </c>
      <c r="P232">
        <v>0.83</v>
      </c>
      <c r="Q232">
        <v>665</v>
      </c>
      <c r="R232">
        <v>1027</v>
      </c>
      <c r="S232" t="s">
        <v>3</v>
      </c>
      <c r="T232">
        <v>21069.01</v>
      </c>
      <c r="U232" t="s">
        <v>739</v>
      </c>
      <c r="V232" t="s">
        <v>740</v>
      </c>
      <c r="W232">
        <v>0.32</v>
      </c>
    </row>
    <row r="233" spans="1:23">
      <c r="A233" t="str">
        <f>"000673"</f>
        <v>000673</v>
      </c>
      <c r="B233" t="s">
        <v>741</v>
      </c>
      <c r="C233">
        <v>19.03</v>
      </c>
      <c r="D233">
        <v>19.2</v>
      </c>
      <c r="E233">
        <v>18.68</v>
      </c>
      <c r="F233">
        <v>18.97</v>
      </c>
      <c r="G233">
        <v>36376</v>
      </c>
      <c r="H233">
        <v>69126440</v>
      </c>
      <c r="I233">
        <v>0.44</v>
      </c>
      <c r="J233" t="s">
        <v>707</v>
      </c>
      <c r="K233" t="s">
        <v>742</v>
      </c>
      <c r="L233">
        <v>-0.26</v>
      </c>
      <c r="M233">
        <v>19</v>
      </c>
      <c r="N233">
        <v>17489</v>
      </c>
      <c r="O233">
        <v>18886</v>
      </c>
      <c r="P233">
        <v>0.93</v>
      </c>
      <c r="Q233">
        <v>235</v>
      </c>
      <c r="R233">
        <v>109</v>
      </c>
      <c r="S233" t="s">
        <v>3</v>
      </c>
      <c r="T233">
        <v>20808</v>
      </c>
      <c r="U233" t="s">
        <v>743</v>
      </c>
      <c r="V233" t="s">
        <v>743</v>
      </c>
      <c r="W233">
        <v>-0.1</v>
      </c>
    </row>
    <row r="234" spans="1:23">
      <c r="A234" t="str">
        <f>"000676"</f>
        <v>000676</v>
      </c>
      <c r="B234" t="s">
        <v>744</v>
      </c>
      <c r="C234">
        <v>6.3</v>
      </c>
      <c r="D234">
        <v>6.32</v>
      </c>
      <c r="E234">
        <v>6.13</v>
      </c>
      <c r="F234">
        <v>6.23</v>
      </c>
      <c r="G234">
        <v>36527</v>
      </c>
      <c r="H234">
        <v>22678990</v>
      </c>
      <c r="I234">
        <v>0.82</v>
      </c>
      <c r="J234" t="s">
        <v>617</v>
      </c>
      <c r="K234" t="s">
        <v>254</v>
      </c>
      <c r="L234">
        <v>-0.64</v>
      </c>
      <c r="M234">
        <v>6.21</v>
      </c>
      <c r="N234">
        <v>20985</v>
      </c>
      <c r="O234">
        <v>15541</v>
      </c>
      <c r="P234">
        <v>1.35</v>
      </c>
      <c r="Q234">
        <v>201</v>
      </c>
      <c r="R234">
        <v>639</v>
      </c>
      <c r="S234" t="s">
        <v>3</v>
      </c>
      <c r="T234">
        <v>31400.86</v>
      </c>
      <c r="U234" t="s">
        <v>745</v>
      </c>
      <c r="V234" t="s">
        <v>746</v>
      </c>
      <c r="W234">
        <v>-0.48</v>
      </c>
    </row>
    <row r="235" spans="1:23">
      <c r="A235" t="str">
        <f>"000677"</f>
        <v>000677</v>
      </c>
      <c r="B235" t="s">
        <v>747</v>
      </c>
      <c r="C235">
        <v>3.97</v>
      </c>
      <c r="D235">
        <v>4.09</v>
      </c>
      <c r="E235">
        <v>3.75</v>
      </c>
      <c r="F235">
        <v>4.09</v>
      </c>
      <c r="G235">
        <v>1018385</v>
      </c>
      <c r="H235">
        <v>396935552</v>
      </c>
      <c r="I235">
        <v>4.6100000000000003</v>
      </c>
      <c r="J235" t="s">
        <v>310</v>
      </c>
      <c r="K235" t="s">
        <v>250</v>
      </c>
      <c r="L235">
        <v>9.9499999999999993</v>
      </c>
      <c r="M235">
        <v>3.9</v>
      </c>
      <c r="N235">
        <v>448252</v>
      </c>
      <c r="O235">
        <v>570133</v>
      </c>
      <c r="P235">
        <v>0.79</v>
      </c>
      <c r="Q235">
        <v>3711</v>
      </c>
      <c r="R235">
        <v>2666</v>
      </c>
      <c r="S235" t="s">
        <v>3</v>
      </c>
      <c r="T235">
        <v>86394.82</v>
      </c>
      <c r="U235" t="s">
        <v>748</v>
      </c>
      <c r="V235" t="s">
        <v>748</v>
      </c>
      <c r="W235">
        <v>10.1</v>
      </c>
    </row>
    <row r="236" spans="1:23">
      <c r="A236" t="str">
        <f>"000678"</f>
        <v>000678</v>
      </c>
      <c r="B236" t="s">
        <v>749</v>
      </c>
      <c r="C236">
        <v>5.87</v>
      </c>
      <c r="D236">
        <v>5.97</v>
      </c>
      <c r="E236">
        <v>5.74</v>
      </c>
      <c r="F236">
        <v>5.93</v>
      </c>
      <c r="G236">
        <v>88653</v>
      </c>
      <c r="H236">
        <v>52058116</v>
      </c>
      <c r="I236">
        <v>1.27</v>
      </c>
      <c r="J236" t="s">
        <v>398</v>
      </c>
      <c r="K236" t="s">
        <v>317</v>
      </c>
      <c r="L236">
        <v>0.85</v>
      </c>
      <c r="M236">
        <v>5.87</v>
      </c>
      <c r="N236">
        <v>41483</v>
      </c>
      <c r="O236">
        <v>47169</v>
      </c>
      <c r="P236">
        <v>0.88</v>
      </c>
      <c r="Q236">
        <v>527</v>
      </c>
      <c r="R236">
        <v>2158</v>
      </c>
      <c r="S236" t="s">
        <v>3</v>
      </c>
      <c r="T236">
        <v>30107.63</v>
      </c>
      <c r="U236" t="s">
        <v>750</v>
      </c>
      <c r="V236" t="s">
        <v>751</v>
      </c>
      <c r="W236">
        <v>1.01</v>
      </c>
    </row>
    <row r="237" spans="1:23">
      <c r="A237" t="str">
        <f>"000679"</f>
        <v>000679</v>
      </c>
      <c r="B237" t="s">
        <v>752</v>
      </c>
      <c r="C237">
        <v>7.13</v>
      </c>
      <c r="D237">
        <v>7.32</v>
      </c>
      <c r="E237">
        <v>6.95</v>
      </c>
      <c r="F237">
        <v>7.12</v>
      </c>
      <c r="G237">
        <v>186955</v>
      </c>
      <c r="H237">
        <v>133343456</v>
      </c>
      <c r="I237">
        <v>0.57999999999999996</v>
      </c>
      <c r="J237" t="s">
        <v>297</v>
      </c>
      <c r="K237" t="s">
        <v>162</v>
      </c>
      <c r="L237">
        <v>-0.28000000000000003</v>
      </c>
      <c r="M237">
        <v>7.13</v>
      </c>
      <c r="N237">
        <v>104734</v>
      </c>
      <c r="O237">
        <v>82220</v>
      </c>
      <c r="P237">
        <v>1.27</v>
      </c>
      <c r="Q237">
        <v>964</v>
      </c>
      <c r="R237">
        <v>445</v>
      </c>
      <c r="S237" t="s">
        <v>3</v>
      </c>
      <c r="T237">
        <v>35634.230000000003</v>
      </c>
      <c r="U237" t="s">
        <v>45</v>
      </c>
      <c r="V237" t="s">
        <v>753</v>
      </c>
      <c r="W237">
        <v>-0.12</v>
      </c>
    </row>
    <row r="238" spans="1:23">
      <c r="A238" t="str">
        <f>"000680"</f>
        <v>000680</v>
      </c>
      <c r="B238" t="s">
        <v>754</v>
      </c>
      <c r="C238">
        <v>3.47</v>
      </c>
      <c r="D238">
        <v>3.67</v>
      </c>
      <c r="E238">
        <v>3.45</v>
      </c>
      <c r="F238">
        <v>3.6</v>
      </c>
      <c r="G238">
        <v>575955</v>
      </c>
      <c r="H238">
        <v>205699392</v>
      </c>
      <c r="I238">
        <v>2.71</v>
      </c>
      <c r="J238" t="s">
        <v>233</v>
      </c>
      <c r="K238" t="s">
        <v>250</v>
      </c>
      <c r="L238">
        <v>3.75</v>
      </c>
      <c r="M238">
        <v>3.57</v>
      </c>
      <c r="N238">
        <v>254962</v>
      </c>
      <c r="O238">
        <v>320992</v>
      </c>
      <c r="P238">
        <v>0.79</v>
      </c>
      <c r="Q238">
        <v>1945</v>
      </c>
      <c r="R238">
        <v>2187</v>
      </c>
      <c r="S238" t="s">
        <v>3</v>
      </c>
      <c r="T238">
        <v>95481.35</v>
      </c>
      <c r="U238" t="s">
        <v>755</v>
      </c>
      <c r="V238" t="s">
        <v>756</v>
      </c>
      <c r="W238">
        <v>3.9</v>
      </c>
    </row>
    <row r="239" spans="1:23">
      <c r="A239" t="str">
        <f>"000681"</f>
        <v>000681</v>
      </c>
      <c r="B239" t="s">
        <v>757</v>
      </c>
      <c r="C239">
        <v>24.89</v>
      </c>
      <c r="D239">
        <v>25.6</v>
      </c>
      <c r="E239">
        <v>24.5</v>
      </c>
      <c r="F239">
        <v>25.58</v>
      </c>
      <c r="G239">
        <v>77109</v>
      </c>
      <c r="H239">
        <v>193049616</v>
      </c>
      <c r="I239">
        <v>0.8</v>
      </c>
      <c r="J239" t="s">
        <v>758</v>
      </c>
      <c r="K239" t="s">
        <v>244</v>
      </c>
      <c r="L239">
        <v>2.77</v>
      </c>
      <c r="M239">
        <v>25.04</v>
      </c>
      <c r="N239">
        <v>32750</v>
      </c>
      <c r="O239">
        <v>44359</v>
      </c>
      <c r="P239">
        <v>0.74</v>
      </c>
      <c r="Q239">
        <v>174</v>
      </c>
      <c r="R239">
        <v>136</v>
      </c>
      <c r="S239" t="s">
        <v>3</v>
      </c>
      <c r="T239">
        <v>14171.84</v>
      </c>
      <c r="U239" t="s">
        <v>759</v>
      </c>
      <c r="V239" t="s">
        <v>760</v>
      </c>
      <c r="W239">
        <v>2.93</v>
      </c>
    </row>
    <row r="240" spans="1:23">
      <c r="A240" t="str">
        <f>"000682"</f>
        <v>000682</v>
      </c>
      <c r="B240" t="s">
        <v>761</v>
      </c>
      <c r="C240">
        <v>3.92</v>
      </c>
      <c r="D240">
        <v>4.3</v>
      </c>
      <c r="E240">
        <v>3.85</v>
      </c>
      <c r="F240">
        <v>4.1900000000000004</v>
      </c>
      <c r="G240">
        <v>569609</v>
      </c>
      <c r="H240">
        <v>233546176</v>
      </c>
      <c r="I240">
        <v>3.6</v>
      </c>
      <c r="J240" t="s">
        <v>145</v>
      </c>
      <c r="K240" t="s">
        <v>250</v>
      </c>
      <c r="L240">
        <v>6.89</v>
      </c>
      <c r="M240">
        <v>4.0999999999999996</v>
      </c>
      <c r="N240">
        <v>252078</v>
      </c>
      <c r="O240">
        <v>317531</v>
      </c>
      <c r="P240">
        <v>0.79</v>
      </c>
      <c r="Q240">
        <v>878</v>
      </c>
      <c r="R240">
        <v>5550</v>
      </c>
      <c r="S240" t="s">
        <v>3</v>
      </c>
      <c r="T240">
        <v>97800.45</v>
      </c>
      <c r="U240" t="s">
        <v>762</v>
      </c>
      <c r="V240" t="s">
        <v>763</v>
      </c>
      <c r="W240">
        <v>7.05</v>
      </c>
    </row>
    <row r="241" spans="1:23">
      <c r="A241" t="str">
        <f>"000683"</f>
        <v>000683</v>
      </c>
      <c r="B241" t="s">
        <v>764</v>
      </c>
      <c r="C241">
        <v>4.3</v>
      </c>
      <c r="D241">
        <v>4.33</v>
      </c>
      <c r="E241">
        <v>4.26</v>
      </c>
      <c r="F241">
        <v>4.32</v>
      </c>
      <c r="G241">
        <v>129684</v>
      </c>
      <c r="H241">
        <v>55716644</v>
      </c>
      <c r="I241">
        <v>0.95</v>
      </c>
      <c r="J241" t="s">
        <v>376</v>
      </c>
      <c r="K241" t="s">
        <v>329</v>
      </c>
      <c r="L241">
        <v>0.47</v>
      </c>
      <c r="M241">
        <v>4.3</v>
      </c>
      <c r="N241">
        <v>69671</v>
      </c>
      <c r="O241">
        <v>60013</v>
      </c>
      <c r="P241">
        <v>1.1599999999999999</v>
      </c>
      <c r="Q241">
        <v>3856</v>
      </c>
      <c r="R241">
        <v>3766</v>
      </c>
      <c r="S241" t="s">
        <v>3</v>
      </c>
      <c r="T241">
        <v>76781.39</v>
      </c>
      <c r="U241" t="s">
        <v>765</v>
      </c>
      <c r="V241" t="s">
        <v>766</v>
      </c>
      <c r="W241">
        <v>0.62</v>
      </c>
    </row>
    <row r="242" spans="1:23">
      <c r="A242" t="str">
        <f>"000685"</f>
        <v>000685</v>
      </c>
      <c r="B242" t="s">
        <v>767</v>
      </c>
      <c r="C242">
        <v>12.88</v>
      </c>
      <c r="D242">
        <v>13.04</v>
      </c>
      <c r="E242">
        <v>12.58</v>
      </c>
      <c r="F242">
        <v>12.94</v>
      </c>
      <c r="G242">
        <v>72774</v>
      </c>
      <c r="H242">
        <v>93144328</v>
      </c>
      <c r="I242">
        <v>1.05</v>
      </c>
      <c r="J242" t="s">
        <v>609</v>
      </c>
      <c r="K242" t="s">
        <v>211</v>
      </c>
      <c r="L242">
        <v>0.7</v>
      </c>
      <c r="M242">
        <v>12.8</v>
      </c>
      <c r="N242">
        <v>37724</v>
      </c>
      <c r="O242">
        <v>35049</v>
      </c>
      <c r="P242">
        <v>1.08</v>
      </c>
      <c r="Q242">
        <v>725</v>
      </c>
      <c r="R242">
        <v>314</v>
      </c>
      <c r="S242" t="s">
        <v>3</v>
      </c>
      <c r="T242">
        <v>65474.48</v>
      </c>
      <c r="U242" t="s">
        <v>768</v>
      </c>
      <c r="V242" t="s">
        <v>769</v>
      </c>
      <c r="W242">
        <v>0.86</v>
      </c>
    </row>
    <row r="243" spans="1:23">
      <c r="A243" t="str">
        <f>"000686"</f>
        <v>000686</v>
      </c>
      <c r="B243" t="s">
        <v>770</v>
      </c>
      <c r="C243">
        <v>9.01</v>
      </c>
      <c r="D243">
        <v>9.0399999999999991</v>
      </c>
      <c r="E243">
        <v>8.82</v>
      </c>
      <c r="F243">
        <v>8.84</v>
      </c>
      <c r="G243">
        <v>402841</v>
      </c>
      <c r="H243">
        <v>357679200</v>
      </c>
      <c r="I243">
        <v>0.74</v>
      </c>
      <c r="J243" t="s">
        <v>512</v>
      </c>
      <c r="K243" t="s">
        <v>99</v>
      </c>
      <c r="L243">
        <v>-1.34</v>
      </c>
      <c r="M243">
        <v>8.8800000000000008</v>
      </c>
      <c r="N243">
        <v>230035</v>
      </c>
      <c r="O243">
        <v>172805</v>
      </c>
      <c r="P243">
        <v>1.33</v>
      </c>
      <c r="Q243">
        <v>6405</v>
      </c>
      <c r="R243">
        <v>1123</v>
      </c>
      <c r="S243" t="s">
        <v>3</v>
      </c>
      <c r="T243">
        <v>168948.16</v>
      </c>
      <c r="U243" t="s">
        <v>771</v>
      </c>
      <c r="V243" t="s">
        <v>772</v>
      </c>
      <c r="W243">
        <v>-1.18</v>
      </c>
    </row>
    <row r="244" spans="1:23">
      <c r="A244" t="str">
        <f>"000687"</f>
        <v>000687</v>
      </c>
      <c r="B244" t="s">
        <v>773</v>
      </c>
      <c r="C244" t="s">
        <v>3</v>
      </c>
      <c r="D244" t="s">
        <v>3</v>
      </c>
      <c r="E244" t="s">
        <v>3</v>
      </c>
      <c r="F244">
        <v>0</v>
      </c>
      <c r="G244">
        <v>0</v>
      </c>
      <c r="H244">
        <v>0</v>
      </c>
      <c r="I244">
        <v>0</v>
      </c>
      <c r="J244" t="s">
        <v>310</v>
      </c>
      <c r="K244" t="s">
        <v>238</v>
      </c>
      <c r="L244" t="s">
        <v>3</v>
      </c>
      <c r="M244">
        <v>5.4</v>
      </c>
      <c r="N244">
        <v>0</v>
      </c>
      <c r="O244">
        <v>0</v>
      </c>
      <c r="P244" t="s">
        <v>3</v>
      </c>
      <c r="Q244">
        <v>0</v>
      </c>
      <c r="R244">
        <v>0</v>
      </c>
      <c r="S244" t="s">
        <v>3</v>
      </c>
      <c r="T244">
        <v>70179.31</v>
      </c>
      <c r="U244" t="s">
        <v>774</v>
      </c>
      <c r="V244" t="s">
        <v>775</v>
      </c>
      <c r="W244">
        <v>0.16</v>
      </c>
    </row>
    <row r="245" spans="1:23">
      <c r="A245" t="str">
        <f>"000688"</f>
        <v>000688</v>
      </c>
      <c r="B245" t="s">
        <v>776</v>
      </c>
      <c r="C245">
        <v>6.9</v>
      </c>
      <c r="D245">
        <v>6.9</v>
      </c>
      <c r="E245">
        <v>6.77</v>
      </c>
      <c r="F245">
        <v>6.84</v>
      </c>
      <c r="G245">
        <v>89954</v>
      </c>
      <c r="H245">
        <v>61437340</v>
      </c>
      <c r="I245">
        <v>1.1499999999999999</v>
      </c>
      <c r="J245" t="s">
        <v>165</v>
      </c>
      <c r="K245" t="s">
        <v>386</v>
      </c>
      <c r="L245">
        <v>-1.44</v>
      </c>
      <c r="M245">
        <v>6.83</v>
      </c>
      <c r="N245">
        <v>52976</v>
      </c>
      <c r="O245">
        <v>36978</v>
      </c>
      <c r="P245">
        <v>1.43</v>
      </c>
      <c r="Q245">
        <v>840</v>
      </c>
      <c r="R245">
        <v>235</v>
      </c>
      <c r="S245" t="s">
        <v>3</v>
      </c>
      <c r="T245">
        <v>29609.439999999999</v>
      </c>
      <c r="U245" t="s">
        <v>777</v>
      </c>
      <c r="V245" t="s">
        <v>778</v>
      </c>
      <c r="W245">
        <v>-1.28</v>
      </c>
    </row>
    <row r="246" spans="1:23">
      <c r="A246" t="str">
        <f>"000690"</f>
        <v>000690</v>
      </c>
      <c r="B246" t="s">
        <v>779</v>
      </c>
      <c r="C246">
        <v>4.58</v>
      </c>
      <c r="D246">
        <v>4.72</v>
      </c>
      <c r="E246">
        <v>4.5599999999999996</v>
      </c>
      <c r="F246">
        <v>4.68</v>
      </c>
      <c r="G246">
        <v>363972</v>
      </c>
      <c r="H246">
        <v>168932880</v>
      </c>
      <c r="I246">
        <v>2.0299999999999998</v>
      </c>
      <c r="J246" t="s">
        <v>87</v>
      </c>
      <c r="K246" t="s">
        <v>211</v>
      </c>
      <c r="L246">
        <v>2.1800000000000002</v>
      </c>
      <c r="M246">
        <v>4.6399999999999997</v>
      </c>
      <c r="N246">
        <v>132647</v>
      </c>
      <c r="O246">
        <v>231324</v>
      </c>
      <c r="P246">
        <v>0.56999999999999995</v>
      </c>
      <c r="Q246">
        <v>2061</v>
      </c>
      <c r="R246">
        <v>6157</v>
      </c>
      <c r="S246" t="s">
        <v>3</v>
      </c>
      <c r="T246">
        <v>171265.66</v>
      </c>
      <c r="U246" t="s">
        <v>780</v>
      </c>
      <c r="V246" t="s">
        <v>781</v>
      </c>
      <c r="W246">
        <v>2.34</v>
      </c>
    </row>
    <row r="247" spans="1:23">
      <c r="A247" t="str">
        <f>"000691"</f>
        <v>000691</v>
      </c>
      <c r="B247" t="s">
        <v>782</v>
      </c>
      <c r="C247">
        <v>6.57</v>
      </c>
      <c r="D247">
        <v>6.67</v>
      </c>
      <c r="E247">
        <v>6.54</v>
      </c>
      <c r="F247">
        <v>6.6</v>
      </c>
      <c r="G247">
        <v>88194</v>
      </c>
      <c r="H247">
        <v>58290108</v>
      </c>
      <c r="I247">
        <v>0.86</v>
      </c>
      <c r="J247" t="s">
        <v>15</v>
      </c>
      <c r="K247" t="s">
        <v>356</v>
      </c>
      <c r="L247">
        <v>0.15</v>
      </c>
      <c r="M247">
        <v>6.61</v>
      </c>
      <c r="N247">
        <v>45703</v>
      </c>
      <c r="O247">
        <v>42491</v>
      </c>
      <c r="P247">
        <v>1.08</v>
      </c>
      <c r="Q247">
        <v>176</v>
      </c>
      <c r="R247">
        <v>481</v>
      </c>
      <c r="S247" t="s">
        <v>3</v>
      </c>
      <c r="T247">
        <v>29048.63</v>
      </c>
      <c r="U247" t="s">
        <v>783</v>
      </c>
      <c r="V247" t="s">
        <v>784</v>
      </c>
      <c r="W247">
        <v>0.31</v>
      </c>
    </row>
    <row r="248" spans="1:23">
      <c r="A248" t="str">
        <f>"000692"</f>
        <v>000692</v>
      </c>
      <c r="B248" t="s">
        <v>785</v>
      </c>
      <c r="C248">
        <v>4.97</v>
      </c>
      <c r="D248">
        <v>4.97</v>
      </c>
      <c r="E248">
        <v>4.84</v>
      </c>
      <c r="F248">
        <v>4.92</v>
      </c>
      <c r="G248">
        <v>228215</v>
      </c>
      <c r="H248">
        <v>111787632</v>
      </c>
      <c r="I248">
        <v>0.64</v>
      </c>
      <c r="J248" t="s">
        <v>581</v>
      </c>
      <c r="K248" t="s">
        <v>162</v>
      </c>
      <c r="L248">
        <v>-1.01</v>
      </c>
      <c r="M248">
        <v>4.9000000000000004</v>
      </c>
      <c r="N248">
        <v>138628</v>
      </c>
      <c r="O248">
        <v>89586</v>
      </c>
      <c r="P248">
        <v>1.55</v>
      </c>
      <c r="Q248">
        <v>2770</v>
      </c>
      <c r="R248">
        <v>2510</v>
      </c>
      <c r="S248" t="s">
        <v>3</v>
      </c>
      <c r="T248">
        <v>53278.89</v>
      </c>
      <c r="U248" t="s">
        <v>786</v>
      </c>
      <c r="V248" t="s">
        <v>787</v>
      </c>
      <c r="W248">
        <v>-0.85</v>
      </c>
    </row>
    <row r="249" spans="1:23">
      <c r="A249" t="str">
        <f>"000693"</f>
        <v>000693</v>
      </c>
      <c r="B249" t="s">
        <v>788</v>
      </c>
      <c r="C249">
        <v>25.18</v>
      </c>
      <c r="D249">
        <v>25.34</v>
      </c>
      <c r="E249">
        <v>24.11</v>
      </c>
      <c r="F249">
        <v>24.5</v>
      </c>
      <c r="G249">
        <v>91430</v>
      </c>
      <c r="H249">
        <v>225840352</v>
      </c>
      <c r="I249">
        <v>1.1200000000000001</v>
      </c>
      <c r="J249" t="s">
        <v>328</v>
      </c>
      <c r="K249" t="s">
        <v>225</v>
      </c>
      <c r="L249">
        <v>-0.81</v>
      </c>
      <c r="M249">
        <v>24.7</v>
      </c>
      <c r="N249">
        <v>49927</v>
      </c>
      <c r="O249">
        <v>41503</v>
      </c>
      <c r="P249">
        <v>1.2</v>
      </c>
      <c r="Q249">
        <v>731</v>
      </c>
      <c r="R249">
        <v>8</v>
      </c>
      <c r="S249" t="s">
        <v>3</v>
      </c>
      <c r="T249">
        <v>7197.2</v>
      </c>
      <c r="U249" t="s">
        <v>789</v>
      </c>
      <c r="V249" t="s">
        <v>790</v>
      </c>
      <c r="W249">
        <v>-0.65</v>
      </c>
    </row>
    <row r="250" spans="1:23">
      <c r="A250" t="str">
        <f>"000695"</f>
        <v>000695</v>
      </c>
      <c r="B250" t="s">
        <v>791</v>
      </c>
      <c r="C250">
        <v>14.59</v>
      </c>
      <c r="D250">
        <v>14.61</v>
      </c>
      <c r="E250">
        <v>14.24</v>
      </c>
      <c r="F250">
        <v>14.39</v>
      </c>
      <c r="G250">
        <v>45095</v>
      </c>
      <c r="H250">
        <v>64736096</v>
      </c>
      <c r="I250">
        <v>0.84</v>
      </c>
      <c r="J250" t="s">
        <v>581</v>
      </c>
      <c r="K250" t="s">
        <v>442</v>
      </c>
      <c r="L250">
        <v>-1.1000000000000001</v>
      </c>
      <c r="M250">
        <v>14.36</v>
      </c>
      <c r="N250">
        <v>27644</v>
      </c>
      <c r="O250">
        <v>17450</v>
      </c>
      <c r="P250">
        <v>1.58</v>
      </c>
      <c r="Q250">
        <v>416</v>
      </c>
      <c r="R250">
        <v>151</v>
      </c>
      <c r="S250" t="s">
        <v>3</v>
      </c>
      <c r="T250">
        <v>22172.13</v>
      </c>
      <c r="U250" t="s">
        <v>792</v>
      </c>
      <c r="V250" t="s">
        <v>793</v>
      </c>
      <c r="W250">
        <v>-0.94</v>
      </c>
    </row>
    <row r="251" spans="1:23">
      <c r="A251" t="str">
        <f>"000697"</f>
        <v>000697</v>
      </c>
      <c r="B251" t="s">
        <v>794</v>
      </c>
      <c r="C251">
        <v>17.8</v>
      </c>
      <c r="D251">
        <v>19.41</v>
      </c>
      <c r="E251">
        <v>17.489999999999998</v>
      </c>
      <c r="F251">
        <v>19.23</v>
      </c>
      <c r="G251">
        <v>240361</v>
      </c>
      <c r="H251">
        <v>445300608</v>
      </c>
      <c r="I251">
        <v>1.6</v>
      </c>
      <c r="J251" t="s">
        <v>328</v>
      </c>
      <c r="K251" t="s">
        <v>389</v>
      </c>
      <c r="L251">
        <v>8.7100000000000009</v>
      </c>
      <c r="M251">
        <v>18.53</v>
      </c>
      <c r="N251">
        <v>106038</v>
      </c>
      <c r="O251">
        <v>134322</v>
      </c>
      <c r="P251">
        <v>0.79</v>
      </c>
      <c r="Q251">
        <v>1452</v>
      </c>
      <c r="R251">
        <v>184</v>
      </c>
      <c r="S251" t="s">
        <v>3</v>
      </c>
      <c r="T251">
        <v>25509.72</v>
      </c>
      <c r="U251" t="s">
        <v>795</v>
      </c>
      <c r="V251" t="s">
        <v>796</v>
      </c>
      <c r="W251">
        <v>8.86</v>
      </c>
    </row>
    <row r="252" spans="1:23">
      <c r="A252" t="str">
        <f>"000698"</f>
        <v>000698</v>
      </c>
      <c r="B252" t="s">
        <v>797</v>
      </c>
      <c r="C252">
        <v>4.4000000000000004</v>
      </c>
      <c r="D252">
        <v>4.42</v>
      </c>
      <c r="E252">
        <v>4.3600000000000003</v>
      </c>
      <c r="F252">
        <v>4.4000000000000004</v>
      </c>
      <c r="G252">
        <v>79598</v>
      </c>
      <c r="H252">
        <v>34937316</v>
      </c>
      <c r="I252">
        <v>0.76</v>
      </c>
      <c r="J252" t="s">
        <v>376</v>
      </c>
      <c r="K252" t="s">
        <v>162</v>
      </c>
      <c r="L252">
        <v>-0.23</v>
      </c>
      <c r="M252">
        <v>4.3899999999999997</v>
      </c>
      <c r="N252">
        <v>47684</v>
      </c>
      <c r="O252">
        <v>31914</v>
      </c>
      <c r="P252">
        <v>1.49</v>
      </c>
      <c r="Q252">
        <v>1716</v>
      </c>
      <c r="R252">
        <v>2659</v>
      </c>
      <c r="S252" t="s">
        <v>3</v>
      </c>
      <c r="T252">
        <v>62709.67</v>
      </c>
      <c r="U252" t="s">
        <v>798</v>
      </c>
      <c r="V252" t="s">
        <v>799</v>
      </c>
      <c r="W252">
        <v>-7.0000000000000007E-2</v>
      </c>
    </row>
    <row r="253" spans="1:23">
      <c r="A253" t="str">
        <f>"000700"</f>
        <v>000700</v>
      </c>
      <c r="B253" t="s">
        <v>800</v>
      </c>
      <c r="C253">
        <v>12.56</v>
      </c>
      <c r="D253">
        <v>12.57</v>
      </c>
      <c r="E253">
        <v>12.3</v>
      </c>
      <c r="F253">
        <v>12.38</v>
      </c>
      <c r="G253">
        <v>60008</v>
      </c>
      <c r="H253">
        <v>74440624</v>
      </c>
      <c r="I253">
        <v>1.02</v>
      </c>
      <c r="J253" t="s">
        <v>98</v>
      </c>
      <c r="K253" t="s">
        <v>244</v>
      </c>
      <c r="L253">
        <v>-1.43</v>
      </c>
      <c r="M253">
        <v>12.41</v>
      </c>
      <c r="N253">
        <v>35355</v>
      </c>
      <c r="O253">
        <v>24653</v>
      </c>
      <c r="P253">
        <v>1.43</v>
      </c>
      <c r="Q253">
        <v>379</v>
      </c>
      <c r="R253">
        <v>220</v>
      </c>
      <c r="S253" t="s">
        <v>3</v>
      </c>
      <c r="T253">
        <v>30904.35</v>
      </c>
      <c r="U253" t="s">
        <v>801</v>
      </c>
      <c r="V253" t="s">
        <v>801</v>
      </c>
      <c r="W253">
        <v>-1.27</v>
      </c>
    </row>
    <row r="254" spans="1:23">
      <c r="A254" t="str">
        <f>"000701"</f>
        <v>000701</v>
      </c>
      <c r="B254" t="s">
        <v>802</v>
      </c>
      <c r="C254">
        <v>11.37</v>
      </c>
      <c r="D254">
        <v>11.44</v>
      </c>
      <c r="E254">
        <v>11.3</v>
      </c>
      <c r="F254">
        <v>11.4</v>
      </c>
      <c r="G254">
        <v>61412</v>
      </c>
      <c r="H254">
        <v>69775496</v>
      </c>
      <c r="I254">
        <v>0.88</v>
      </c>
      <c r="J254" t="s">
        <v>26</v>
      </c>
      <c r="K254" t="s">
        <v>414</v>
      </c>
      <c r="L254">
        <v>0.18</v>
      </c>
      <c r="M254">
        <v>11.36</v>
      </c>
      <c r="N254">
        <v>33781</v>
      </c>
      <c r="O254">
        <v>27631</v>
      </c>
      <c r="P254">
        <v>1.22</v>
      </c>
      <c r="Q254">
        <v>144</v>
      </c>
      <c r="R254">
        <v>1104</v>
      </c>
      <c r="S254" t="s">
        <v>3</v>
      </c>
      <c r="T254">
        <v>24024.32</v>
      </c>
      <c r="U254" t="s">
        <v>803</v>
      </c>
      <c r="V254" t="s">
        <v>804</v>
      </c>
      <c r="W254">
        <v>0.33</v>
      </c>
    </row>
    <row r="255" spans="1:23">
      <c r="A255" t="str">
        <f>"000702"</f>
        <v>000702</v>
      </c>
      <c r="B255" t="s">
        <v>805</v>
      </c>
      <c r="C255">
        <v>7.3</v>
      </c>
      <c r="D255">
        <v>7.4</v>
      </c>
      <c r="E255">
        <v>7.2</v>
      </c>
      <c r="F255">
        <v>7.37</v>
      </c>
      <c r="G255">
        <v>119676</v>
      </c>
      <c r="H255">
        <v>87662808</v>
      </c>
      <c r="I255">
        <v>0.68</v>
      </c>
      <c r="J255" t="s">
        <v>141</v>
      </c>
      <c r="K255" t="s">
        <v>234</v>
      </c>
      <c r="L255">
        <v>1.1000000000000001</v>
      </c>
      <c r="M255">
        <v>7.33</v>
      </c>
      <c r="N255">
        <v>60455</v>
      </c>
      <c r="O255">
        <v>59220</v>
      </c>
      <c r="P255">
        <v>1.02</v>
      </c>
      <c r="Q255">
        <v>491</v>
      </c>
      <c r="R255">
        <v>1406</v>
      </c>
      <c r="S255" t="s">
        <v>3</v>
      </c>
      <c r="T255">
        <v>26663.19</v>
      </c>
      <c r="U255" t="s">
        <v>806</v>
      </c>
      <c r="V255" t="s">
        <v>806</v>
      </c>
      <c r="W255">
        <v>1.26</v>
      </c>
    </row>
    <row r="256" spans="1:23">
      <c r="A256" t="str">
        <f>"000703"</f>
        <v>000703</v>
      </c>
      <c r="B256" t="s">
        <v>807</v>
      </c>
      <c r="C256" t="s">
        <v>3</v>
      </c>
      <c r="D256" t="s">
        <v>3</v>
      </c>
      <c r="E256" t="s">
        <v>3</v>
      </c>
      <c r="F256">
        <v>0</v>
      </c>
      <c r="G256">
        <v>0</v>
      </c>
      <c r="H256">
        <v>0</v>
      </c>
      <c r="I256">
        <v>0</v>
      </c>
      <c r="J256" t="s">
        <v>310</v>
      </c>
      <c r="K256" t="s">
        <v>417</v>
      </c>
      <c r="L256" t="s">
        <v>3</v>
      </c>
      <c r="M256">
        <v>8.14</v>
      </c>
      <c r="N256">
        <v>0</v>
      </c>
      <c r="O256">
        <v>0</v>
      </c>
      <c r="P256" t="s">
        <v>3</v>
      </c>
      <c r="Q256">
        <v>0</v>
      </c>
      <c r="R256">
        <v>0</v>
      </c>
      <c r="S256" t="s">
        <v>3</v>
      </c>
      <c r="T256">
        <v>115358.77</v>
      </c>
      <c r="U256" t="s">
        <v>808</v>
      </c>
      <c r="V256" t="s">
        <v>808</v>
      </c>
      <c r="W256">
        <v>0.16</v>
      </c>
    </row>
    <row r="257" spans="1:23">
      <c r="A257" t="str">
        <f>"000705"</f>
        <v>000705</v>
      </c>
      <c r="B257" t="s">
        <v>809</v>
      </c>
      <c r="C257">
        <v>10.31</v>
      </c>
      <c r="D257">
        <v>10.75</v>
      </c>
      <c r="E257">
        <v>10.25</v>
      </c>
      <c r="F257">
        <v>10.74</v>
      </c>
      <c r="G257">
        <v>210047</v>
      </c>
      <c r="H257">
        <v>221610032</v>
      </c>
      <c r="I257">
        <v>1.1200000000000001</v>
      </c>
      <c r="J257" t="s">
        <v>91</v>
      </c>
      <c r="K257" t="s">
        <v>229</v>
      </c>
      <c r="L257">
        <v>4.37</v>
      </c>
      <c r="M257">
        <v>10.55</v>
      </c>
      <c r="N257">
        <v>99047</v>
      </c>
      <c r="O257">
        <v>110999</v>
      </c>
      <c r="P257">
        <v>0.89</v>
      </c>
      <c r="Q257">
        <v>2838</v>
      </c>
      <c r="R257">
        <v>1831</v>
      </c>
      <c r="S257" t="s">
        <v>3</v>
      </c>
      <c r="T257">
        <v>27272.080000000002</v>
      </c>
      <c r="U257" t="s">
        <v>810</v>
      </c>
      <c r="V257" t="s">
        <v>811</v>
      </c>
      <c r="W257">
        <v>4.53</v>
      </c>
    </row>
    <row r="258" spans="1:23">
      <c r="A258" t="str">
        <f>"000707"</f>
        <v>000707</v>
      </c>
      <c r="B258" t="s">
        <v>812</v>
      </c>
      <c r="C258">
        <v>4.96</v>
      </c>
      <c r="D258">
        <v>5.13</v>
      </c>
      <c r="E258">
        <v>4.93</v>
      </c>
      <c r="F258">
        <v>5.13</v>
      </c>
      <c r="G258">
        <v>117676</v>
      </c>
      <c r="H258">
        <v>59246200</v>
      </c>
      <c r="I258">
        <v>1.06</v>
      </c>
      <c r="J258" t="s">
        <v>376</v>
      </c>
      <c r="K258" t="s">
        <v>317</v>
      </c>
      <c r="L258">
        <v>3.01</v>
      </c>
      <c r="M258">
        <v>5.03</v>
      </c>
      <c r="N258">
        <v>47456</v>
      </c>
      <c r="O258">
        <v>70219</v>
      </c>
      <c r="P258">
        <v>0.68</v>
      </c>
      <c r="Q258">
        <v>1281</v>
      </c>
      <c r="R258">
        <v>679</v>
      </c>
      <c r="S258" t="s">
        <v>3</v>
      </c>
      <c r="T258">
        <v>46414.33</v>
      </c>
      <c r="U258" t="s">
        <v>813</v>
      </c>
      <c r="V258" t="s">
        <v>813</v>
      </c>
      <c r="W258">
        <v>3.17</v>
      </c>
    </row>
    <row r="259" spans="1:23">
      <c r="A259" t="str">
        <f>"000708"</f>
        <v>000708</v>
      </c>
      <c r="B259" t="s">
        <v>814</v>
      </c>
      <c r="C259">
        <v>8.8800000000000008</v>
      </c>
      <c r="D259">
        <v>9.77</v>
      </c>
      <c r="E259">
        <v>8.76</v>
      </c>
      <c r="F259">
        <v>9.77</v>
      </c>
      <c r="G259">
        <v>143172</v>
      </c>
      <c r="H259">
        <v>136250128</v>
      </c>
      <c r="I259">
        <v>1.32</v>
      </c>
      <c r="J259" t="s">
        <v>815</v>
      </c>
      <c r="K259" t="s">
        <v>317</v>
      </c>
      <c r="L259">
        <v>10.02</v>
      </c>
      <c r="M259">
        <v>9.52</v>
      </c>
      <c r="N259">
        <v>64248</v>
      </c>
      <c r="O259">
        <v>78923</v>
      </c>
      <c r="P259">
        <v>0.81</v>
      </c>
      <c r="Q259">
        <v>31765</v>
      </c>
      <c r="R259">
        <v>0</v>
      </c>
      <c r="S259" t="s">
        <v>3</v>
      </c>
      <c r="T259">
        <v>44712.57</v>
      </c>
      <c r="U259" t="s">
        <v>816</v>
      </c>
      <c r="V259" t="s">
        <v>817</v>
      </c>
      <c r="W259">
        <v>10.18</v>
      </c>
    </row>
    <row r="260" spans="1:23">
      <c r="A260" t="str">
        <f>"000709"</f>
        <v>000709</v>
      </c>
      <c r="B260" t="s">
        <v>818</v>
      </c>
      <c r="C260">
        <v>2.16</v>
      </c>
      <c r="D260">
        <v>2.2200000000000002</v>
      </c>
      <c r="E260">
        <v>2.15</v>
      </c>
      <c r="F260">
        <v>2.2000000000000002</v>
      </c>
      <c r="G260">
        <v>1570011</v>
      </c>
      <c r="H260">
        <v>343404736</v>
      </c>
      <c r="I260">
        <v>1.48</v>
      </c>
      <c r="J260" t="s">
        <v>279</v>
      </c>
      <c r="K260" t="s">
        <v>238</v>
      </c>
      <c r="L260">
        <v>1.38</v>
      </c>
      <c r="M260">
        <v>2.19</v>
      </c>
      <c r="N260">
        <v>646482</v>
      </c>
      <c r="O260">
        <v>923528</v>
      </c>
      <c r="P260">
        <v>0.7</v>
      </c>
      <c r="Q260">
        <v>29278</v>
      </c>
      <c r="R260">
        <v>5665</v>
      </c>
      <c r="S260" t="s">
        <v>3</v>
      </c>
      <c r="T260">
        <v>508938.06</v>
      </c>
      <c r="U260" t="s">
        <v>819</v>
      </c>
      <c r="V260" t="s">
        <v>820</v>
      </c>
      <c r="W260">
        <v>1.54</v>
      </c>
    </row>
    <row r="261" spans="1:23">
      <c r="A261" t="str">
        <f>"000710"</f>
        <v>000710</v>
      </c>
      <c r="B261" t="s">
        <v>821</v>
      </c>
      <c r="C261">
        <v>12.65</v>
      </c>
      <c r="D261">
        <v>13.26</v>
      </c>
      <c r="E261">
        <v>12.52</v>
      </c>
      <c r="F261">
        <v>13.2</v>
      </c>
      <c r="G261">
        <v>36729</v>
      </c>
      <c r="H261">
        <v>47645724</v>
      </c>
      <c r="I261">
        <v>0.84</v>
      </c>
      <c r="J261" t="s">
        <v>98</v>
      </c>
      <c r="K261" t="s">
        <v>225</v>
      </c>
      <c r="L261">
        <v>3.94</v>
      </c>
      <c r="M261">
        <v>12.97</v>
      </c>
      <c r="N261">
        <v>15103</v>
      </c>
      <c r="O261">
        <v>21625</v>
      </c>
      <c r="P261">
        <v>0.7</v>
      </c>
      <c r="Q261">
        <v>354</v>
      </c>
      <c r="R261">
        <v>175</v>
      </c>
      <c r="S261" t="s">
        <v>3</v>
      </c>
      <c r="T261">
        <v>15120</v>
      </c>
      <c r="U261" t="s">
        <v>822</v>
      </c>
      <c r="V261" t="s">
        <v>822</v>
      </c>
      <c r="W261">
        <v>4.0999999999999996</v>
      </c>
    </row>
    <row r="262" spans="1:23">
      <c r="A262" t="str">
        <f>"000711"</f>
        <v>000711</v>
      </c>
      <c r="B262" t="s">
        <v>823</v>
      </c>
      <c r="C262">
        <v>11.1</v>
      </c>
      <c r="D262">
        <v>11.79</v>
      </c>
      <c r="E262">
        <v>11.01</v>
      </c>
      <c r="F262">
        <v>11.6</v>
      </c>
      <c r="G262">
        <v>167842</v>
      </c>
      <c r="H262">
        <v>191912240</v>
      </c>
      <c r="I262">
        <v>1.24</v>
      </c>
      <c r="J262" t="s">
        <v>154</v>
      </c>
      <c r="K262" t="s">
        <v>565</v>
      </c>
      <c r="L262">
        <v>4.32</v>
      </c>
      <c r="M262">
        <v>11.43</v>
      </c>
      <c r="N262">
        <v>70695</v>
      </c>
      <c r="O262">
        <v>97147</v>
      </c>
      <c r="P262">
        <v>0.73</v>
      </c>
      <c r="Q262">
        <v>517</v>
      </c>
      <c r="R262">
        <v>585</v>
      </c>
      <c r="S262" t="s">
        <v>3</v>
      </c>
      <c r="T262">
        <v>16089.83</v>
      </c>
      <c r="U262" t="s">
        <v>824</v>
      </c>
      <c r="V262" t="s">
        <v>824</v>
      </c>
      <c r="W262">
        <v>4.4800000000000004</v>
      </c>
    </row>
    <row r="263" spans="1:23">
      <c r="A263" t="str">
        <f>"000712"</f>
        <v>000712</v>
      </c>
      <c r="B263" t="s">
        <v>825</v>
      </c>
      <c r="C263">
        <v>17.87</v>
      </c>
      <c r="D263">
        <v>18.190000000000001</v>
      </c>
      <c r="E263">
        <v>17.63</v>
      </c>
      <c r="F263">
        <v>17.739999999999998</v>
      </c>
      <c r="G263">
        <v>94151</v>
      </c>
      <c r="H263">
        <v>167757568</v>
      </c>
      <c r="I263">
        <v>0.91</v>
      </c>
      <c r="J263" t="s">
        <v>293</v>
      </c>
      <c r="K263" t="s">
        <v>211</v>
      </c>
      <c r="L263">
        <v>-1</v>
      </c>
      <c r="M263">
        <v>17.82</v>
      </c>
      <c r="N263">
        <v>54803</v>
      </c>
      <c r="O263">
        <v>39347</v>
      </c>
      <c r="P263">
        <v>1.39</v>
      </c>
      <c r="Q263">
        <v>474</v>
      </c>
      <c r="R263">
        <v>255</v>
      </c>
      <c r="S263" t="s">
        <v>3</v>
      </c>
      <c r="T263">
        <v>44788.87</v>
      </c>
      <c r="U263" t="s">
        <v>826</v>
      </c>
      <c r="V263" t="s">
        <v>827</v>
      </c>
      <c r="W263">
        <v>-0.85</v>
      </c>
    </row>
    <row r="264" spans="1:23">
      <c r="A264" t="str">
        <f>"000713"</f>
        <v>000713</v>
      </c>
      <c r="B264" t="s">
        <v>828</v>
      </c>
      <c r="C264" t="s">
        <v>3</v>
      </c>
      <c r="D264" t="s">
        <v>3</v>
      </c>
      <c r="E264" t="s">
        <v>3</v>
      </c>
      <c r="F264">
        <v>0</v>
      </c>
      <c r="G264">
        <v>0</v>
      </c>
      <c r="H264">
        <v>0</v>
      </c>
      <c r="I264">
        <v>0</v>
      </c>
      <c r="J264" t="s">
        <v>829</v>
      </c>
      <c r="K264" t="s">
        <v>220</v>
      </c>
      <c r="L264" t="s">
        <v>3</v>
      </c>
      <c r="M264">
        <v>7.78</v>
      </c>
      <c r="N264">
        <v>0</v>
      </c>
      <c r="O264">
        <v>0</v>
      </c>
      <c r="P264" t="s">
        <v>3</v>
      </c>
      <c r="Q264">
        <v>0</v>
      </c>
      <c r="R264">
        <v>0</v>
      </c>
      <c r="S264" t="s">
        <v>3</v>
      </c>
      <c r="T264">
        <v>29887.35</v>
      </c>
      <c r="U264" t="s">
        <v>830</v>
      </c>
      <c r="V264" t="s">
        <v>830</v>
      </c>
      <c r="W264">
        <v>0.16</v>
      </c>
    </row>
    <row r="265" spans="1:23">
      <c r="A265" t="str">
        <f>"000715"</f>
        <v>000715</v>
      </c>
      <c r="B265" t="s">
        <v>831</v>
      </c>
      <c r="C265" t="s">
        <v>3</v>
      </c>
      <c r="D265" t="s">
        <v>3</v>
      </c>
      <c r="E265" t="s">
        <v>3</v>
      </c>
      <c r="F265">
        <v>0</v>
      </c>
      <c r="G265">
        <v>0</v>
      </c>
      <c r="H265">
        <v>0</v>
      </c>
      <c r="I265">
        <v>0</v>
      </c>
      <c r="J265" t="s">
        <v>297</v>
      </c>
      <c r="K265" t="s">
        <v>162</v>
      </c>
      <c r="L265" t="s">
        <v>3</v>
      </c>
      <c r="M265">
        <v>11.26</v>
      </c>
      <c r="N265">
        <v>0</v>
      </c>
      <c r="O265">
        <v>0</v>
      </c>
      <c r="P265" t="s">
        <v>3</v>
      </c>
      <c r="Q265">
        <v>0</v>
      </c>
      <c r="R265">
        <v>0</v>
      </c>
      <c r="S265" t="s">
        <v>3</v>
      </c>
      <c r="T265">
        <v>27809.86</v>
      </c>
      <c r="U265" t="s">
        <v>832</v>
      </c>
      <c r="V265" t="s">
        <v>833</v>
      </c>
      <c r="W265">
        <v>0.16</v>
      </c>
    </row>
    <row r="266" spans="1:23">
      <c r="A266" t="str">
        <f>"000716"</f>
        <v>000716</v>
      </c>
      <c r="B266" t="s">
        <v>834</v>
      </c>
      <c r="C266">
        <v>13.35</v>
      </c>
      <c r="D266">
        <v>13.63</v>
      </c>
      <c r="E266">
        <v>13.3</v>
      </c>
      <c r="F266">
        <v>13.62</v>
      </c>
      <c r="G266">
        <v>22631</v>
      </c>
      <c r="H266">
        <v>30519742</v>
      </c>
      <c r="I266">
        <v>1</v>
      </c>
      <c r="J266" t="s">
        <v>421</v>
      </c>
      <c r="K266" t="s">
        <v>417</v>
      </c>
      <c r="L266">
        <v>2.25</v>
      </c>
      <c r="M266">
        <v>13.49</v>
      </c>
      <c r="N266">
        <v>9013</v>
      </c>
      <c r="O266">
        <v>13617</v>
      </c>
      <c r="P266">
        <v>0.66</v>
      </c>
      <c r="Q266">
        <v>171</v>
      </c>
      <c r="R266">
        <v>201</v>
      </c>
      <c r="S266" t="s">
        <v>3</v>
      </c>
      <c r="T266">
        <v>17126.349999999999</v>
      </c>
      <c r="U266" t="s">
        <v>835</v>
      </c>
      <c r="V266" t="s">
        <v>836</v>
      </c>
      <c r="W266">
        <v>2.41</v>
      </c>
    </row>
    <row r="267" spans="1:23">
      <c r="A267" t="str">
        <f>"000717"</f>
        <v>000717</v>
      </c>
      <c r="B267" t="s">
        <v>837</v>
      </c>
      <c r="C267">
        <v>2.0099999999999998</v>
      </c>
      <c r="D267">
        <v>2.0699999999999998</v>
      </c>
      <c r="E267">
        <v>2</v>
      </c>
      <c r="F267">
        <v>2.0499999999999998</v>
      </c>
      <c r="G267">
        <v>462837</v>
      </c>
      <c r="H267">
        <v>94585240</v>
      </c>
      <c r="I267">
        <v>0.96</v>
      </c>
      <c r="J267" t="s">
        <v>838</v>
      </c>
      <c r="K267" t="s">
        <v>211</v>
      </c>
      <c r="L267">
        <v>1.49</v>
      </c>
      <c r="M267">
        <v>2.04</v>
      </c>
      <c r="N267">
        <v>207997</v>
      </c>
      <c r="O267">
        <v>254839</v>
      </c>
      <c r="P267">
        <v>0.82</v>
      </c>
      <c r="Q267">
        <v>5440</v>
      </c>
      <c r="R267">
        <v>5933</v>
      </c>
      <c r="S267" t="s">
        <v>3</v>
      </c>
      <c r="T267">
        <v>112803.64</v>
      </c>
      <c r="U267" t="s">
        <v>839</v>
      </c>
      <c r="V267" t="s">
        <v>840</v>
      </c>
      <c r="W267">
        <v>1.64</v>
      </c>
    </row>
    <row r="268" spans="1:23">
      <c r="A268" t="str">
        <f>"000718"</f>
        <v>000718</v>
      </c>
      <c r="B268" t="s">
        <v>841</v>
      </c>
      <c r="C268">
        <v>5.3</v>
      </c>
      <c r="D268">
        <v>5.31</v>
      </c>
      <c r="E268">
        <v>5.21</v>
      </c>
      <c r="F268">
        <v>5.24</v>
      </c>
      <c r="G268">
        <v>122186</v>
      </c>
      <c r="H268">
        <v>63992764</v>
      </c>
      <c r="I268">
        <v>0.65</v>
      </c>
      <c r="J268" t="s">
        <v>15</v>
      </c>
      <c r="K268" t="s">
        <v>99</v>
      </c>
      <c r="L268">
        <v>-0.38</v>
      </c>
      <c r="M268">
        <v>5.24</v>
      </c>
      <c r="N268">
        <v>81777</v>
      </c>
      <c r="O268">
        <v>40408</v>
      </c>
      <c r="P268">
        <v>2.02</v>
      </c>
      <c r="Q268">
        <v>831</v>
      </c>
      <c r="R268">
        <v>4149</v>
      </c>
      <c r="S268" t="s">
        <v>3</v>
      </c>
      <c r="T268">
        <v>146984.73000000001</v>
      </c>
      <c r="U268" t="s">
        <v>842</v>
      </c>
      <c r="V268" t="s">
        <v>843</v>
      </c>
      <c r="W268">
        <v>-0.22</v>
      </c>
    </row>
    <row r="269" spans="1:23">
      <c r="A269" t="str">
        <f>"000719"</f>
        <v>000719</v>
      </c>
      <c r="B269" t="s">
        <v>844</v>
      </c>
      <c r="C269">
        <v>14.85</v>
      </c>
      <c r="D269">
        <v>14.9</v>
      </c>
      <c r="E269">
        <v>14.52</v>
      </c>
      <c r="F269">
        <v>14.78</v>
      </c>
      <c r="G269">
        <v>40792</v>
      </c>
      <c r="H269">
        <v>60122556</v>
      </c>
      <c r="I269">
        <v>0.56999999999999995</v>
      </c>
      <c r="J269" t="s">
        <v>360</v>
      </c>
      <c r="K269" t="s">
        <v>254</v>
      </c>
      <c r="L269">
        <v>-0.47</v>
      </c>
      <c r="M269">
        <v>14.74</v>
      </c>
      <c r="N269">
        <v>20999</v>
      </c>
      <c r="O269">
        <v>19792</v>
      </c>
      <c r="P269">
        <v>1.06</v>
      </c>
      <c r="Q269">
        <v>189</v>
      </c>
      <c r="R269">
        <v>221</v>
      </c>
      <c r="S269" t="s">
        <v>3</v>
      </c>
      <c r="T269">
        <v>10650.59</v>
      </c>
      <c r="U269" t="s">
        <v>845</v>
      </c>
      <c r="V269" t="s">
        <v>846</v>
      </c>
      <c r="W269">
        <v>-0.31</v>
      </c>
    </row>
    <row r="270" spans="1:23">
      <c r="A270" t="str">
        <f>"000720"</f>
        <v>000720</v>
      </c>
      <c r="B270" t="s">
        <v>847</v>
      </c>
      <c r="C270">
        <v>2.96</v>
      </c>
      <c r="D270">
        <v>3.26</v>
      </c>
      <c r="E270">
        <v>2.96</v>
      </c>
      <c r="F270">
        <v>3.26</v>
      </c>
      <c r="G270">
        <v>653206</v>
      </c>
      <c r="H270">
        <v>211580464</v>
      </c>
      <c r="I270">
        <v>5.99</v>
      </c>
      <c r="J270" t="s">
        <v>87</v>
      </c>
      <c r="K270" t="s">
        <v>250</v>
      </c>
      <c r="L270">
        <v>10.14</v>
      </c>
      <c r="M270">
        <v>3.24</v>
      </c>
      <c r="N270">
        <v>483567</v>
      </c>
      <c r="O270">
        <v>169638</v>
      </c>
      <c r="P270">
        <v>2.85</v>
      </c>
      <c r="Q270">
        <v>53715</v>
      </c>
      <c r="R270">
        <v>0</v>
      </c>
      <c r="S270" t="s">
        <v>3</v>
      </c>
      <c r="T270">
        <v>86345.919999999998</v>
      </c>
      <c r="U270" t="s">
        <v>848</v>
      </c>
      <c r="V270" t="s">
        <v>848</v>
      </c>
      <c r="W270">
        <v>10.29</v>
      </c>
    </row>
    <row r="271" spans="1:23">
      <c r="A271" t="str">
        <f>"000721"</f>
        <v>000721</v>
      </c>
      <c r="B271" t="s">
        <v>849</v>
      </c>
      <c r="C271">
        <v>5.27</v>
      </c>
      <c r="D271">
        <v>5.36</v>
      </c>
      <c r="E271">
        <v>5.15</v>
      </c>
      <c r="F271">
        <v>5.29</v>
      </c>
      <c r="G271">
        <v>410624</v>
      </c>
      <c r="H271">
        <v>216191728</v>
      </c>
      <c r="I271">
        <v>0.7</v>
      </c>
      <c r="J271" t="s">
        <v>22</v>
      </c>
      <c r="K271" t="s">
        <v>389</v>
      </c>
      <c r="L271">
        <v>0.19</v>
      </c>
      <c r="M271">
        <v>5.26</v>
      </c>
      <c r="N271">
        <v>194523</v>
      </c>
      <c r="O271">
        <v>216101</v>
      </c>
      <c r="P271">
        <v>0.9</v>
      </c>
      <c r="Q271">
        <v>3447</v>
      </c>
      <c r="R271">
        <v>1319</v>
      </c>
      <c r="S271" t="s">
        <v>3</v>
      </c>
      <c r="T271">
        <v>43562.41</v>
      </c>
      <c r="U271" t="s">
        <v>850</v>
      </c>
      <c r="V271" t="s">
        <v>60</v>
      </c>
      <c r="W271">
        <v>0.35</v>
      </c>
    </row>
    <row r="272" spans="1:23">
      <c r="A272" t="str">
        <f>"000722"</f>
        <v>000722</v>
      </c>
      <c r="B272" t="s">
        <v>851</v>
      </c>
      <c r="C272">
        <v>8</v>
      </c>
      <c r="D272">
        <v>8.0399999999999991</v>
      </c>
      <c r="E272">
        <v>7.92</v>
      </c>
      <c r="F272">
        <v>7.99</v>
      </c>
      <c r="G272">
        <v>77382</v>
      </c>
      <c r="H272">
        <v>61843508</v>
      </c>
      <c r="I272">
        <v>0.82</v>
      </c>
      <c r="J272" t="s">
        <v>852</v>
      </c>
      <c r="K272" t="s">
        <v>234</v>
      </c>
      <c r="L272">
        <v>0</v>
      </c>
      <c r="M272">
        <v>7.99</v>
      </c>
      <c r="N272">
        <v>43517</v>
      </c>
      <c r="O272">
        <v>33864</v>
      </c>
      <c r="P272">
        <v>1.29</v>
      </c>
      <c r="Q272">
        <v>122</v>
      </c>
      <c r="R272">
        <v>905</v>
      </c>
      <c r="S272" t="s">
        <v>3</v>
      </c>
      <c r="T272">
        <v>26812.35</v>
      </c>
      <c r="U272" t="s">
        <v>853</v>
      </c>
      <c r="V272" t="s">
        <v>854</v>
      </c>
      <c r="W272">
        <v>0.16</v>
      </c>
    </row>
    <row r="273" spans="1:23">
      <c r="A273" t="str">
        <f>"000723"</f>
        <v>000723</v>
      </c>
      <c r="B273" t="s">
        <v>855</v>
      </c>
      <c r="C273">
        <v>6.66</v>
      </c>
      <c r="D273">
        <v>6.74</v>
      </c>
      <c r="E273">
        <v>6.56</v>
      </c>
      <c r="F273">
        <v>6.64</v>
      </c>
      <c r="G273">
        <v>76837</v>
      </c>
      <c r="H273">
        <v>51014968</v>
      </c>
      <c r="I273">
        <v>1.21</v>
      </c>
      <c r="J273" t="s">
        <v>856</v>
      </c>
      <c r="K273" t="s">
        <v>742</v>
      </c>
      <c r="L273">
        <v>-0.75</v>
      </c>
      <c r="M273">
        <v>6.64</v>
      </c>
      <c r="N273">
        <v>40817</v>
      </c>
      <c r="O273">
        <v>36020</v>
      </c>
      <c r="P273">
        <v>1.1299999999999999</v>
      </c>
      <c r="Q273">
        <v>123</v>
      </c>
      <c r="R273">
        <v>534</v>
      </c>
      <c r="S273" t="s">
        <v>3</v>
      </c>
      <c r="T273">
        <v>19486.41</v>
      </c>
      <c r="U273" t="s">
        <v>857</v>
      </c>
      <c r="V273" t="s">
        <v>858</v>
      </c>
      <c r="W273">
        <v>-0.59</v>
      </c>
    </row>
    <row r="274" spans="1:23">
      <c r="A274" t="str">
        <f>"000725"</f>
        <v>000725</v>
      </c>
      <c r="B274" t="s">
        <v>859</v>
      </c>
      <c r="C274">
        <v>2.33</v>
      </c>
      <c r="D274">
        <v>2.35</v>
      </c>
      <c r="E274">
        <v>2.31</v>
      </c>
      <c r="F274">
        <v>2.34</v>
      </c>
      <c r="G274">
        <v>1865088</v>
      </c>
      <c r="H274">
        <v>434337920</v>
      </c>
      <c r="I274">
        <v>1.17</v>
      </c>
      <c r="J274" t="s">
        <v>62</v>
      </c>
      <c r="K274" t="s">
        <v>34</v>
      </c>
      <c r="L274">
        <v>0.43</v>
      </c>
      <c r="M274">
        <v>2.33</v>
      </c>
      <c r="N274">
        <v>850313</v>
      </c>
      <c r="O274">
        <v>1014775</v>
      </c>
      <c r="P274">
        <v>0.84</v>
      </c>
      <c r="Q274">
        <v>79904</v>
      </c>
      <c r="R274">
        <v>76492</v>
      </c>
      <c r="S274" t="s">
        <v>3</v>
      </c>
      <c r="T274">
        <v>1150574.3799999999</v>
      </c>
      <c r="U274" t="s">
        <v>860</v>
      </c>
      <c r="V274" t="s">
        <v>861</v>
      </c>
      <c r="W274">
        <v>0.59</v>
      </c>
    </row>
    <row r="275" spans="1:23">
      <c r="A275" t="str">
        <f>"000726"</f>
        <v>000726</v>
      </c>
      <c r="B275" t="s">
        <v>862</v>
      </c>
      <c r="C275">
        <v>9.4</v>
      </c>
      <c r="D275">
        <v>9.5399999999999991</v>
      </c>
      <c r="E275">
        <v>9.34</v>
      </c>
      <c r="F275">
        <v>9.4600000000000009</v>
      </c>
      <c r="G275">
        <v>98725</v>
      </c>
      <c r="H275">
        <v>93211688</v>
      </c>
      <c r="I275">
        <v>0.87</v>
      </c>
      <c r="J275" t="s">
        <v>55</v>
      </c>
      <c r="K275" t="s">
        <v>250</v>
      </c>
      <c r="L275">
        <v>0.53</v>
      </c>
      <c r="M275">
        <v>9.44</v>
      </c>
      <c r="N275">
        <v>44403</v>
      </c>
      <c r="O275">
        <v>54322</v>
      </c>
      <c r="P275">
        <v>0.82</v>
      </c>
      <c r="Q275">
        <v>538</v>
      </c>
      <c r="R275">
        <v>455</v>
      </c>
      <c r="S275" t="s">
        <v>3</v>
      </c>
      <c r="T275">
        <v>55698.78</v>
      </c>
      <c r="U275" t="s">
        <v>863</v>
      </c>
      <c r="V275" t="s">
        <v>864</v>
      </c>
      <c r="W275">
        <v>0.69</v>
      </c>
    </row>
    <row r="276" spans="1:23">
      <c r="A276" t="str">
        <f>"000727"</f>
        <v>000727</v>
      </c>
      <c r="B276" t="s">
        <v>865</v>
      </c>
      <c r="C276">
        <v>7.81</v>
      </c>
      <c r="D276">
        <v>8.06</v>
      </c>
      <c r="E276">
        <v>7.81</v>
      </c>
      <c r="F276">
        <v>7.87</v>
      </c>
      <c r="G276">
        <v>138908</v>
      </c>
      <c r="H276">
        <v>110119184</v>
      </c>
      <c r="I276">
        <v>0.83</v>
      </c>
      <c r="J276" t="s">
        <v>62</v>
      </c>
      <c r="K276" t="s">
        <v>244</v>
      </c>
      <c r="L276">
        <v>0.77</v>
      </c>
      <c r="M276">
        <v>7.93</v>
      </c>
      <c r="N276">
        <v>73884</v>
      </c>
      <c r="O276">
        <v>65023</v>
      </c>
      <c r="P276">
        <v>1.1399999999999999</v>
      </c>
      <c r="Q276">
        <v>413</v>
      </c>
      <c r="R276">
        <v>357</v>
      </c>
      <c r="S276" t="s">
        <v>3</v>
      </c>
      <c r="T276">
        <v>35814.370000000003</v>
      </c>
      <c r="U276" t="s">
        <v>866</v>
      </c>
      <c r="V276" t="s">
        <v>867</v>
      </c>
      <c r="W276">
        <v>0.93</v>
      </c>
    </row>
    <row r="277" spans="1:23">
      <c r="A277" t="str">
        <f>"000728"</f>
        <v>000728</v>
      </c>
      <c r="B277" t="s">
        <v>868</v>
      </c>
      <c r="C277">
        <v>13.42</v>
      </c>
      <c r="D277">
        <v>13.42</v>
      </c>
      <c r="E277">
        <v>13.03</v>
      </c>
      <c r="F277">
        <v>13.12</v>
      </c>
      <c r="G277">
        <v>362075</v>
      </c>
      <c r="H277">
        <v>475065312</v>
      </c>
      <c r="I277">
        <v>0.82</v>
      </c>
      <c r="J277" t="s">
        <v>512</v>
      </c>
      <c r="K277" t="s">
        <v>220</v>
      </c>
      <c r="L277">
        <v>-1.72</v>
      </c>
      <c r="M277">
        <v>13.12</v>
      </c>
      <c r="N277">
        <v>203390</v>
      </c>
      <c r="O277">
        <v>158684</v>
      </c>
      <c r="P277">
        <v>1.28</v>
      </c>
      <c r="Q277">
        <v>341</v>
      </c>
      <c r="R277">
        <v>1818</v>
      </c>
      <c r="S277" t="s">
        <v>3</v>
      </c>
      <c r="T277">
        <v>196410</v>
      </c>
      <c r="U277" t="s">
        <v>869</v>
      </c>
      <c r="V277" t="s">
        <v>869</v>
      </c>
      <c r="W277">
        <v>-1.56</v>
      </c>
    </row>
    <row r="278" spans="1:23">
      <c r="A278" t="str">
        <f>"000729"</f>
        <v>000729</v>
      </c>
      <c r="B278" t="s">
        <v>870</v>
      </c>
      <c r="C278">
        <v>6.77</v>
      </c>
      <c r="D278">
        <v>6.78</v>
      </c>
      <c r="E278">
        <v>6.69</v>
      </c>
      <c r="F278">
        <v>6.71</v>
      </c>
      <c r="G278">
        <v>120036</v>
      </c>
      <c r="H278">
        <v>80596120</v>
      </c>
      <c r="I278">
        <v>0.59</v>
      </c>
      <c r="J278" t="s">
        <v>871</v>
      </c>
      <c r="K278" t="s">
        <v>34</v>
      </c>
      <c r="L278">
        <v>-0.74</v>
      </c>
      <c r="M278">
        <v>6.71</v>
      </c>
      <c r="N278">
        <v>78237</v>
      </c>
      <c r="O278">
        <v>41798</v>
      </c>
      <c r="P278">
        <v>1.87</v>
      </c>
      <c r="Q278">
        <v>1672</v>
      </c>
      <c r="R278">
        <v>1423</v>
      </c>
      <c r="S278" t="s">
        <v>3</v>
      </c>
      <c r="T278">
        <v>249935.59</v>
      </c>
      <c r="U278" t="s">
        <v>872</v>
      </c>
      <c r="V278" t="s">
        <v>873</v>
      </c>
      <c r="W278">
        <v>-0.57999999999999996</v>
      </c>
    </row>
    <row r="279" spans="1:23">
      <c r="A279" t="str">
        <f>"000731"</f>
        <v>000731</v>
      </c>
      <c r="B279" t="s">
        <v>874</v>
      </c>
      <c r="C279">
        <v>7.3</v>
      </c>
      <c r="D279">
        <v>7.36</v>
      </c>
      <c r="E279">
        <v>7.29</v>
      </c>
      <c r="F279">
        <v>7.34</v>
      </c>
      <c r="G279">
        <v>148249</v>
      </c>
      <c r="H279">
        <v>108616208</v>
      </c>
      <c r="I279">
        <v>1.39</v>
      </c>
      <c r="J279" t="s">
        <v>224</v>
      </c>
      <c r="K279" t="s">
        <v>225</v>
      </c>
      <c r="L279">
        <v>0.41</v>
      </c>
      <c r="M279">
        <v>7.33</v>
      </c>
      <c r="N279">
        <v>70917</v>
      </c>
      <c r="O279">
        <v>77331</v>
      </c>
      <c r="P279">
        <v>0.92</v>
      </c>
      <c r="Q279">
        <v>1379</v>
      </c>
      <c r="R279">
        <v>2547</v>
      </c>
      <c r="S279" t="s">
        <v>3</v>
      </c>
      <c r="T279">
        <v>59134.76</v>
      </c>
      <c r="U279" t="s">
        <v>875</v>
      </c>
      <c r="V279" t="s">
        <v>876</v>
      </c>
      <c r="W279">
        <v>0.56999999999999995</v>
      </c>
    </row>
    <row r="280" spans="1:23">
      <c r="A280" t="str">
        <f>"000732"</f>
        <v>000732</v>
      </c>
      <c r="B280" t="s">
        <v>877</v>
      </c>
      <c r="C280">
        <v>10.18</v>
      </c>
      <c r="D280">
        <v>10.44</v>
      </c>
      <c r="E280">
        <v>10.06</v>
      </c>
      <c r="F280">
        <v>10.37</v>
      </c>
      <c r="G280">
        <v>76761</v>
      </c>
      <c r="H280">
        <v>78729064</v>
      </c>
      <c r="I280">
        <v>1.1399999999999999</v>
      </c>
      <c r="J280" t="s">
        <v>15</v>
      </c>
      <c r="K280" t="s">
        <v>414</v>
      </c>
      <c r="L280">
        <v>2.4700000000000002</v>
      </c>
      <c r="M280">
        <v>10.26</v>
      </c>
      <c r="N280">
        <v>26724</v>
      </c>
      <c r="O280">
        <v>50037</v>
      </c>
      <c r="P280">
        <v>0.53</v>
      </c>
      <c r="Q280">
        <v>22</v>
      </c>
      <c r="R280">
        <v>100</v>
      </c>
      <c r="S280" t="s">
        <v>3</v>
      </c>
      <c r="T280">
        <v>101577.28</v>
      </c>
      <c r="U280" t="s">
        <v>878</v>
      </c>
      <c r="V280" t="s">
        <v>879</v>
      </c>
      <c r="W280">
        <v>2.63</v>
      </c>
    </row>
    <row r="281" spans="1:23">
      <c r="A281" t="str">
        <f>"000733"</f>
        <v>000733</v>
      </c>
      <c r="B281" t="s">
        <v>880</v>
      </c>
      <c r="C281">
        <v>17.89</v>
      </c>
      <c r="D281">
        <v>18.649999999999999</v>
      </c>
      <c r="E281">
        <v>17.89</v>
      </c>
      <c r="F281">
        <v>18.29</v>
      </c>
      <c r="G281">
        <v>172403</v>
      </c>
      <c r="H281">
        <v>314963584</v>
      </c>
      <c r="I281">
        <v>0.69</v>
      </c>
      <c r="J281" t="s">
        <v>62</v>
      </c>
      <c r="K281" t="s">
        <v>452</v>
      </c>
      <c r="L281">
        <v>3.57</v>
      </c>
      <c r="M281">
        <v>18.27</v>
      </c>
      <c r="N281">
        <v>85397</v>
      </c>
      <c r="O281">
        <v>87006</v>
      </c>
      <c r="P281">
        <v>0.98</v>
      </c>
      <c r="Q281">
        <v>113</v>
      </c>
      <c r="R281">
        <v>571</v>
      </c>
      <c r="S281" t="s">
        <v>3</v>
      </c>
      <c r="T281">
        <v>35812</v>
      </c>
      <c r="U281" t="s">
        <v>881</v>
      </c>
      <c r="V281" t="s">
        <v>882</v>
      </c>
      <c r="W281">
        <v>3.73</v>
      </c>
    </row>
    <row r="282" spans="1:23">
      <c r="A282" t="str">
        <f>"000735"</f>
        <v>000735</v>
      </c>
      <c r="B282" t="s">
        <v>883</v>
      </c>
      <c r="C282">
        <v>6.91</v>
      </c>
      <c r="D282">
        <v>6.95</v>
      </c>
      <c r="E282">
        <v>6.75</v>
      </c>
      <c r="F282">
        <v>6.85</v>
      </c>
      <c r="G282">
        <v>353457</v>
      </c>
      <c r="H282">
        <v>241593344</v>
      </c>
      <c r="I282">
        <v>1.22</v>
      </c>
      <c r="J282" t="s">
        <v>169</v>
      </c>
      <c r="K282" t="s">
        <v>356</v>
      </c>
      <c r="L282">
        <v>0</v>
      </c>
      <c r="M282">
        <v>6.84</v>
      </c>
      <c r="N282">
        <v>182651</v>
      </c>
      <c r="O282">
        <v>170805</v>
      </c>
      <c r="P282">
        <v>1.07</v>
      </c>
      <c r="Q282">
        <v>4385</v>
      </c>
      <c r="R282">
        <v>895</v>
      </c>
      <c r="S282" t="s">
        <v>3</v>
      </c>
      <c r="T282">
        <v>88008.24</v>
      </c>
      <c r="U282" t="s">
        <v>884</v>
      </c>
      <c r="V282" t="s">
        <v>884</v>
      </c>
      <c r="W282">
        <v>0.16</v>
      </c>
    </row>
    <row r="283" spans="1:23">
      <c r="A283" t="str">
        <f>"000736"</f>
        <v>000736</v>
      </c>
      <c r="B283" t="s">
        <v>885</v>
      </c>
      <c r="C283">
        <v>8.4</v>
      </c>
      <c r="D283">
        <v>8.4</v>
      </c>
      <c r="E283">
        <v>8.27</v>
      </c>
      <c r="F283">
        <v>8.34</v>
      </c>
      <c r="G283">
        <v>24783</v>
      </c>
      <c r="H283">
        <v>20645002</v>
      </c>
      <c r="I283">
        <v>0.78</v>
      </c>
      <c r="J283" t="s">
        <v>7</v>
      </c>
      <c r="K283" t="s">
        <v>386</v>
      </c>
      <c r="L283">
        <v>-0.48</v>
      </c>
      <c r="M283">
        <v>8.33</v>
      </c>
      <c r="N283">
        <v>15446</v>
      </c>
      <c r="O283">
        <v>9336</v>
      </c>
      <c r="P283">
        <v>1.65</v>
      </c>
      <c r="Q283">
        <v>290</v>
      </c>
      <c r="R283">
        <v>86</v>
      </c>
      <c r="S283" t="s">
        <v>3</v>
      </c>
      <c r="T283">
        <v>12824.53</v>
      </c>
      <c r="U283" t="s">
        <v>886</v>
      </c>
      <c r="V283" t="s">
        <v>887</v>
      </c>
      <c r="W283">
        <v>-0.32</v>
      </c>
    </row>
    <row r="284" spans="1:23">
      <c r="A284" t="str">
        <f>"000737"</f>
        <v>000737</v>
      </c>
      <c r="B284" t="s">
        <v>888</v>
      </c>
      <c r="C284">
        <v>4.6399999999999997</v>
      </c>
      <c r="D284">
        <v>4.74</v>
      </c>
      <c r="E284">
        <v>4.6100000000000003</v>
      </c>
      <c r="F284">
        <v>4.7300000000000004</v>
      </c>
      <c r="G284">
        <v>123865</v>
      </c>
      <c r="H284">
        <v>57909732</v>
      </c>
      <c r="I284">
        <v>1.39</v>
      </c>
      <c r="J284" t="s">
        <v>405</v>
      </c>
      <c r="K284" t="s">
        <v>742</v>
      </c>
      <c r="L284">
        <v>1.94</v>
      </c>
      <c r="M284">
        <v>4.68</v>
      </c>
      <c r="N284">
        <v>50521</v>
      </c>
      <c r="O284">
        <v>73344</v>
      </c>
      <c r="P284">
        <v>0.69</v>
      </c>
      <c r="Q284">
        <v>974</v>
      </c>
      <c r="R284">
        <v>3066</v>
      </c>
      <c r="S284" t="s">
        <v>3</v>
      </c>
      <c r="T284">
        <v>54873.120000000003</v>
      </c>
      <c r="U284" t="s">
        <v>889</v>
      </c>
      <c r="V284" t="s">
        <v>890</v>
      </c>
      <c r="W284">
        <v>2.1</v>
      </c>
    </row>
    <row r="285" spans="1:23">
      <c r="A285" t="str">
        <f>"000738"</f>
        <v>000738</v>
      </c>
      <c r="B285" t="s">
        <v>891</v>
      </c>
      <c r="C285">
        <v>16.600000000000001</v>
      </c>
      <c r="D285">
        <v>16.850000000000001</v>
      </c>
      <c r="E285">
        <v>16.29</v>
      </c>
      <c r="F285">
        <v>16.41</v>
      </c>
      <c r="G285">
        <v>388585</v>
      </c>
      <c r="H285">
        <v>641145408</v>
      </c>
      <c r="I285">
        <v>1.41</v>
      </c>
      <c r="J285" t="s">
        <v>892</v>
      </c>
      <c r="K285" t="s">
        <v>234</v>
      </c>
      <c r="L285">
        <v>-1.74</v>
      </c>
      <c r="M285">
        <v>16.5</v>
      </c>
      <c r="N285">
        <v>211084</v>
      </c>
      <c r="O285">
        <v>177500</v>
      </c>
      <c r="P285">
        <v>1.19</v>
      </c>
      <c r="Q285">
        <v>1559</v>
      </c>
      <c r="R285">
        <v>1133</v>
      </c>
      <c r="S285" t="s">
        <v>3</v>
      </c>
      <c r="T285">
        <v>114564.22</v>
      </c>
      <c r="U285" t="s">
        <v>893</v>
      </c>
      <c r="V285" t="s">
        <v>893</v>
      </c>
      <c r="W285">
        <v>-1.58</v>
      </c>
    </row>
    <row r="286" spans="1:23">
      <c r="A286" t="str">
        <f>"000739"</f>
        <v>000739</v>
      </c>
      <c r="B286" t="s">
        <v>894</v>
      </c>
      <c r="C286">
        <v>7.76</v>
      </c>
      <c r="D286">
        <v>7.86</v>
      </c>
      <c r="E286">
        <v>7.76</v>
      </c>
      <c r="F286">
        <v>7.83</v>
      </c>
      <c r="G286">
        <v>190725</v>
      </c>
      <c r="H286">
        <v>148897952</v>
      </c>
      <c r="I286">
        <v>1.21</v>
      </c>
      <c r="J286" t="s">
        <v>219</v>
      </c>
      <c r="K286" t="s">
        <v>229</v>
      </c>
      <c r="L286">
        <v>1.1599999999999999</v>
      </c>
      <c r="M286">
        <v>7.81</v>
      </c>
      <c r="N286">
        <v>99846</v>
      </c>
      <c r="O286">
        <v>90879</v>
      </c>
      <c r="P286">
        <v>1.1000000000000001</v>
      </c>
      <c r="Q286">
        <v>219</v>
      </c>
      <c r="R286">
        <v>3875</v>
      </c>
      <c r="S286" t="s">
        <v>3</v>
      </c>
      <c r="T286">
        <v>75394.2</v>
      </c>
      <c r="U286" t="s">
        <v>895</v>
      </c>
      <c r="V286" t="s">
        <v>896</v>
      </c>
      <c r="W286">
        <v>1.32</v>
      </c>
    </row>
    <row r="287" spans="1:23">
      <c r="A287" t="str">
        <f>"000748"</f>
        <v>000748</v>
      </c>
      <c r="B287" t="s">
        <v>897</v>
      </c>
      <c r="C287">
        <v>25.3</v>
      </c>
      <c r="D287">
        <v>25.92</v>
      </c>
      <c r="E287">
        <v>25.3</v>
      </c>
      <c r="F287">
        <v>25.89</v>
      </c>
      <c r="G287">
        <v>88289</v>
      </c>
      <c r="H287">
        <v>225546976</v>
      </c>
      <c r="I287">
        <v>2.52</v>
      </c>
      <c r="J287" t="s">
        <v>66</v>
      </c>
      <c r="K287" t="s">
        <v>234</v>
      </c>
      <c r="L287">
        <v>2.74</v>
      </c>
      <c r="M287">
        <v>25.55</v>
      </c>
      <c r="N287">
        <v>37569</v>
      </c>
      <c r="O287">
        <v>50720</v>
      </c>
      <c r="P287">
        <v>0.74</v>
      </c>
      <c r="Q287">
        <v>20</v>
      </c>
      <c r="R287">
        <v>169</v>
      </c>
      <c r="S287" t="s">
        <v>3</v>
      </c>
      <c r="T287">
        <v>37556.21</v>
      </c>
      <c r="U287" t="s">
        <v>898</v>
      </c>
      <c r="V287" t="s">
        <v>898</v>
      </c>
      <c r="W287">
        <v>2.9</v>
      </c>
    </row>
    <row r="288" spans="1:23">
      <c r="A288" t="str">
        <f>"000750"</f>
        <v>000750</v>
      </c>
      <c r="B288" t="s">
        <v>899</v>
      </c>
      <c r="C288">
        <v>9.8800000000000008</v>
      </c>
      <c r="D288">
        <v>9.8800000000000008</v>
      </c>
      <c r="E288">
        <v>9.74</v>
      </c>
      <c r="F288">
        <v>9.76</v>
      </c>
      <c r="G288">
        <v>259640</v>
      </c>
      <c r="H288">
        <v>254026880</v>
      </c>
      <c r="I288">
        <v>0.76</v>
      </c>
      <c r="J288" t="s">
        <v>512</v>
      </c>
      <c r="K288" t="s">
        <v>417</v>
      </c>
      <c r="L288">
        <v>-1.31</v>
      </c>
      <c r="M288">
        <v>9.7799999999999994</v>
      </c>
      <c r="N288">
        <v>162448</v>
      </c>
      <c r="O288">
        <v>97191</v>
      </c>
      <c r="P288">
        <v>1.67</v>
      </c>
      <c r="Q288">
        <v>3916</v>
      </c>
      <c r="R288">
        <v>1746</v>
      </c>
      <c r="S288" t="s">
        <v>3</v>
      </c>
      <c r="T288">
        <v>201821.09</v>
      </c>
      <c r="U288" t="s">
        <v>900</v>
      </c>
      <c r="V288" t="s">
        <v>901</v>
      </c>
      <c r="W288">
        <v>-1.1599999999999999</v>
      </c>
    </row>
    <row r="289" spans="1:23">
      <c r="A289" t="str">
        <f>"000751"</f>
        <v>000751</v>
      </c>
      <c r="B289" t="s">
        <v>902</v>
      </c>
      <c r="C289">
        <v>7.1</v>
      </c>
      <c r="D289">
        <v>7.14</v>
      </c>
      <c r="E289">
        <v>7</v>
      </c>
      <c r="F289">
        <v>7.07</v>
      </c>
      <c r="G289">
        <v>675754</v>
      </c>
      <c r="H289">
        <v>476897536</v>
      </c>
      <c r="I289">
        <v>0.84</v>
      </c>
      <c r="J289" t="s">
        <v>165</v>
      </c>
      <c r="K289" t="s">
        <v>162</v>
      </c>
      <c r="L289">
        <v>-1.67</v>
      </c>
      <c r="M289">
        <v>7.06</v>
      </c>
      <c r="N289">
        <v>380806</v>
      </c>
      <c r="O289">
        <v>294947</v>
      </c>
      <c r="P289">
        <v>1.29</v>
      </c>
      <c r="Q289">
        <v>4367</v>
      </c>
      <c r="R289">
        <v>1264</v>
      </c>
      <c r="S289" t="s">
        <v>3</v>
      </c>
      <c r="T289">
        <v>140984.81</v>
      </c>
      <c r="U289" t="s">
        <v>903</v>
      </c>
      <c r="V289" t="s">
        <v>903</v>
      </c>
      <c r="W289">
        <v>-1.51</v>
      </c>
    </row>
    <row r="290" spans="1:23">
      <c r="A290" t="str">
        <f>"000752"</f>
        <v>000752</v>
      </c>
      <c r="B290" t="s">
        <v>904</v>
      </c>
      <c r="C290">
        <v>10.84</v>
      </c>
      <c r="D290">
        <v>11.11</v>
      </c>
      <c r="E290">
        <v>10.84</v>
      </c>
      <c r="F290">
        <v>11.01</v>
      </c>
      <c r="G290">
        <v>87897</v>
      </c>
      <c r="H290">
        <v>96954480</v>
      </c>
      <c r="I290">
        <v>0.95</v>
      </c>
      <c r="J290" t="s">
        <v>871</v>
      </c>
      <c r="K290" t="s">
        <v>905</v>
      </c>
      <c r="L290">
        <v>0.73</v>
      </c>
      <c r="M290">
        <v>11.03</v>
      </c>
      <c r="N290">
        <v>38295</v>
      </c>
      <c r="O290">
        <v>49601</v>
      </c>
      <c r="P290">
        <v>0.77</v>
      </c>
      <c r="Q290">
        <v>1603</v>
      </c>
      <c r="R290">
        <v>1050</v>
      </c>
      <c r="S290" t="s">
        <v>3</v>
      </c>
      <c r="T290">
        <v>26375.01</v>
      </c>
      <c r="U290" t="s">
        <v>906</v>
      </c>
      <c r="V290" t="s">
        <v>906</v>
      </c>
      <c r="W290">
        <v>0.89</v>
      </c>
    </row>
    <row r="291" spans="1:23">
      <c r="A291" t="str">
        <f>"000753"</f>
        <v>000753</v>
      </c>
      <c r="B291" t="s">
        <v>907</v>
      </c>
      <c r="C291">
        <v>5.97</v>
      </c>
      <c r="D291">
        <v>5.97</v>
      </c>
      <c r="E291">
        <v>5.75</v>
      </c>
      <c r="F291">
        <v>5.91</v>
      </c>
      <c r="G291">
        <v>324007</v>
      </c>
      <c r="H291">
        <v>189785200</v>
      </c>
      <c r="I291">
        <v>1.22</v>
      </c>
      <c r="J291" t="s">
        <v>79</v>
      </c>
      <c r="K291" t="s">
        <v>414</v>
      </c>
      <c r="L291">
        <v>-2.31</v>
      </c>
      <c r="M291">
        <v>5.86</v>
      </c>
      <c r="N291">
        <v>176698</v>
      </c>
      <c r="O291">
        <v>147308</v>
      </c>
      <c r="P291">
        <v>1.2</v>
      </c>
      <c r="Q291">
        <v>256</v>
      </c>
      <c r="R291">
        <v>2432</v>
      </c>
      <c r="S291" t="s">
        <v>3</v>
      </c>
      <c r="T291">
        <v>41119.33</v>
      </c>
      <c r="U291" t="s">
        <v>908</v>
      </c>
      <c r="V291" t="s">
        <v>908</v>
      </c>
      <c r="W291">
        <v>-2.16</v>
      </c>
    </row>
    <row r="292" spans="1:23">
      <c r="A292" t="str">
        <f>"000755"</f>
        <v>000755</v>
      </c>
      <c r="B292" t="s">
        <v>909</v>
      </c>
      <c r="C292">
        <v>4.6100000000000003</v>
      </c>
      <c r="D292">
        <v>4.8099999999999996</v>
      </c>
      <c r="E292">
        <v>4.6100000000000003</v>
      </c>
      <c r="F292">
        <v>4.75</v>
      </c>
      <c r="G292">
        <v>137777</v>
      </c>
      <c r="H292">
        <v>65522828</v>
      </c>
      <c r="I292">
        <v>2.16</v>
      </c>
      <c r="J292" t="s">
        <v>376</v>
      </c>
      <c r="K292" t="s">
        <v>742</v>
      </c>
      <c r="L292">
        <v>3.71</v>
      </c>
      <c r="M292">
        <v>4.76</v>
      </c>
      <c r="N292">
        <v>55533</v>
      </c>
      <c r="O292">
        <v>82243</v>
      </c>
      <c r="P292">
        <v>0.68</v>
      </c>
      <c r="Q292">
        <v>4</v>
      </c>
      <c r="R292">
        <v>1532</v>
      </c>
      <c r="S292" t="s">
        <v>3</v>
      </c>
      <c r="T292">
        <v>46924.89</v>
      </c>
      <c r="U292" t="s">
        <v>910</v>
      </c>
      <c r="V292" t="s">
        <v>910</v>
      </c>
      <c r="W292">
        <v>3.87</v>
      </c>
    </row>
    <row r="293" spans="1:23">
      <c r="A293" t="str">
        <f>"000756"</f>
        <v>000756</v>
      </c>
      <c r="B293" t="s">
        <v>911</v>
      </c>
      <c r="C293">
        <v>6.81</v>
      </c>
      <c r="D293">
        <v>7.05</v>
      </c>
      <c r="E293">
        <v>6.8</v>
      </c>
      <c r="F293">
        <v>6.96</v>
      </c>
      <c r="G293">
        <v>72220</v>
      </c>
      <c r="H293">
        <v>50042400</v>
      </c>
      <c r="I293">
        <v>1.68</v>
      </c>
      <c r="J293" t="s">
        <v>219</v>
      </c>
      <c r="K293" t="s">
        <v>250</v>
      </c>
      <c r="L293">
        <v>2.0499999999999998</v>
      </c>
      <c r="M293">
        <v>6.93</v>
      </c>
      <c r="N293">
        <v>29434</v>
      </c>
      <c r="O293">
        <v>42786</v>
      </c>
      <c r="P293">
        <v>0.69</v>
      </c>
      <c r="Q293">
        <v>261</v>
      </c>
      <c r="R293">
        <v>219</v>
      </c>
      <c r="S293" t="s">
        <v>3</v>
      </c>
      <c r="T293">
        <v>30731.27</v>
      </c>
      <c r="U293" t="s">
        <v>912</v>
      </c>
      <c r="V293" t="s">
        <v>912</v>
      </c>
      <c r="W293">
        <v>2.21</v>
      </c>
    </row>
    <row r="294" spans="1:23">
      <c r="A294" t="str">
        <f>"000757"</f>
        <v>000757</v>
      </c>
      <c r="B294" t="s">
        <v>913</v>
      </c>
      <c r="C294">
        <v>6.49</v>
      </c>
      <c r="D294">
        <v>6.75</v>
      </c>
      <c r="E294">
        <v>6.35</v>
      </c>
      <c r="F294">
        <v>6.37</v>
      </c>
      <c r="G294">
        <v>157493</v>
      </c>
      <c r="H294">
        <v>101845392</v>
      </c>
      <c r="I294">
        <v>1.53</v>
      </c>
      <c r="J294" t="s">
        <v>98</v>
      </c>
      <c r="K294" t="s">
        <v>225</v>
      </c>
      <c r="L294">
        <v>-1.0900000000000001</v>
      </c>
      <c r="M294">
        <v>6.47</v>
      </c>
      <c r="N294">
        <v>92611</v>
      </c>
      <c r="O294">
        <v>64882</v>
      </c>
      <c r="P294">
        <v>1.43</v>
      </c>
      <c r="Q294">
        <v>2543</v>
      </c>
      <c r="R294">
        <v>585</v>
      </c>
      <c r="S294" t="s">
        <v>3</v>
      </c>
      <c r="T294">
        <v>31280.26</v>
      </c>
      <c r="U294" t="s">
        <v>914</v>
      </c>
      <c r="V294" t="s">
        <v>915</v>
      </c>
      <c r="W294">
        <v>-0.93</v>
      </c>
    </row>
    <row r="295" spans="1:23">
      <c r="A295" t="str">
        <f>"000758"</f>
        <v>000758</v>
      </c>
      <c r="B295" t="s">
        <v>916</v>
      </c>
      <c r="C295">
        <v>11.69</v>
      </c>
      <c r="D295">
        <v>11.85</v>
      </c>
      <c r="E295">
        <v>11.61</v>
      </c>
      <c r="F295">
        <v>11.65</v>
      </c>
      <c r="G295">
        <v>137503</v>
      </c>
      <c r="H295">
        <v>160727152</v>
      </c>
      <c r="I295">
        <v>0.94</v>
      </c>
      <c r="J295" t="s">
        <v>165</v>
      </c>
      <c r="K295" t="s">
        <v>34</v>
      </c>
      <c r="L295">
        <v>-0.34</v>
      </c>
      <c r="M295">
        <v>11.69</v>
      </c>
      <c r="N295">
        <v>77206</v>
      </c>
      <c r="O295">
        <v>60296</v>
      </c>
      <c r="P295">
        <v>1.28</v>
      </c>
      <c r="Q295">
        <v>867</v>
      </c>
      <c r="R295">
        <v>177</v>
      </c>
      <c r="S295" t="s">
        <v>3</v>
      </c>
      <c r="T295">
        <v>90156.15</v>
      </c>
      <c r="U295" t="s">
        <v>917</v>
      </c>
      <c r="V295" t="s">
        <v>918</v>
      </c>
      <c r="W295">
        <v>-0.18</v>
      </c>
    </row>
    <row r="296" spans="1:23">
      <c r="A296" t="str">
        <f>"000759"</f>
        <v>000759</v>
      </c>
      <c r="B296" t="s">
        <v>919</v>
      </c>
      <c r="C296">
        <v>8.75</v>
      </c>
      <c r="D296">
        <v>8.76</v>
      </c>
      <c r="E296">
        <v>8.58</v>
      </c>
      <c r="F296">
        <v>8.69</v>
      </c>
      <c r="G296">
        <v>46340</v>
      </c>
      <c r="H296">
        <v>40082980</v>
      </c>
      <c r="I296">
        <v>1.5</v>
      </c>
      <c r="J296" t="s">
        <v>920</v>
      </c>
      <c r="K296" t="s">
        <v>317</v>
      </c>
      <c r="L296">
        <v>-1.03</v>
      </c>
      <c r="M296">
        <v>8.65</v>
      </c>
      <c r="N296">
        <v>29995</v>
      </c>
      <c r="O296">
        <v>16344</v>
      </c>
      <c r="P296">
        <v>1.84</v>
      </c>
      <c r="Q296">
        <v>149</v>
      </c>
      <c r="R296">
        <v>273</v>
      </c>
      <c r="S296" t="s">
        <v>3</v>
      </c>
      <c r="T296">
        <v>68057.63</v>
      </c>
      <c r="U296" t="s">
        <v>921</v>
      </c>
      <c r="V296" t="s">
        <v>922</v>
      </c>
      <c r="W296">
        <v>-0.87</v>
      </c>
    </row>
    <row r="297" spans="1:23">
      <c r="A297" t="str">
        <f>"000760"</f>
        <v>000760</v>
      </c>
      <c r="B297" t="s">
        <v>923</v>
      </c>
      <c r="C297">
        <v>13.98</v>
      </c>
      <c r="D297">
        <v>14.03</v>
      </c>
      <c r="E297">
        <v>13.8</v>
      </c>
      <c r="F297">
        <v>13.91</v>
      </c>
      <c r="G297">
        <v>48741</v>
      </c>
      <c r="H297">
        <v>67625792</v>
      </c>
      <c r="I297">
        <v>1.03</v>
      </c>
      <c r="J297" t="s">
        <v>98</v>
      </c>
      <c r="K297" t="s">
        <v>244</v>
      </c>
      <c r="L297">
        <v>-0.43</v>
      </c>
      <c r="M297">
        <v>13.87</v>
      </c>
      <c r="N297">
        <v>26594</v>
      </c>
      <c r="O297">
        <v>22146</v>
      </c>
      <c r="P297">
        <v>1.2</v>
      </c>
      <c r="Q297">
        <v>277</v>
      </c>
      <c r="R297">
        <v>4</v>
      </c>
      <c r="S297" t="s">
        <v>3</v>
      </c>
      <c r="T297">
        <v>23685.23</v>
      </c>
      <c r="U297" t="s">
        <v>924</v>
      </c>
      <c r="V297" t="s">
        <v>925</v>
      </c>
      <c r="W297">
        <v>-0.27</v>
      </c>
    </row>
    <row r="298" spans="1:23">
      <c r="A298" t="str">
        <f>"000761"</f>
        <v>000761</v>
      </c>
      <c r="B298" t="s">
        <v>926</v>
      </c>
      <c r="C298">
        <v>6.12</v>
      </c>
      <c r="D298">
        <v>6.12</v>
      </c>
      <c r="E298">
        <v>6.02</v>
      </c>
      <c r="F298">
        <v>6.07</v>
      </c>
      <c r="G298">
        <v>145163</v>
      </c>
      <c r="H298">
        <v>88114992</v>
      </c>
      <c r="I298">
        <v>0.45</v>
      </c>
      <c r="J298" t="s">
        <v>838</v>
      </c>
      <c r="K298" t="s">
        <v>162</v>
      </c>
      <c r="L298">
        <v>-0.82</v>
      </c>
      <c r="M298">
        <v>6.07</v>
      </c>
      <c r="N298">
        <v>89456</v>
      </c>
      <c r="O298">
        <v>55706</v>
      </c>
      <c r="P298">
        <v>1.61</v>
      </c>
      <c r="Q298">
        <v>5043</v>
      </c>
      <c r="R298">
        <v>854</v>
      </c>
      <c r="S298" t="s">
        <v>3</v>
      </c>
      <c r="T298">
        <v>273600</v>
      </c>
      <c r="U298" t="s">
        <v>927</v>
      </c>
      <c r="V298" t="s">
        <v>928</v>
      </c>
      <c r="W298">
        <v>-0.66</v>
      </c>
    </row>
    <row r="299" spans="1:23">
      <c r="A299" t="str">
        <f>"000762"</f>
        <v>000762</v>
      </c>
      <c r="B299" t="s">
        <v>929</v>
      </c>
      <c r="C299">
        <v>15.53</v>
      </c>
      <c r="D299">
        <v>15.66</v>
      </c>
      <c r="E299">
        <v>15.26</v>
      </c>
      <c r="F299">
        <v>15.43</v>
      </c>
      <c r="G299">
        <v>125557</v>
      </c>
      <c r="H299">
        <v>193810448</v>
      </c>
      <c r="I299">
        <v>1.05</v>
      </c>
      <c r="J299" t="s">
        <v>328</v>
      </c>
      <c r="K299" t="s">
        <v>905</v>
      </c>
      <c r="L299">
        <v>-1.0900000000000001</v>
      </c>
      <c r="M299">
        <v>15.44</v>
      </c>
      <c r="N299">
        <v>73671</v>
      </c>
      <c r="O299">
        <v>51885</v>
      </c>
      <c r="P299">
        <v>1.42</v>
      </c>
      <c r="Q299">
        <v>169</v>
      </c>
      <c r="R299">
        <v>360</v>
      </c>
      <c r="S299" t="s">
        <v>3</v>
      </c>
      <c r="T299">
        <v>47597.48</v>
      </c>
      <c r="U299" t="s">
        <v>930</v>
      </c>
      <c r="V299" t="s">
        <v>930</v>
      </c>
      <c r="W299">
        <v>-0.93</v>
      </c>
    </row>
    <row r="300" spans="1:23">
      <c r="A300" t="str">
        <f>"000766"</f>
        <v>000766</v>
      </c>
      <c r="B300" t="s">
        <v>931</v>
      </c>
      <c r="C300">
        <v>6.78</v>
      </c>
      <c r="D300">
        <v>6.93</v>
      </c>
      <c r="E300">
        <v>6.69</v>
      </c>
      <c r="F300">
        <v>6.92</v>
      </c>
      <c r="G300">
        <v>97416</v>
      </c>
      <c r="H300">
        <v>66611608</v>
      </c>
      <c r="I300">
        <v>1.56</v>
      </c>
      <c r="J300" t="s">
        <v>321</v>
      </c>
      <c r="K300" t="s">
        <v>99</v>
      </c>
      <c r="L300">
        <v>2.2200000000000002</v>
      </c>
      <c r="M300">
        <v>6.84</v>
      </c>
      <c r="N300">
        <v>39041</v>
      </c>
      <c r="O300">
        <v>58375</v>
      </c>
      <c r="P300">
        <v>0.67</v>
      </c>
      <c r="Q300">
        <v>814</v>
      </c>
      <c r="R300">
        <v>734</v>
      </c>
      <c r="S300" t="s">
        <v>3</v>
      </c>
      <c r="T300">
        <v>44901.48</v>
      </c>
      <c r="U300" t="s">
        <v>932</v>
      </c>
      <c r="V300" t="s">
        <v>932</v>
      </c>
      <c r="W300">
        <v>2.37</v>
      </c>
    </row>
    <row r="301" spans="1:23">
      <c r="A301" t="str">
        <f>"000767"</f>
        <v>000767</v>
      </c>
      <c r="B301" t="s">
        <v>933</v>
      </c>
      <c r="C301">
        <v>3.21</v>
      </c>
      <c r="D301">
        <v>3.29</v>
      </c>
      <c r="E301">
        <v>3.2</v>
      </c>
      <c r="F301">
        <v>3.26</v>
      </c>
      <c r="G301">
        <v>536840</v>
      </c>
      <c r="H301">
        <v>174432656</v>
      </c>
      <c r="I301">
        <v>2.4700000000000002</v>
      </c>
      <c r="J301" t="s">
        <v>87</v>
      </c>
      <c r="K301" t="s">
        <v>742</v>
      </c>
      <c r="L301">
        <v>1.24</v>
      </c>
      <c r="M301">
        <v>3.25</v>
      </c>
      <c r="N301">
        <v>228605</v>
      </c>
      <c r="O301">
        <v>308234</v>
      </c>
      <c r="P301">
        <v>0.74</v>
      </c>
      <c r="Q301">
        <v>1593</v>
      </c>
      <c r="R301">
        <v>9605</v>
      </c>
      <c r="S301" t="s">
        <v>3</v>
      </c>
      <c r="T301">
        <v>157371.63</v>
      </c>
      <c r="U301" t="s">
        <v>934</v>
      </c>
      <c r="V301" t="s">
        <v>935</v>
      </c>
      <c r="W301">
        <v>1.4</v>
      </c>
    </row>
    <row r="302" spans="1:23">
      <c r="A302" t="str">
        <f>"000768"</f>
        <v>000768</v>
      </c>
      <c r="B302" t="s">
        <v>936</v>
      </c>
      <c r="C302">
        <v>14.46</v>
      </c>
      <c r="D302">
        <v>14.86</v>
      </c>
      <c r="E302">
        <v>14.32</v>
      </c>
      <c r="F302">
        <v>14.48</v>
      </c>
      <c r="G302">
        <v>428587</v>
      </c>
      <c r="H302">
        <v>625447232</v>
      </c>
      <c r="I302">
        <v>0.68</v>
      </c>
      <c r="J302" t="s">
        <v>892</v>
      </c>
      <c r="K302" t="s">
        <v>389</v>
      </c>
      <c r="L302">
        <v>0.63</v>
      </c>
      <c r="M302">
        <v>14.59</v>
      </c>
      <c r="N302">
        <v>206202</v>
      </c>
      <c r="O302">
        <v>222385</v>
      </c>
      <c r="P302">
        <v>0.93</v>
      </c>
      <c r="Q302">
        <v>2199</v>
      </c>
      <c r="R302">
        <v>788</v>
      </c>
      <c r="S302" t="s">
        <v>3</v>
      </c>
      <c r="T302">
        <v>233980.2</v>
      </c>
      <c r="U302" t="s">
        <v>937</v>
      </c>
      <c r="V302" t="s">
        <v>938</v>
      </c>
      <c r="W302">
        <v>0.78</v>
      </c>
    </row>
    <row r="303" spans="1:23">
      <c r="A303" t="str">
        <f>"000776"</f>
        <v>000776</v>
      </c>
      <c r="B303" t="s">
        <v>939</v>
      </c>
      <c r="C303">
        <v>10.84</v>
      </c>
      <c r="D303">
        <v>10.88</v>
      </c>
      <c r="E303">
        <v>10.73</v>
      </c>
      <c r="F303">
        <v>10.76</v>
      </c>
      <c r="G303">
        <v>371587</v>
      </c>
      <c r="H303">
        <v>400848992</v>
      </c>
      <c r="I303">
        <v>0.86</v>
      </c>
      <c r="J303" t="s">
        <v>512</v>
      </c>
      <c r="K303" t="s">
        <v>211</v>
      </c>
      <c r="L303">
        <v>-0.28000000000000003</v>
      </c>
      <c r="M303">
        <v>10.79</v>
      </c>
      <c r="N303">
        <v>222566</v>
      </c>
      <c r="O303">
        <v>149021</v>
      </c>
      <c r="P303">
        <v>1.49</v>
      </c>
      <c r="Q303">
        <v>2521</v>
      </c>
      <c r="R303">
        <v>50</v>
      </c>
      <c r="S303" t="s">
        <v>3</v>
      </c>
      <c r="T303">
        <v>591929.13</v>
      </c>
      <c r="U303" t="s">
        <v>940</v>
      </c>
      <c r="V303" t="s">
        <v>940</v>
      </c>
      <c r="W303">
        <v>-0.12</v>
      </c>
    </row>
    <row r="304" spans="1:23">
      <c r="A304" t="str">
        <f>"000777"</f>
        <v>000777</v>
      </c>
      <c r="B304" t="s">
        <v>941</v>
      </c>
      <c r="C304">
        <v>16.59</v>
      </c>
      <c r="D304">
        <v>16.88</v>
      </c>
      <c r="E304">
        <v>16.39</v>
      </c>
      <c r="F304">
        <v>16.48</v>
      </c>
      <c r="G304">
        <v>175012</v>
      </c>
      <c r="H304">
        <v>290068864</v>
      </c>
      <c r="I304">
        <v>0.69</v>
      </c>
      <c r="J304" t="s">
        <v>398</v>
      </c>
      <c r="K304" t="s">
        <v>244</v>
      </c>
      <c r="L304">
        <v>-0.12</v>
      </c>
      <c r="M304">
        <v>16.57</v>
      </c>
      <c r="N304">
        <v>97456</v>
      </c>
      <c r="O304">
        <v>77555</v>
      </c>
      <c r="P304">
        <v>1.26</v>
      </c>
      <c r="Q304">
        <v>212</v>
      </c>
      <c r="R304">
        <v>1075</v>
      </c>
      <c r="S304" t="s">
        <v>3</v>
      </c>
      <c r="T304">
        <v>38335.1</v>
      </c>
      <c r="U304" t="s">
        <v>942</v>
      </c>
      <c r="V304" t="s">
        <v>943</v>
      </c>
      <c r="W304">
        <v>0.04</v>
      </c>
    </row>
    <row r="305" spans="1:23">
      <c r="A305" t="str">
        <f>"000778"</f>
        <v>000778</v>
      </c>
      <c r="B305" t="s">
        <v>944</v>
      </c>
      <c r="C305">
        <v>4.32</v>
      </c>
      <c r="D305">
        <v>4.42</v>
      </c>
      <c r="E305">
        <v>4.28</v>
      </c>
      <c r="F305">
        <v>4.37</v>
      </c>
      <c r="G305">
        <v>512327</v>
      </c>
      <c r="H305">
        <v>223265504</v>
      </c>
      <c r="I305">
        <v>1.5</v>
      </c>
      <c r="J305" t="s">
        <v>838</v>
      </c>
      <c r="K305" t="s">
        <v>238</v>
      </c>
      <c r="L305">
        <v>1.1599999999999999</v>
      </c>
      <c r="M305">
        <v>4.3600000000000003</v>
      </c>
      <c r="N305">
        <v>255406</v>
      </c>
      <c r="O305">
        <v>256920</v>
      </c>
      <c r="P305">
        <v>0.99</v>
      </c>
      <c r="Q305">
        <v>719</v>
      </c>
      <c r="R305">
        <v>6649</v>
      </c>
      <c r="S305" t="s">
        <v>3</v>
      </c>
      <c r="T305">
        <v>364209.41</v>
      </c>
      <c r="U305" t="s">
        <v>945</v>
      </c>
      <c r="V305" t="s">
        <v>946</v>
      </c>
      <c r="W305">
        <v>1.32</v>
      </c>
    </row>
    <row r="306" spans="1:23">
      <c r="A306" t="str">
        <f>"000779"</f>
        <v>000779</v>
      </c>
      <c r="B306" t="s">
        <v>947</v>
      </c>
      <c r="C306">
        <v>10.4</v>
      </c>
      <c r="D306">
        <v>10.96</v>
      </c>
      <c r="E306">
        <v>10.4</v>
      </c>
      <c r="F306">
        <v>10.79</v>
      </c>
      <c r="G306">
        <v>26872</v>
      </c>
      <c r="H306">
        <v>28872772</v>
      </c>
      <c r="I306">
        <v>1.1000000000000001</v>
      </c>
      <c r="J306" t="s">
        <v>55</v>
      </c>
      <c r="K306" t="s">
        <v>483</v>
      </c>
      <c r="L306">
        <v>2.96</v>
      </c>
      <c r="M306">
        <v>10.74</v>
      </c>
      <c r="N306">
        <v>14580</v>
      </c>
      <c r="O306">
        <v>12291</v>
      </c>
      <c r="P306">
        <v>1.19</v>
      </c>
      <c r="Q306">
        <v>6</v>
      </c>
      <c r="R306">
        <v>360</v>
      </c>
      <c r="S306" t="s">
        <v>3</v>
      </c>
      <c r="T306">
        <v>16012.19</v>
      </c>
      <c r="U306" t="s">
        <v>948</v>
      </c>
      <c r="V306" t="s">
        <v>949</v>
      </c>
      <c r="W306">
        <v>3.12</v>
      </c>
    </row>
    <row r="307" spans="1:23">
      <c r="A307" t="str">
        <f>"000780"</f>
        <v>000780</v>
      </c>
      <c r="B307" t="s">
        <v>950</v>
      </c>
      <c r="C307">
        <v>4.7300000000000004</v>
      </c>
      <c r="D307">
        <v>4.76</v>
      </c>
      <c r="E307">
        <v>4.6399999999999997</v>
      </c>
      <c r="F307">
        <v>4.71</v>
      </c>
      <c r="G307">
        <v>123157</v>
      </c>
      <c r="H307">
        <v>57909724</v>
      </c>
      <c r="I307">
        <v>1.31</v>
      </c>
      <c r="J307" t="s">
        <v>482</v>
      </c>
      <c r="K307" t="s">
        <v>329</v>
      </c>
      <c r="L307">
        <v>0</v>
      </c>
      <c r="M307">
        <v>4.7</v>
      </c>
      <c r="N307">
        <v>56489</v>
      </c>
      <c r="O307">
        <v>66667</v>
      </c>
      <c r="P307">
        <v>0.85</v>
      </c>
      <c r="Q307">
        <v>1447</v>
      </c>
      <c r="R307">
        <v>2272</v>
      </c>
      <c r="S307" t="s">
        <v>3</v>
      </c>
      <c r="T307">
        <v>101430.63</v>
      </c>
      <c r="U307" t="s">
        <v>951</v>
      </c>
      <c r="V307" t="s">
        <v>951</v>
      </c>
      <c r="W307">
        <v>0.16</v>
      </c>
    </row>
    <row r="308" spans="1:23">
      <c r="A308" t="str">
        <f>"000782"</f>
        <v>000782</v>
      </c>
      <c r="B308" t="s">
        <v>952</v>
      </c>
      <c r="C308">
        <v>6.25</v>
      </c>
      <c r="D308">
        <v>6.28</v>
      </c>
      <c r="E308">
        <v>6.16</v>
      </c>
      <c r="F308">
        <v>6.24</v>
      </c>
      <c r="G308">
        <v>47675</v>
      </c>
      <c r="H308">
        <v>29611436</v>
      </c>
      <c r="I308">
        <v>0.76</v>
      </c>
      <c r="J308" t="s">
        <v>310</v>
      </c>
      <c r="K308" t="s">
        <v>211</v>
      </c>
      <c r="L308">
        <v>-0.32</v>
      </c>
      <c r="M308">
        <v>6.21</v>
      </c>
      <c r="N308">
        <v>28378</v>
      </c>
      <c r="O308">
        <v>19296</v>
      </c>
      <c r="P308">
        <v>1.47</v>
      </c>
      <c r="Q308">
        <v>149</v>
      </c>
      <c r="R308">
        <v>528</v>
      </c>
      <c r="S308" t="s">
        <v>3</v>
      </c>
      <c r="T308">
        <v>35269.050000000003</v>
      </c>
      <c r="U308" t="s">
        <v>953</v>
      </c>
      <c r="V308" t="s">
        <v>954</v>
      </c>
      <c r="W308">
        <v>-0.16</v>
      </c>
    </row>
    <row r="309" spans="1:23">
      <c r="A309" t="str">
        <f>"000783"</f>
        <v>000783</v>
      </c>
      <c r="B309" t="s">
        <v>955</v>
      </c>
      <c r="C309">
        <v>6.16</v>
      </c>
      <c r="D309">
        <v>6.16</v>
      </c>
      <c r="E309">
        <v>6.05</v>
      </c>
      <c r="F309">
        <v>6.06</v>
      </c>
      <c r="G309">
        <v>1123232</v>
      </c>
      <c r="H309">
        <v>682684544</v>
      </c>
      <c r="I309">
        <v>0.69</v>
      </c>
      <c r="J309" t="s">
        <v>512</v>
      </c>
      <c r="K309" t="s">
        <v>317</v>
      </c>
      <c r="L309">
        <v>-1.62</v>
      </c>
      <c r="M309">
        <v>6.08</v>
      </c>
      <c r="N309">
        <v>654165</v>
      </c>
      <c r="O309">
        <v>469067</v>
      </c>
      <c r="P309">
        <v>1.39</v>
      </c>
      <c r="Q309">
        <v>6498</v>
      </c>
      <c r="R309">
        <v>4948</v>
      </c>
      <c r="S309" t="s">
        <v>3</v>
      </c>
      <c r="T309">
        <v>474236.72</v>
      </c>
      <c r="U309" t="s">
        <v>956</v>
      </c>
      <c r="V309" t="s">
        <v>956</v>
      </c>
      <c r="W309">
        <v>-1.46</v>
      </c>
    </row>
    <row r="310" spans="1:23">
      <c r="A310" t="str">
        <f>"000785"</f>
        <v>000785</v>
      </c>
      <c r="B310" t="s">
        <v>957</v>
      </c>
      <c r="C310">
        <v>7.3</v>
      </c>
      <c r="D310">
        <v>7.7</v>
      </c>
      <c r="E310">
        <v>7.28</v>
      </c>
      <c r="F310">
        <v>7.58</v>
      </c>
      <c r="G310">
        <v>102246</v>
      </c>
      <c r="H310">
        <v>77267480</v>
      </c>
      <c r="I310">
        <v>2.23</v>
      </c>
      <c r="J310" t="s">
        <v>297</v>
      </c>
      <c r="K310" t="s">
        <v>317</v>
      </c>
      <c r="L310">
        <v>3.84</v>
      </c>
      <c r="M310">
        <v>7.56</v>
      </c>
      <c r="N310">
        <v>43961</v>
      </c>
      <c r="O310">
        <v>58285</v>
      </c>
      <c r="P310">
        <v>0.75</v>
      </c>
      <c r="Q310">
        <v>137</v>
      </c>
      <c r="R310">
        <v>20</v>
      </c>
      <c r="S310" t="s">
        <v>3</v>
      </c>
      <c r="T310">
        <v>25109.360000000001</v>
      </c>
      <c r="U310" t="s">
        <v>958</v>
      </c>
      <c r="V310" t="s">
        <v>959</v>
      </c>
      <c r="W310">
        <v>3.99</v>
      </c>
    </row>
    <row r="311" spans="1:23">
      <c r="A311" t="str">
        <f>"000786"</f>
        <v>000786</v>
      </c>
      <c r="B311" t="s">
        <v>960</v>
      </c>
      <c r="C311">
        <v>17.54</v>
      </c>
      <c r="D311">
        <v>18.13</v>
      </c>
      <c r="E311">
        <v>17.54</v>
      </c>
      <c r="F311">
        <v>18.059999999999999</v>
      </c>
      <c r="G311">
        <v>106753</v>
      </c>
      <c r="H311">
        <v>191164080</v>
      </c>
      <c r="I311">
        <v>1.1599999999999999</v>
      </c>
      <c r="J311" t="s">
        <v>150</v>
      </c>
      <c r="K311" t="s">
        <v>34</v>
      </c>
      <c r="L311">
        <v>3.2</v>
      </c>
      <c r="M311">
        <v>17.91</v>
      </c>
      <c r="N311">
        <v>51061</v>
      </c>
      <c r="O311">
        <v>55691</v>
      </c>
      <c r="P311">
        <v>0.92</v>
      </c>
      <c r="Q311">
        <v>49</v>
      </c>
      <c r="R311">
        <v>76</v>
      </c>
      <c r="S311" t="s">
        <v>3</v>
      </c>
      <c r="T311">
        <v>57509.3</v>
      </c>
      <c r="U311" t="s">
        <v>961</v>
      </c>
      <c r="V311" t="s">
        <v>962</v>
      </c>
      <c r="W311">
        <v>3.36</v>
      </c>
    </row>
    <row r="312" spans="1:23">
      <c r="A312" t="str">
        <f>"000788"</f>
        <v>000788</v>
      </c>
      <c r="B312" t="s">
        <v>963</v>
      </c>
      <c r="C312">
        <v>19.54</v>
      </c>
      <c r="D312">
        <v>20.12</v>
      </c>
      <c r="E312">
        <v>19.510000000000002</v>
      </c>
      <c r="F312">
        <v>19.91</v>
      </c>
      <c r="G312">
        <v>150860</v>
      </c>
      <c r="H312">
        <v>299794080</v>
      </c>
      <c r="I312">
        <v>1.55</v>
      </c>
      <c r="J312" t="s">
        <v>219</v>
      </c>
      <c r="K312" t="s">
        <v>386</v>
      </c>
      <c r="L312">
        <v>2.1</v>
      </c>
      <c r="M312">
        <v>19.87</v>
      </c>
      <c r="N312">
        <v>76302</v>
      </c>
      <c r="O312">
        <v>74558</v>
      </c>
      <c r="P312">
        <v>1.02</v>
      </c>
      <c r="Q312">
        <v>572</v>
      </c>
      <c r="R312">
        <v>492</v>
      </c>
      <c r="S312" t="s">
        <v>3</v>
      </c>
      <c r="T312">
        <v>55877.440000000002</v>
      </c>
      <c r="U312" t="s">
        <v>964</v>
      </c>
      <c r="V312" t="s">
        <v>965</v>
      </c>
      <c r="W312">
        <v>2.2599999999999998</v>
      </c>
    </row>
    <row r="313" spans="1:23">
      <c r="A313" t="str">
        <f>"000789"</f>
        <v>000789</v>
      </c>
      <c r="B313" t="s">
        <v>966</v>
      </c>
      <c r="C313">
        <v>10.029999999999999</v>
      </c>
      <c r="D313">
        <v>10.08</v>
      </c>
      <c r="E313">
        <v>9.98</v>
      </c>
      <c r="F313">
        <v>10.029999999999999</v>
      </c>
      <c r="G313">
        <v>66127</v>
      </c>
      <c r="H313">
        <v>66282124</v>
      </c>
      <c r="I313">
        <v>1.01</v>
      </c>
      <c r="J313" t="s">
        <v>258</v>
      </c>
      <c r="K313" t="s">
        <v>265</v>
      </c>
      <c r="L313">
        <v>0.4</v>
      </c>
      <c r="M313">
        <v>10.02</v>
      </c>
      <c r="N313">
        <v>30924</v>
      </c>
      <c r="O313">
        <v>35203</v>
      </c>
      <c r="P313">
        <v>0.88</v>
      </c>
      <c r="Q313">
        <v>674</v>
      </c>
      <c r="R313">
        <v>1157</v>
      </c>
      <c r="S313" t="s">
        <v>3</v>
      </c>
      <c r="T313">
        <v>40888.75</v>
      </c>
      <c r="U313" t="s">
        <v>967</v>
      </c>
      <c r="V313" t="s">
        <v>967</v>
      </c>
      <c r="W313">
        <v>0.56000000000000005</v>
      </c>
    </row>
    <row r="314" spans="1:23">
      <c r="A314" t="str">
        <f>"000790"</f>
        <v>000790</v>
      </c>
      <c r="B314" t="s">
        <v>968</v>
      </c>
      <c r="C314">
        <v>10.26</v>
      </c>
      <c r="D314">
        <v>10.58</v>
      </c>
      <c r="E314">
        <v>10.199999999999999</v>
      </c>
      <c r="F314">
        <v>10.49</v>
      </c>
      <c r="G314">
        <v>130845</v>
      </c>
      <c r="H314">
        <v>135769952</v>
      </c>
      <c r="I314">
        <v>1.61</v>
      </c>
      <c r="J314" t="s">
        <v>321</v>
      </c>
      <c r="K314" t="s">
        <v>225</v>
      </c>
      <c r="L314">
        <v>1.94</v>
      </c>
      <c r="M314">
        <v>10.38</v>
      </c>
      <c r="N314">
        <v>64182</v>
      </c>
      <c r="O314">
        <v>66662</v>
      </c>
      <c r="P314">
        <v>0.96</v>
      </c>
      <c r="Q314">
        <v>531</v>
      </c>
      <c r="R314">
        <v>1118</v>
      </c>
      <c r="S314" t="s">
        <v>3</v>
      </c>
      <c r="T314">
        <v>38070</v>
      </c>
      <c r="U314" t="s">
        <v>969</v>
      </c>
      <c r="V314" t="s">
        <v>970</v>
      </c>
      <c r="W314">
        <v>2.1</v>
      </c>
    </row>
    <row r="315" spans="1:23">
      <c r="A315" t="str">
        <f>"000791"</f>
        <v>000791</v>
      </c>
      <c r="B315" t="s">
        <v>971</v>
      </c>
      <c r="C315" t="s">
        <v>3</v>
      </c>
      <c r="D315" t="s">
        <v>3</v>
      </c>
      <c r="E315" t="s">
        <v>3</v>
      </c>
      <c r="F315">
        <v>0</v>
      </c>
      <c r="G315">
        <v>0</v>
      </c>
      <c r="H315">
        <v>0</v>
      </c>
      <c r="I315">
        <v>0</v>
      </c>
      <c r="J315" t="s">
        <v>852</v>
      </c>
      <c r="K315" t="s">
        <v>483</v>
      </c>
      <c r="L315" t="s">
        <v>3</v>
      </c>
      <c r="M315">
        <v>6.81</v>
      </c>
      <c r="N315">
        <v>0</v>
      </c>
      <c r="O315">
        <v>0</v>
      </c>
      <c r="P315" t="s">
        <v>3</v>
      </c>
      <c r="Q315">
        <v>0</v>
      </c>
      <c r="R315">
        <v>0</v>
      </c>
      <c r="S315" t="s">
        <v>3</v>
      </c>
      <c r="T315">
        <v>11477.8</v>
      </c>
      <c r="U315" t="s">
        <v>972</v>
      </c>
      <c r="V315" t="s">
        <v>973</v>
      </c>
      <c r="W315">
        <v>0.16</v>
      </c>
    </row>
    <row r="316" spans="1:23">
      <c r="A316" t="str">
        <f>"000792"</f>
        <v>000792</v>
      </c>
      <c r="B316" t="s">
        <v>974</v>
      </c>
      <c r="C316">
        <v>18.41</v>
      </c>
      <c r="D316">
        <v>18.489999999999998</v>
      </c>
      <c r="E316">
        <v>18.11</v>
      </c>
      <c r="F316">
        <v>18.2</v>
      </c>
      <c r="G316">
        <v>80998</v>
      </c>
      <c r="H316">
        <v>147633200</v>
      </c>
      <c r="I316">
        <v>0.98</v>
      </c>
      <c r="J316" t="s">
        <v>224</v>
      </c>
      <c r="K316" t="s">
        <v>613</v>
      </c>
      <c r="L316">
        <v>-1.36</v>
      </c>
      <c r="M316">
        <v>18.23</v>
      </c>
      <c r="N316">
        <v>48819</v>
      </c>
      <c r="O316">
        <v>32179</v>
      </c>
      <c r="P316">
        <v>1.52</v>
      </c>
      <c r="Q316">
        <v>680</v>
      </c>
      <c r="R316">
        <v>133</v>
      </c>
      <c r="S316" t="s">
        <v>3</v>
      </c>
      <c r="T316">
        <v>69287.850000000006</v>
      </c>
      <c r="U316" t="s">
        <v>975</v>
      </c>
      <c r="V316" t="s">
        <v>976</v>
      </c>
      <c r="W316">
        <v>-1.2</v>
      </c>
    </row>
    <row r="317" spans="1:23">
      <c r="A317" t="str">
        <f>"000793"</f>
        <v>000793</v>
      </c>
      <c r="B317" t="s">
        <v>977</v>
      </c>
      <c r="C317">
        <v>13.56</v>
      </c>
      <c r="D317">
        <v>13.56</v>
      </c>
      <c r="E317">
        <v>13.2</v>
      </c>
      <c r="F317">
        <v>13.36</v>
      </c>
      <c r="G317">
        <v>319810</v>
      </c>
      <c r="H317">
        <v>427080096</v>
      </c>
      <c r="I317">
        <v>0.7</v>
      </c>
      <c r="J317" t="s">
        <v>360</v>
      </c>
      <c r="K317" t="s">
        <v>356</v>
      </c>
      <c r="L317">
        <v>-0.96</v>
      </c>
      <c r="M317">
        <v>13.35</v>
      </c>
      <c r="N317">
        <v>165571</v>
      </c>
      <c r="O317">
        <v>154239</v>
      </c>
      <c r="P317">
        <v>1.07</v>
      </c>
      <c r="Q317">
        <v>898</v>
      </c>
      <c r="R317">
        <v>155</v>
      </c>
      <c r="S317" t="s">
        <v>3</v>
      </c>
      <c r="T317">
        <v>135932.25</v>
      </c>
      <c r="U317" t="s">
        <v>978</v>
      </c>
      <c r="V317" t="s">
        <v>979</v>
      </c>
      <c r="W317">
        <v>-0.81</v>
      </c>
    </row>
    <row r="318" spans="1:23">
      <c r="A318" t="str">
        <f>"000795"</f>
        <v>000795</v>
      </c>
      <c r="B318" t="s">
        <v>980</v>
      </c>
      <c r="C318">
        <v>10.57</v>
      </c>
      <c r="D318">
        <v>11.06</v>
      </c>
      <c r="E318">
        <v>10.41</v>
      </c>
      <c r="F318">
        <v>10.98</v>
      </c>
      <c r="G318">
        <v>89414</v>
      </c>
      <c r="H318">
        <v>96466096</v>
      </c>
      <c r="I318">
        <v>1.1299999999999999</v>
      </c>
      <c r="J318" t="s">
        <v>380</v>
      </c>
      <c r="K318" t="s">
        <v>742</v>
      </c>
      <c r="L318">
        <v>3.88</v>
      </c>
      <c r="M318">
        <v>10.79</v>
      </c>
      <c r="N318">
        <v>37187</v>
      </c>
      <c r="O318">
        <v>52227</v>
      </c>
      <c r="P318">
        <v>0.71</v>
      </c>
      <c r="Q318">
        <v>681</v>
      </c>
      <c r="R318">
        <v>352</v>
      </c>
      <c r="S318" t="s">
        <v>3</v>
      </c>
      <c r="T318">
        <v>27679.439999999999</v>
      </c>
      <c r="U318" t="s">
        <v>981</v>
      </c>
      <c r="V318" t="s">
        <v>722</v>
      </c>
      <c r="W318">
        <v>4.04</v>
      </c>
    </row>
    <row r="319" spans="1:23">
      <c r="A319" t="str">
        <f>"000796"</f>
        <v>000796</v>
      </c>
      <c r="B319" t="s">
        <v>982</v>
      </c>
      <c r="C319" t="s">
        <v>3</v>
      </c>
      <c r="D319" t="s">
        <v>3</v>
      </c>
      <c r="E319" t="s">
        <v>3</v>
      </c>
      <c r="F319">
        <v>0</v>
      </c>
      <c r="G319">
        <v>0</v>
      </c>
      <c r="H319">
        <v>0</v>
      </c>
      <c r="I319">
        <v>0</v>
      </c>
      <c r="J319" t="s">
        <v>421</v>
      </c>
      <c r="K319" t="s">
        <v>389</v>
      </c>
      <c r="L319" t="s">
        <v>3</v>
      </c>
      <c r="M319">
        <v>7.23</v>
      </c>
      <c r="N319">
        <v>0</v>
      </c>
      <c r="O319">
        <v>0</v>
      </c>
      <c r="P319" t="s">
        <v>3</v>
      </c>
      <c r="Q319">
        <v>0</v>
      </c>
      <c r="R319">
        <v>0</v>
      </c>
      <c r="S319" t="s">
        <v>3</v>
      </c>
      <c r="T319">
        <v>24652.3</v>
      </c>
      <c r="U319" t="s">
        <v>983</v>
      </c>
      <c r="V319" t="s">
        <v>983</v>
      </c>
      <c r="W319">
        <v>0.16</v>
      </c>
    </row>
    <row r="320" spans="1:23">
      <c r="A320" t="str">
        <f>"000797"</f>
        <v>000797</v>
      </c>
      <c r="B320" t="s">
        <v>984</v>
      </c>
      <c r="C320">
        <v>8.51</v>
      </c>
      <c r="D320">
        <v>8.61</v>
      </c>
      <c r="E320">
        <v>8.2899999999999991</v>
      </c>
      <c r="F320">
        <v>8.5</v>
      </c>
      <c r="G320">
        <v>126206</v>
      </c>
      <c r="H320">
        <v>106093992</v>
      </c>
      <c r="I320">
        <v>1.28</v>
      </c>
      <c r="J320" t="s">
        <v>7</v>
      </c>
      <c r="K320" t="s">
        <v>414</v>
      </c>
      <c r="L320">
        <v>0.24</v>
      </c>
      <c r="M320">
        <v>8.41</v>
      </c>
      <c r="N320">
        <v>66562</v>
      </c>
      <c r="O320">
        <v>59643</v>
      </c>
      <c r="P320">
        <v>1.1200000000000001</v>
      </c>
      <c r="Q320">
        <v>765</v>
      </c>
      <c r="R320">
        <v>663</v>
      </c>
      <c r="S320" t="s">
        <v>3</v>
      </c>
      <c r="T320">
        <v>33432.370000000003</v>
      </c>
      <c r="U320" t="s">
        <v>985</v>
      </c>
      <c r="V320" t="s">
        <v>986</v>
      </c>
      <c r="W320">
        <v>0.39</v>
      </c>
    </row>
    <row r="321" spans="1:23">
      <c r="A321" t="str">
        <f>"000798"</f>
        <v>000798</v>
      </c>
      <c r="B321" t="s">
        <v>987</v>
      </c>
      <c r="C321">
        <v>9.14</v>
      </c>
      <c r="D321">
        <v>9.5</v>
      </c>
      <c r="E321">
        <v>9.14</v>
      </c>
      <c r="F321">
        <v>9.5</v>
      </c>
      <c r="G321">
        <v>102826</v>
      </c>
      <c r="H321">
        <v>96659176</v>
      </c>
      <c r="I321">
        <v>1.82</v>
      </c>
      <c r="J321" t="s">
        <v>988</v>
      </c>
      <c r="K321" t="s">
        <v>34</v>
      </c>
      <c r="L321">
        <v>4.17</v>
      </c>
      <c r="M321">
        <v>9.4</v>
      </c>
      <c r="N321">
        <v>45643</v>
      </c>
      <c r="O321">
        <v>57183</v>
      </c>
      <c r="P321">
        <v>0.8</v>
      </c>
      <c r="Q321">
        <v>315</v>
      </c>
      <c r="R321">
        <v>1550</v>
      </c>
      <c r="S321" t="s">
        <v>3</v>
      </c>
      <c r="T321">
        <v>31944.91</v>
      </c>
      <c r="U321" t="s">
        <v>989</v>
      </c>
      <c r="V321" t="s">
        <v>989</v>
      </c>
      <c r="W321">
        <v>4.33</v>
      </c>
    </row>
    <row r="322" spans="1:23">
      <c r="A322" t="str">
        <f>"000799"</f>
        <v>000799</v>
      </c>
      <c r="B322" t="s">
        <v>990</v>
      </c>
      <c r="C322">
        <v>14.65</v>
      </c>
      <c r="D322">
        <v>14.67</v>
      </c>
      <c r="E322">
        <v>14.36</v>
      </c>
      <c r="F322">
        <v>14.56</v>
      </c>
      <c r="G322">
        <v>108861</v>
      </c>
      <c r="H322">
        <v>157604832</v>
      </c>
      <c r="I322">
        <v>0.75</v>
      </c>
      <c r="J322" t="s">
        <v>531</v>
      </c>
      <c r="K322" t="s">
        <v>234</v>
      </c>
      <c r="L322">
        <v>-0.88</v>
      </c>
      <c r="M322">
        <v>14.48</v>
      </c>
      <c r="N322">
        <v>65111</v>
      </c>
      <c r="O322">
        <v>43750</v>
      </c>
      <c r="P322">
        <v>1.49</v>
      </c>
      <c r="Q322">
        <v>352</v>
      </c>
      <c r="R322">
        <v>46</v>
      </c>
      <c r="S322" t="s">
        <v>3</v>
      </c>
      <c r="T322">
        <v>22420.16</v>
      </c>
      <c r="U322" t="s">
        <v>991</v>
      </c>
      <c r="V322" t="s">
        <v>992</v>
      </c>
      <c r="W322">
        <v>-0.73</v>
      </c>
    </row>
    <row r="323" spans="1:23">
      <c r="A323" t="str">
        <f>"000800"</f>
        <v>000800</v>
      </c>
      <c r="B323" t="s">
        <v>993</v>
      </c>
      <c r="C323">
        <v>11.45</v>
      </c>
      <c r="D323">
        <v>11.7</v>
      </c>
      <c r="E323">
        <v>11.32</v>
      </c>
      <c r="F323">
        <v>11.55</v>
      </c>
      <c r="G323">
        <v>255237</v>
      </c>
      <c r="H323">
        <v>295182592</v>
      </c>
      <c r="I323">
        <v>1.25</v>
      </c>
      <c r="J323" t="s">
        <v>476</v>
      </c>
      <c r="K323" t="s">
        <v>99</v>
      </c>
      <c r="L323">
        <v>0.96</v>
      </c>
      <c r="M323">
        <v>11.57</v>
      </c>
      <c r="N323">
        <v>131554</v>
      </c>
      <c r="O323">
        <v>123682</v>
      </c>
      <c r="P323">
        <v>1.06</v>
      </c>
      <c r="Q323">
        <v>1425</v>
      </c>
      <c r="R323">
        <v>367</v>
      </c>
      <c r="S323" t="s">
        <v>3</v>
      </c>
      <c r="T323">
        <v>141175.41</v>
      </c>
      <c r="U323" t="s">
        <v>994</v>
      </c>
      <c r="V323" t="s">
        <v>995</v>
      </c>
      <c r="W323">
        <v>1.1200000000000001</v>
      </c>
    </row>
    <row r="324" spans="1:23">
      <c r="A324" t="str">
        <f>"000801"</f>
        <v>000801</v>
      </c>
      <c r="B324" t="s">
        <v>996</v>
      </c>
      <c r="C324">
        <v>18.600000000000001</v>
      </c>
      <c r="D324">
        <v>18.7</v>
      </c>
      <c r="E324">
        <v>18.38</v>
      </c>
      <c r="F324">
        <v>18.63</v>
      </c>
      <c r="G324">
        <v>24246</v>
      </c>
      <c r="H324">
        <v>44915108</v>
      </c>
      <c r="I324">
        <v>0.36</v>
      </c>
      <c r="J324" t="s">
        <v>112</v>
      </c>
      <c r="K324" t="s">
        <v>225</v>
      </c>
      <c r="L324">
        <v>-0.59</v>
      </c>
      <c r="M324">
        <v>18.52</v>
      </c>
      <c r="N324">
        <v>13571</v>
      </c>
      <c r="O324">
        <v>10675</v>
      </c>
      <c r="P324">
        <v>1.27</v>
      </c>
      <c r="Q324">
        <v>32</v>
      </c>
      <c r="R324">
        <v>85</v>
      </c>
      <c r="S324" t="s">
        <v>3</v>
      </c>
      <c r="T324">
        <v>45988.44</v>
      </c>
      <c r="U324" t="s">
        <v>997</v>
      </c>
      <c r="V324" t="s">
        <v>997</v>
      </c>
      <c r="W324">
        <v>-0.43</v>
      </c>
    </row>
    <row r="325" spans="1:23">
      <c r="A325" t="str">
        <f>"000802"</f>
        <v>000802</v>
      </c>
      <c r="B325" t="s">
        <v>998</v>
      </c>
      <c r="C325">
        <v>14.18</v>
      </c>
      <c r="D325">
        <v>14.65</v>
      </c>
      <c r="E325">
        <v>14.15</v>
      </c>
      <c r="F325">
        <v>14.48</v>
      </c>
      <c r="G325">
        <v>85231</v>
      </c>
      <c r="H325">
        <v>122464280</v>
      </c>
      <c r="I325">
        <v>0.56000000000000005</v>
      </c>
      <c r="J325" t="s">
        <v>625</v>
      </c>
      <c r="K325" t="s">
        <v>34</v>
      </c>
      <c r="L325">
        <v>1.33</v>
      </c>
      <c r="M325">
        <v>14.37</v>
      </c>
      <c r="N325">
        <v>44517</v>
      </c>
      <c r="O325">
        <v>40713</v>
      </c>
      <c r="P325">
        <v>1.0900000000000001</v>
      </c>
      <c r="Q325">
        <v>273</v>
      </c>
      <c r="R325">
        <v>254</v>
      </c>
      <c r="S325" t="s">
        <v>3</v>
      </c>
      <c r="T325">
        <v>37483.410000000003</v>
      </c>
      <c r="U325" t="s">
        <v>999</v>
      </c>
      <c r="V325" t="s">
        <v>1000</v>
      </c>
      <c r="W325">
        <v>1.49</v>
      </c>
    </row>
    <row r="326" spans="1:23">
      <c r="A326" t="str">
        <f>"000803"</f>
        <v>000803</v>
      </c>
      <c r="B326" t="s">
        <v>1001</v>
      </c>
      <c r="C326">
        <v>14.15</v>
      </c>
      <c r="D326">
        <v>14.3</v>
      </c>
      <c r="E326">
        <v>13.9</v>
      </c>
      <c r="F326">
        <v>14.11</v>
      </c>
      <c r="G326">
        <v>16844</v>
      </c>
      <c r="H326">
        <v>23641376</v>
      </c>
      <c r="I326">
        <v>0.62</v>
      </c>
      <c r="J326" t="s">
        <v>55</v>
      </c>
      <c r="K326" t="s">
        <v>225</v>
      </c>
      <c r="L326">
        <v>-0.28000000000000003</v>
      </c>
      <c r="M326">
        <v>14.04</v>
      </c>
      <c r="N326">
        <v>8645</v>
      </c>
      <c r="O326">
        <v>8199</v>
      </c>
      <c r="P326">
        <v>1.05</v>
      </c>
      <c r="Q326">
        <v>19</v>
      </c>
      <c r="R326">
        <v>50</v>
      </c>
      <c r="S326" t="s">
        <v>3</v>
      </c>
      <c r="T326">
        <v>9026.92</v>
      </c>
      <c r="U326" t="s">
        <v>1002</v>
      </c>
      <c r="V326" t="s">
        <v>1003</v>
      </c>
      <c r="W326">
        <v>-0.12</v>
      </c>
    </row>
    <row r="327" spans="1:23">
      <c r="A327" t="str">
        <f>"000806"</f>
        <v>000806</v>
      </c>
      <c r="B327" t="s">
        <v>1004</v>
      </c>
      <c r="C327">
        <v>6.54</v>
      </c>
      <c r="D327">
        <v>6.6</v>
      </c>
      <c r="E327">
        <v>6.46</v>
      </c>
      <c r="F327">
        <v>6.55</v>
      </c>
      <c r="G327">
        <v>155507</v>
      </c>
      <c r="H327">
        <v>101758376</v>
      </c>
      <c r="I327">
        <v>0.72</v>
      </c>
      <c r="J327" t="s">
        <v>145</v>
      </c>
      <c r="K327" t="s">
        <v>417</v>
      </c>
      <c r="L327">
        <v>0.15</v>
      </c>
      <c r="M327">
        <v>6.54</v>
      </c>
      <c r="N327">
        <v>59308</v>
      </c>
      <c r="O327">
        <v>96198</v>
      </c>
      <c r="P327">
        <v>0.62</v>
      </c>
      <c r="Q327">
        <v>262</v>
      </c>
      <c r="R327">
        <v>3110</v>
      </c>
      <c r="S327" t="s">
        <v>3</v>
      </c>
      <c r="T327">
        <v>69844.820000000007</v>
      </c>
      <c r="U327" t="s">
        <v>1005</v>
      </c>
      <c r="V327" t="s">
        <v>1006</v>
      </c>
      <c r="W327">
        <v>0.31</v>
      </c>
    </row>
    <row r="328" spans="1:23">
      <c r="A328" t="str">
        <f>"000807"</f>
        <v>000807</v>
      </c>
      <c r="B328" t="s">
        <v>1007</v>
      </c>
      <c r="C328" t="s">
        <v>3</v>
      </c>
      <c r="D328" t="s">
        <v>3</v>
      </c>
      <c r="E328" t="s">
        <v>3</v>
      </c>
      <c r="F328">
        <v>0</v>
      </c>
      <c r="G328">
        <v>0</v>
      </c>
      <c r="H328">
        <v>0</v>
      </c>
      <c r="I328">
        <v>0</v>
      </c>
      <c r="J328" t="s">
        <v>632</v>
      </c>
      <c r="K328" t="s">
        <v>445</v>
      </c>
      <c r="L328" t="s">
        <v>3</v>
      </c>
      <c r="M328">
        <v>5.0599999999999996</v>
      </c>
      <c r="N328">
        <v>0</v>
      </c>
      <c r="O328">
        <v>0</v>
      </c>
      <c r="P328" t="s">
        <v>3</v>
      </c>
      <c r="Q328">
        <v>0</v>
      </c>
      <c r="R328">
        <v>0</v>
      </c>
      <c r="S328" t="s">
        <v>3</v>
      </c>
      <c r="T328">
        <v>153907.34</v>
      </c>
      <c r="U328" t="s">
        <v>1008</v>
      </c>
      <c r="V328" t="s">
        <v>1008</v>
      </c>
      <c r="W328">
        <v>0.16</v>
      </c>
    </row>
    <row r="329" spans="1:23">
      <c r="A329" t="str">
        <f>"000809"</f>
        <v>000809</v>
      </c>
      <c r="B329" t="s">
        <v>1009</v>
      </c>
      <c r="C329">
        <v>15.05</v>
      </c>
      <c r="D329">
        <v>15.2</v>
      </c>
      <c r="E329">
        <v>14.79</v>
      </c>
      <c r="F329">
        <v>15.11</v>
      </c>
      <c r="G329">
        <v>74198</v>
      </c>
      <c r="H329">
        <v>111613216</v>
      </c>
      <c r="I329">
        <v>0.89</v>
      </c>
      <c r="J329" t="s">
        <v>15</v>
      </c>
      <c r="K329" t="s">
        <v>162</v>
      </c>
      <c r="L329">
        <v>0.73</v>
      </c>
      <c r="M329">
        <v>15.04</v>
      </c>
      <c r="N329">
        <v>27169</v>
      </c>
      <c r="O329">
        <v>47028</v>
      </c>
      <c r="P329">
        <v>0.57999999999999996</v>
      </c>
      <c r="Q329">
        <v>101</v>
      </c>
      <c r="R329">
        <v>54</v>
      </c>
      <c r="S329" t="s">
        <v>3</v>
      </c>
      <c r="T329">
        <v>36085.78</v>
      </c>
      <c r="U329" t="s">
        <v>1010</v>
      </c>
      <c r="V329" t="s">
        <v>1011</v>
      </c>
      <c r="W329">
        <v>0.89</v>
      </c>
    </row>
    <row r="330" spans="1:23">
      <c r="A330" t="str">
        <f>"000810"</f>
        <v>000810</v>
      </c>
      <c r="B330" t="s">
        <v>1012</v>
      </c>
      <c r="C330">
        <v>19.829999999999998</v>
      </c>
      <c r="D330">
        <v>19.98</v>
      </c>
      <c r="E330">
        <v>19.7</v>
      </c>
      <c r="F330">
        <v>19.89</v>
      </c>
      <c r="G330">
        <v>7095</v>
      </c>
      <c r="H330">
        <v>14061988</v>
      </c>
      <c r="I330">
        <v>0.76</v>
      </c>
      <c r="J330" t="s">
        <v>55</v>
      </c>
      <c r="K330" t="s">
        <v>225</v>
      </c>
      <c r="L330">
        <v>0.61</v>
      </c>
      <c r="M330">
        <v>19.82</v>
      </c>
      <c r="N330">
        <v>3120</v>
      </c>
      <c r="O330">
        <v>3974</v>
      </c>
      <c r="P330">
        <v>0.79</v>
      </c>
      <c r="Q330">
        <v>22</v>
      </c>
      <c r="R330">
        <v>120</v>
      </c>
      <c r="S330" t="s">
        <v>3</v>
      </c>
      <c r="T330">
        <v>12966.57</v>
      </c>
      <c r="U330" t="s">
        <v>1013</v>
      </c>
      <c r="V330" t="s">
        <v>1013</v>
      </c>
      <c r="W330">
        <v>0.77</v>
      </c>
    </row>
    <row r="331" spans="1:23">
      <c r="A331" t="str">
        <f>"000811"</f>
        <v>000811</v>
      </c>
      <c r="B331" t="s">
        <v>1014</v>
      </c>
      <c r="C331" t="s">
        <v>3</v>
      </c>
      <c r="D331" t="s">
        <v>3</v>
      </c>
      <c r="E331" t="s">
        <v>3</v>
      </c>
      <c r="F331">
        <v>0</v>
      </c>
      <c r="G331">
        <v>0</v>
      </c>
      <c r="H331">
        <v>0</v>
      </c>
      <c r="I331">
        <v>0</v>
      </c>
      <c r="J331" t="s">
        <v>233</v>
      </c>
      <c r="K331" t="s">
        <v>250</v>
      </c>
      <c r="L331" t="s">
        <v>3</v>
      </c>
      <c r="M331">
        <v>12</v>
      </c>
      <c r="N331">
        <v>0</v>
      </c>
      <c r="O331">
        <v>0</v>
      </c>
      <c r="P331" t="s">
        <v>3</v>
      </c>
      <c r="Q331">
        <v>0</v>
      </c>
      <c r="R331">
        <v>0</v>
      </c>
      <c r="S331" t="s">
        <v>3</v>
      </c>
      <c r="T331">
        <v>39453.410000000003</v>
      </c>
      <c r="U331" t="s">
        <v>1015</v>
      </c>
      <c r="V331" t="s">
        <v>1016</v>
      </c>
      <c r="W331">
        <v>0.16</v>
      </c>
    </row>
    <row r="332" spans="1:23">
      <c r="A332" t="str">
        <f>"000812"</f>
        <v>000812</v>
      </c>
      <c r="B332" t="s">
        <v>1017</v>
      </c>
      <c r="C332">
        <v>6.83</v>
      </c>
      <c r="D332">
        <v>6.86</v>
      </c>
      <c r="E332">
        <v>6.68</v>
      </c>
      <c r="F332">
        <v>6.8</v>
      </c>
      <c r="G332">
        <v>239252</v>
      </c>
      <c r="H332">
        <v>161780528</v>
      </c>
      <c r="I332">
        <v>0.79</v>
      </c>
      <c r="J332" t="s">
        <v>707</v>
      </c>
      <c r="K332" t="s">
        <v>389</v>
      </c>
      <c r="L332">
        <v>-0.44</v>
      </c>
      <c r="M332">
        <v>6.76</v>
      </c>
      <c r="N332">
        <v>130485</v>
      </c>
      <c r="O332">
        <v>108767</v>
      </c>
      <c r="P332">
        <v>1.2</v>
      </c>
      <c r="Q332">
        <v>726</v>
      </c>
      <c r="R332">
        <v>546</v>
      </c>
      <c r="S332" t="s">
        <v>3</v>
      </c>
      <c r="T332">
        <v>44625.01</v>
      </c>
      <c r="U332" t="s">
        <v>989</v>
      </c>
      <c r="V332" t="s">
        <v>1018</v>
      </c>
      <c r="W332">
        <v>-0.28000000000000003</v>
      </c>
    </row>
    <row r="333" spans="1:23">
      <c r="A333" t="str">
        <f>"000813"</f>
        <v>000813</v>
      </c>
      <c r="B333" t="s">
        <v>1019</v>
      </c>
      <c r="C333">
        <v>9.11</v>
      </c>
      <c r="D333">
        <v>9.58</v>
      </c>
      <c r="E333">
        <v>8.92</v>
      </c>
      <c r="F333">
        <v>9.1999999999999993</v>
      </c>
      <c r="G333">
        <v>122369</v>
      </c>
      <c r="H333">
        <v>112501056</v>
      </c>
      <c r="I333">
        <v>1.1599999999999999</v>
      </c>
      <c r="J333" t="s">
        <v>55</v>
      </c>
      <c r="K333" t="s">
        <v>241</v>
      </c>
      <c r="L333">
        <v>1.32</v>
      </c>
      <c r="M333">
        <v>9.19</v>
      </c>
      <c r="N333">
        <v>60251</v>
      </c>
      <c r="O333">
        <v>62118</v>
      </c>
      <c r="P333">
        <v>0.97</v>
      </c>
      <c r="Q333">
        <v>445</v>
      </c>
      <c r="R333">
        <v>719</v>
      </c>
      <c r="S333" t="s">
        <v>3</v>
      </c>
      <c r="T333">
        <v>15710.15</v>
      </c>
      <c r="U333" t="s">
        <v>507</v>
      </c>
      <c r="V333" t="s">
        <v>1020</v>
      </c>
      <c r="W333">
        <v>1.48</v>
      </c>
    </row>
    <row r="334" spans="1:23">
      <c r="A334" t="str">
        <f>"000815"</f>
        <v>000815</v>
      </c>
      <c r="B334" t="s">
        <v>1021</v>
      </c>
      <c r="C334" t="s">
        <v>3</v>
      </c>
      <c r="D334" t="s">
        <v>3</v>
      </c>
      <c r="E334" t="s">
        <v>3</v>
      </c>
      <c r="F334">
        <v>0</v>
      </c>
      <c r="G334">
        <v>0</v>
      </c>
      <c r="H334">
        <v>0</v>
      </c>
      <c r="I334">
        <v>0</v>
      </c>
      <c r="J334" t="s">
        <v>343</v>
      </c>
      <c r="K334" t="s">
        <v>496</v>
      </c>
      <c r="L334" t="s">
        <v>3</v>
      </c>
      <c r="M334">
        <v>4.6900000000000004</v>
      </c>
      <c r="N334">
        <v>0</v>
      </c>
      <c r="O334">
        <v>0</v>
      </c>
      <c r="P334" t="s">
        <v>3</v>
      </c>
      <c r="Q334">
        <v>0</v>
      </c>
      <c r="R334">
        <v>0</v>
      </c>
      <c r="S334" t="s">
        <v>3</v>
      </c>
      <c r="T334">
        <v>31557.73</v>
      </c>
      <c r="U334" t="s">
        <v>1022</v>
      </c>
      <c r="V334" t="s">
        <v>1023</v>
      </c>
      <c r="W334">
        <v>0.16</v>
      </c>
    </row>
    <row r="335" spans="1:23">
      <c r="A335" t="str">
        <f>"000816"</f>
        <v>000816</v>
      </c>
      <c r="B335" t="s">
        <v>1024</v>
      </c>
      <c r="C335">
        <v>4.88</v>
      </c>
      <c r="D335">
        <v>4.92</v>
      </c>
      <c r="E335">
        <v>4.83</v>
      </c>
      <c r="F335">
        <v>4.87</v>
      </c>
      <c r="G335">
        <v>184260</v>
      </c>
      <c r="H335">
        <v>89799976</v>
      </c>
      <c r="I335">
        <v>1.2</v>
      </c>
      <c r="J335" t="s">
        <v>398</v>
      </c>
      <c r="K335" t="s">
        <v>244</v>
      </c>
      <c r="L335">
        <v>0</v>
      </c>
      <c r="M335">
        <v>4.87</v>
      </c>
      <c r="N335">
        <v>85230</v>
      </c>
      <c r="O335">
        <v>99030</v>
      </c>
      <c r="P335">
        <v>0.86</v>
      </c>
      <c r="Q335">
        <v>948</v>
      </c>
      <c r="R335">
        <v>1828</v>
      </c>
      <c r="S335" t="s">
        <v>3</v>
      </c>
      <c r="T335">
        <v>108877.75</v>
      </c>
      <c r="U335" t="s">
        <v>1025</v>
      </c>
      <c r="V335" t="s">
        <v>1026</v>
      </c>
      <c r="W335">
        <v>0.16</v>
      </c>
    </row>
    <row r="336" spans="1:23">
      <c r="A336" t="str">
        <f>"000818"</f>
        <v>000818</v>
      </c>
      <c r="B336" t="s">
        <v>1027</v>
      </c>
      <c r="C336">
        <v>3.86</v>
      </c>
      <c r="D336">
        <v>3.9</v>
      </c>
      <c r="E336">
        <v>3.81</v>
      </c>
      <c r="F336">
        <v>3.88</v>
      </c>
      <c r="G336">
        <v>160700</v>
      </c>
      <c r="H336">
        <v>62048788</v>
      </c>
      <c r="I336">
        <v>1.1599999999999999</v>
      </c>
      <c r="J336" t="s">
        <v>376</v>
      </c>
      <c r="K336" t="s">
        <v>162</v>
      </c>
      <c r="L336">
        <v>0.78</v>
      </c>
      <c r="M336">
        <v>3.86</v>
      </c>
      <c r="N336">
        <v>76409</v>
      </c>
      <c r="O336">
        <v>84291</v>
      </c>
      <c r="P336">
        <v>0.91</v>
      </c>
      <c r="Q336">
        <v>1334</v>
      </c>
      <c r="R336">
        <v>4582</v>
      </c>
      <c r="S336" t="s">
        <v>3</v>
      </c>
      <c r="T336">
        <v>41382.21</v>
      </c>
      <c r="U336" t="s">
        <v>1028</v>
      </c>
      <c r="V336" t="s">
        <v>1029</v>
      </c>
      <c r="W336">
        <v>0.94</v>
      </c>
    </row>
    <row r="337" spans="1:23">
      <c r="A337" t="str">
        <f>"000819"</f>
        <v>000819</v>
      </c>
      <c r="B337" t="s">
        <v>1030</v>
      </c>
      <c r="C337">
        <v>17.22</v>
      </c>
      <c r="D337">
        <v>17.260000000000002</v>
      </c>
      <c r="E337">
        <v>16.97</v>
      </c>
      <c r="F337">
        <v>17.13</v>
      </c>
      <c r="G337">
        <v>19080</v>
      </c>
      <c r="H337">
        <v>32594646</v>
      </c>
      <c r="I337">
        <v>0.95</v>
      </c>
      <c r="J337" t="s">
        <v>161</v>
      </c>
      <c r="K337" t="s">
        <v>234</v>
      </c>
      <c r="L337">
        <v>-0.87</v>
      </c>
      <c r="M337">
        <v>17.079999999999998</v>
      </c>
      <c r="N337">
        <v>12323</v>
      </c>
      <c r="O337">
        <v>6757</v>
      </c>
      <c r="P337">
        <v>1.82</v>
      </c>
      <c r="Q337">
        <v>12</v>
      </c>
      <c r="R337">
        <v>62</v>
      </c>
      <c r="S337" t="s">
        <v>3</v>
      </c>
      <c r="T337">
        <v>23437.25</v>
      </c>
      <c r="U337" t="s">
        <v>1031</v>
      </c>
      <c r="V337" t="s">
        <v>1031</v>
      </c>
      <c r="W337">
        <v>-0.71</v>
      </c>
    </row>
    <row r="338" spans="1:23">
      <c r="A338" t="str">
        <f>"000820"</f>
        <v>000820</v>
      </c>
      <c r="B338" t="s">
        <v>1032</v>
      </c>
      <c r="C338" t="s">
        <v>3</v>
      </c>
      <c r="D338" t="s">
        <v>3</v>
      </c>
      <c r="E338" t="s">
        <v>3</v>
      </c>
      <c r="F338">
        <v>0</v>
      </c>
      <c r="G338">
        <v>0</v>
      </c>
      <c r="H338">
        <v>0</v>
      </c>
      <c r="I338">
        <v>0</v>
      </c>
      <c r="J338" t="s">
        <v>343</v>
      </c>
      <c r="K338" t="s">
        <v>162</v>
      </c>
      <c r="L338" t="s">
        <v>3</v>
      </c>
      <c r="M338">
        <v>6.87</v>
      </c>
      <c r="N338">
        <v>0</v>
      </c>
      <c r="O338">
        <v>0</v>
      </c>
      <c r="P338" t="s">
        <v>3</v>
      </c>
      <c r="Q338">
        <v>0</v>
      </c>
      <c r="R338">
        <v>0</v>
      </c>
      <c r="S338" t="s">
        <v>3</v>
      </c>
      <c r="T338">
        <v>22087.72</v>
      </c>
      <c r="U338" t="s">
        <v>1033</v>
      </c>
      <c r="V338" t="s">
        <v>562</v>
      </c>
      <c r="W338">
        <v>0.16</v>
      </c>
    </row>
    <row r="339" spans="1:23">
      <c r="A339" t="str">
        <f>"000821"</f>
        <v>000821</v>
      </c>
      <c r="B339" t="s">
        <v>1034</v>
      </c>
      <c r="C339">
        <v>9.0500000000000007</v>
      </c>
      <c r="D339">
        <v>9.92</v>
      </c>
      <c r="E339">
        <v>8.9700000000000006</v>
      </c>
      <c r="F339">
        <v>9.41</v>
      </c>
      <c r="G339">
        <v>253186</v>
      </c>
      <c r="H339">
        <v>237963232</v>
      </c>
      <c r="I339">
        <v>1.26</v>
      </c>
      <c r="J339" t="s">
        <v>124</v>
      </c>
      <c r="K339" t="s">
        <v>317</v>
      </c>
      <c r="L339">
        <v>2.17</v>
      </c>
      <c r="M339">
        <v>9.4</v>
      </c>
      <c r="N339">
        <v>122179</v>
      </c>
      <c r="O339">
        <v>131007</v>
      </c>
      <c r="P339">
        <v>0.93</v>
      </c>
      <c r="Q339">
        <v>986</v>
      </c>
      <c r="R339">
        <v>667</v>
      </c>
      <c r="S339" t="s">
        <v>3</v>
      </c>
      <c r="T339">
        <v>34521.94</v>
      </c>
      <c r="U339" t="s">
        <v>1035</v>
      </c>
      <c r="V339" t="s">
        <v>1035</v>
      </c>
      <c r="W339">
        <v>2.33</v>
      </c>
    </row>
    <row r="340" spans="1:23">
      <c r="A340" t="str">
        <f>"000822"</f>
        <v>000822</v>
      </c>
      <c r="B340" t="s">
        <v>1036</v>
      </c>
      <c r="C340">
        <v>3.84</v>
      </c>
      <c r="D340">
        <v>3.94</v>
      </c>
      <c r="E340">
        <v>3.81</v>
      </c>
      <c r="F340">
        <v>3.91</v>
      </c>
      <c r="G340">
        <v>107900</v>
      </c>
      <c r="H340">
        <v>41900868</v>
      </c>
      <c r="I340">
        <v>1.52</v>
      </c>
      <c r="J340" t="s">
        <v>376</v>
      </c>
      <c r="K340" t="s">
        <v>250</v>
      </c>
      <c r="L340">
        <v>1.82</v>
      </c>
      <c r="M340">
        <v>3.88</v>
      </c>
      <c r="N340">
        <v>45549</v>
      </c>
      <c r="O340">
        <v>62350</v>
      </c>
      <c r="P340">
        <v>0.73</v>
      </c>
      <c r="Q340">
        <v>627</v>
      </c>
      <c r="R340">
        <v>217</v>
      </c>
      <c r="S340" t="s">
        <v>3</v>
      </c>
      <c r="T340">
        <v>89508.31</v>
      </c>
      <c r="U340" t="s">
        <v>1037</v>
      </c>
      <c r="V340" t="s">
        <v>1037</v>
      </c>
      <c r="W340">
        <v>1.98</v>
      </c>
    </row>
    <row r="341" spans="1:23">
      <c r="A341" t="str">
        <f>"000823"</f>
        <v>000823</v>
      </c>
      <c r="B341" t="s">
        <v>1038</v>
      </c>
      <c r="C341">
        <v>13.43</v>
      </c>
      <c r="D341">
        <v>13.85</v>
      </c>
      <c r="E341">
        <v>13.35</v>
      </c>
      <c r="F341">
        <v>13.69</v>
      </c>
      <c r="G341">
        <v>207338</v>
      </c>
      <c r="H341">
        <v>282918304</v>
      </c>
      <c r="I341">
        <v>1.1299999999999999</v>
      </c>
      <c r="J341" t="s">
        <v>62</v>
      </c>
      <c r="K341" t="s">
        <v>211</v>
      </c>
      <c r="L341">
        <v>2.0099999999999998</v>
      </c>
      <c r="M341">
        <v>13.65</v>
      </c>
      <c r="N341">
        <v>100199</v>
      </c>
      <c r="O341">
        <v>107139</v>
      </c>
      <c r="P341">
        <v>0.94</v>
      </c>
      <c r="Q341">
        <v>1149</v>
      </c>
      <c r="R341">
        <v>897</v>
      </c>
      <c r="S341" t="s">
        <v>3</v>
      </c>
      <c r="T341">
        <v>44034.28</v>
      </c>
      <c r="U341" t="s">
        <v>1039</v>
      </c>
      <c r="V341" t="s">
        <v>1040</v>
      </c>
      <c r="W341">
        <v>2.17</v>
      </c>
    </row>
    <row r="342" spans="1:23">
      <c r="A342" t="str">
        <f>"000825"</f>
        <v>000825</v>
      </c>
      <c r="B342" t="s">
        <v>1041</v>
      </c>
      <c r="C342">
        <v>2.91</v>
      </c>
      <c r="D342">
        <v>3.05</v>
      </c>
      <c r="E342">
        <v>2.91</v>
      </c>
      <c r="F342">
        <v>2.99</v>
      </c>
      <c r="G342">
        <v>867127</v>
      </c>
      <c r="H342">
        <v>260555088</v>
      </c>
      <c r="I342">
        <v>2.4500000000000002</v>
      </c>
      <c r="J342" t="s">
        <v>815</v>
      </c>
      <c r="K342" t="s">
        <v>742</v>
      </c>
      <c r="L342">
        <v>3.1</v>
      </c>
      <c r="M342">
        <v>3</v>
      </c>
      <c r="N342">
        <v>421968</v>
      </c>
      <c r="O342">
        <v>445158</v>
      </c>
      <c r="P342">
        <v>0.95</v>
      </c>
      <c r="Q342">
        <v>17080</v>
      </c>
      <c r="R342">
        <v>6343</v>
      </c>
      <c r="S342" t="s">
        <v>3</v>
      </c>
      <c r="T342">
        <v>569598.31000000006</v>
      </c>
      <c r="U342" t="s">
        <v>1042</v>
      </c>
      <c r="V342" t="s">
        <v>1043</v>
      </c>
      <c r="W342">
        <v>3.26</v>
      </c>
    </row>
    <row r="343" spans="1:23">
      <c r="A343" t="str">
        <f>"000826"</f>
        <v>000826</v>
      </c>
      <c r="B343" t="s">
        <v>1044</v>
      </c>
      <c r="C343">
        <v>25.48</v>
      </c>
      <c r="D343">
        <v>26.09</v>
      </c>
      <c r="E343">
        <v>25.1</v>
      </c>
      <c r="F343">
        <v>25.17</v>
      </c>
      <c r="G343">
        <v>160778</v>
      </c>
      <c r="H343">
        <v>410974400</v>
      </c>
      <c r="I343">
        <v>1.21</v>
      </c>
      <c r="J343" t="s">
        <v>462</v>
      </c>
      <c r="K343" t="s">
        <v>317</v>
      </c>
      <c r="L343">
        <v>-0.59</v>
      </c>
      <c r="M343">
        <v>25.56</v>
      </c>
      <c r="N343">
        <v>93709</v>
      </c>
      <c r="O343">
        <v>67069</v>
      </c>
      <c r="P343">
        <v>1.4</v>
      </c>
      <c r="Q343">
        <v>351</v>
      </c>
      <c r="R343">
        <v>620</v>
      </c>
      <c r="S343" t="s">
        <v>3</v>
      </c>
      <c r="T343">
        <v>81323.320000000007</v>
      </c>
      <c r="U343" t="s">
        <v>1045</v>
      </c>
      <c r="V343" t="s">
        <v>1046</v>
      </c>
      <c r="W343">
        <v>-0.43</v>
      </c>
    </row>
    <row r="344" spans="1:23">
      <c r="A344" t="str">
        <f>"000828"</f>
        <v>000828</v>
      </c>
      <c r="B344" t="s">
        <v>1047</v>
      </c>
      <c r="C344">
        <v>5.9</v>
      </c>
      <c r="D344">
        <v>6.36</v>
      </c>
      <c r="E344">
        <v>5.7</v>
      </c>
      <c r="F344">
        <v>6.26</v>
      </c>
      <c r="G344">
        <v>591790</v>
      </c>
      <c r="H344">
        <v>352742656</v>
      </c>
      <c r="I344">
        <v>5.14</v>
      </c>
      <c r="J344" t="s">
        <v>336</v>
      </c>
      <c r="K344" t="s">
        <v>211</v>
      </c>
      <c r="L344">
        <v>8.3000000000000007</v>
      </c>
      <c r="M344">
        <v>5.96</v>
      </c>
      <c r="N344">
        <v>261787</v>
      </c>
      <c r="O344">
        <v>330002</v>
      </c>
      <c r="P344">
        <v>0.79</v>
      </c>
      <c r="Q344">
        <v>471</v>
      </c>
      <c r="R344">
        <v>340</v>
      </c>
      <c r="S344" t="s">
        <v>3</v>
      </c>
      <c r="T344">
        <v>103951.7</v>
      </c>
      <c r="U344" t="s">
        <v>1048</v>
      </c>
      <c r="V344" t="s">
        <v>1048</v>
      </c>
      <c r="W344">
        <v>8.4600000000000009</v>
      </c>
    </row>
    <row r="345" spans="1:23">
      <c r="A345" t="str">
        <f>"000829"</f>
        <v>000829</v>
      </c>
      <c r="B345" t="s">
        <v>1049</v>
      </c>
      <c r="C345">
        <v>8.91</v>
      </c>
      <c r="D345">
        <v>9.7899999999999991</v>
      </c>
      <c r="E345">
        <v>8.8000000000000007</v>
      </c>
      <c r="F345">
        <v>9.7899999999999991</v>
      </c>
      <c r="G345">
        <v>384691</v>
      </c>
      <c r="H345">
        <v>364451680</v>
      </c>
      <c r="I345">
        <v>1.76</v>
      </c>
      <c r="J345" t="s">
        <v>83</v>
      </c>
      <c r="K345" t="s">
        <v>265</v>
      </c>
      <c r="L345">
        <v>10</v>
      </c>
      <c r="M345">
        <v>9.4700000000000006</v>
      </c>
      <c r="N345">
        <v>288988</v>
      </c>
      <c r="O345">
        <v>95702</v>
      </c>
      <c r="P345">
        <v>3.02</v>
      </c>
      <c r="Q345">
        <v>193410</v>
      </c>
      <c r="R345">
        <v>0</v>
      </c>
      <c r="S345" t="s">
        <v>3</v>
      </c>
      <c r="T345">
        <v>94679.18</v>
      </c>
      <c r="U345" t="s">
        <v>1050</v>
      </c>
      <c r="V345" t="s">
        <v>1051</v>
      </c>
      <c r="W345">
        <v>10.16</v>
      </c>
    </row>
    <row r="346" spans="1:23">
      <c r="A346" t="str">
        <f>"000830"</f>
        <v>000830</v>
      </c>
      <c r="B346" t="s">
        <v>1052</v>
      </c>
      <c r="C346">
        <v>3.94</v>
      </c>
      <c r="D346">
        <v>3.95</v>
      </c>
      <c r="E346">
        <v>3.91</v>
      </c>
      <c r="F346">
        <v>3.94</v>
      </c>
      <c r="G346">
        <v>173118</v>
      </c>
      <c r="H346">
        <v>67951632</v>
      </c>
      <c r="I346">
        <v>0.97</v>
      </c>
      <c r="J346" t="s">
        <v>224</v>
      </c>
      <c r="K346" t="s">
        <v>250</v>
      </c>
      <c r="L346">
        <v>0</v>
      </c>
      <c r="M346">
        <v>3.93</v>
      </c>
      <c r="N346">
        <v>90570</v>
      </c>
      <c r="O346">
        <v>82547</v>
      </c>
      <c r="P346">
        <v>1.1000000000000001</v>
      </c>
      <c r="Q346">
        <v>3535</v>
      </c>
      <c r="R346">
        <v>11166</v>
      </c>
      <c r="S346" t="s">
        <v>3</v>
      </c>
      <c r="T346">
        <v>146398.01999999999</v>
      </c>
      <c r="U346" t="s">
        <v>1053</v>
      </c>
      <c r="V346" t="s">
        <v>1054</v>
      </c>
      <c r="W346">
        <v>0.16</v>
      </c>
    </row>
    <row r="347" spans="1:23">
      <c r="A347" t="str">
        <f>"000831"</f>
        <v>000831</v>
      </c>
      <c r="B347" t="s">
        <v>1055</v>
      </c>
      <c r="C347">
        <v>25.17</v>
      </c>
      <c r="D347">
        <v>25.3</v>
      </c>
      <c r="E347">
        <v>24.38</v>
      </c>
      <c r="F347">
        <v>24.42</v>
      </c>
      <c r="G347">
        <v>186576</v>
      </c>
      <c r="H347">
        <v>461324704</v>
      </c>
      <c r="I347">
        <v>1.44</v>
      </c>
      <c r="J347" t="s">
        <v>328</v>
      </c>
      <c r="K347" t="s">
        <v>742</v>
      </c>
      <c r="L347">
        <v>0</v>
      </c>
      <c r="M347">
        <v>24.73</v>
      </c>
      <c r="N347">
        <v>105391</v>
      </c>
      <c r="O347">
        <v>81185</v>
      </c>
      <c r="P347">
        <v>1.3</v>
      </c>
      <c r="Q347">
        <v>339</v>
      </c>
      <c r="R347">
        <v>80</v>
      </c>
      <c r="S347" t="s">
        <v>3</v>
      </c>
      <c r="T347">
        <v>74449.320000000007</v>
      </c>
      <c r="U347" t="s">
        <v>1056</v>
      </c>
      <c r="V347" t="s">
        <v>1057</v>
      </c>
      <c r="W347">
        <v>0.16</v>
      </c>
    </row>
    <row r="348" spans="1:23">
      <c r="A348" t="str">
        <f>"000833"</f>
        <v>000833</v>
      </c>
      <c r="B348" t="s">
        <v>1058</v>
      </c>
      <c r="C348">
        <v>8.64</v>
      </c>
      <c r="D348">
        <v>8.92</v>
      </c>
      <c r="E348">
        <v>8.57</v>
      </c>
      <c r="F348">
        <v>8.8000000000000007</v>
      </c>
      <c r="G348">
        <v>134538</v>
      </c>
      <c r="H348">
        <v>118209088</v>
      </c>
      <c r="I348">
        <v>0.93</v>
      </c>
      <c r="J348" t="s">
        <v>343</v>
      </c>
      <c r="K348" t="s">
        <v>417</v>
      </c>
      <c r="L348">
        <v>1.97</v>
      </c>
      <c r="M348">
        <v>8.7899999999999991</v>
      </c>
      <c r="N348">
        <v>66657</v>
      </c>
      <c r="O348">
        <v>67880</v>
      </c>
      <c r="P348">
        <v>0.98</v>
      </c>
      <c r="Q348">
        <v>384</v>
      </c>
      <c r="R348">
        <v>622</v>
      </c>
      <c r="S348" t="s">
        <v>3</v>
      </c>
      <c r="T348">
        <v>29606.53</v>
      </c>
      <c r="U348" t="s">
        <v>1059</v>
      </c>
      <c r="V348" t="s">
        <v>1059</v>
      </c>
      <c r="W348">
        <v>2.13</v>
      </c>
    </row>
    <row r="349" spans="1:23">
      <c r="A349" t="str">
        <f>"000835"</f>
        <v>000835</v>
      </c>
      <c r="B349" t="s">
        <v>1060</v>
      </c>
      <c r="C349" t="s">
        <v>3</v>
      </c>
      <c r="D349" t="s">
        <v>3</v>
      </c>
      <c r="E349" t="s">
        <v>3</v>
      </c>
      <c r="F349">
        <v>0</v>
      </c>
      <c r="G349">
        <v>0</v>
      </c>
      <c r="H349">
        <v>0</v>
      </c>
      <c r="I349">
        <v>0</v>
      </c>
      <c r="J349" t="s">
        <v>856</v>
      </c>
      <c r="K349" t="s">
        <v>225</v>
      </c>
      <c r="L349" t="s">
        <v>3</v>
      </c>
      <c r="M349">
        <v>6.31</v>
      </c>
      <c r="N349">
        <v>0</v>
      </c>
      <c r="O349">
        <v>0</v>
      </c>
      <c r="P349" t="s">
        <v>3</v>
      </c>
      <c r="Q349">
        <v>0</v>
      </c>
      <c r="R349">
        <v>0</v>
      </c>
      <c r="S349" t="s">
        <v>3</v>
      </c>
      <c r="T349">
        <v>30537</v>
      </c>
      <c r="U349" t="s">
        <v>80</v>
      </c>
      <c r="V349" t="s">
        <v>80</v>
      </c>
      <c r="W349">
        <v>0.16</v>
      </c>
    </row>
    <row r="350" spans="1:23">
      <c r="A350" t="str">
        <f>"000836"</f>
        <v>000836</v>
      </c>
      <c r="B350" t="s">
        <v>1061</v>
      </c>
      <c r="C350">
        <v>6.4</v>
      </c>
      <c r="D350">
        <v>6.42</v>
      </c>
      <c r="E350">
        <v>6.34</v>
      </c>
      <c r="F350">
        <v>6.39</v>
      </c>
      <c r="G350">
        <v>50934</v>
      </c>
      <c r="H350">
        <v>32485662</v>
      </c>
      <c r="I350">
        <v>0.65</v>
      </c>
      <c r="J350" t="s">
        <v>758</v>
      </c>
      <c r="K350" t="s">
        <v>442</v>
      </c>
      <c r="L350">
        <v>0.16</v>
      </c>
      <c r="M350">
        <v>6.38</v>
      </c>
      <c r="N350">
        <v>31274</v>
      </c>
      <c r="O350">
        <v>19659</v>
      </c>
      <c r="P350">
        <v>1.59</v>
      </c>
      <c r="Q350">
        <v>489</v>
      </c>
      <c r="R350">
        <v>1020</v>
      </c>
      <c r="S350" t="s">
        <v>3</v>
      </c>
      <c r="T350">
        <v>29248.98</v>
      </c>
      <c r="U350" t="s">
        <v>1062</v>
      </c>
      <c r="V350" t="s">
        <v>1062</v>
      </c>
      <c r="W350">
        <v>0.32</v>
      </c>
    </row>
    <row r="351" spans="1:23">
      <c r="A351" t="str">
        <f>"000837"</f>
        <v>000837</v>
      </c>
      <c r="B351" t="s">
        <v>1063</v>
      </c>
      <c r="C351">
        <v>9.15</v>
      </c>
      <c r="D351">
        <v>9.17</v>
      </c>
      <c r="E351">
        <v>8.8800000000000008</v>
      </c>
      <c r="F351">
        <v>9.09</v>
      </c>
      <c r="G351">
        <v>129635</v>
      </c>
      <c r="H351">
        <v>116967800</v>
      </c>
      <c r="I351">
        <v>1.65</v>
      </c>
      <c r="J351" t="s">
        <v>283</v>
      </c>
      <c r="K351" t="s">
        <v>389</v>
      </c>
      <c r="L351">
        <v>0.66</v>
      </c>
      <c r="M351">
        <v>9.02</v>
      </c>
      <c r="N351">
        <v>65716</v>
      </c>
      <c r="O351">
        <v>63918</v>
      </c>
      <c r="P351">
        <v>1.03</v>
      </c>
      <c r="Q351">
        <v>612</v>
      </c>
      <c r="R351">
        <v>227</v>
      </c>
      <c r="S351" t="s">
        <v>3</v>
      </c>
      <c r="T351">
        <v>34852.5</v>
      </c>
      <c r="U351" t="s">
        <v>1064</v>
      </c>
      <c r="V351" t="s">
        <v>1065</v>
      </c>
      <c r="W351">
        <v>0.82</v>
      </c>
    </row>
    <row r="352" spans="1:23">
      <c r="A352" t="str">
        <f>"000838"</f>
        <v>000838</v>
      </c>
      <c r="B352" t="s">
        <v>1066</v>
      </c>
      <c r="C352">
        <v>10.6</v>
      </c>
      <c r="D352">
        <v>10.6</v>
      </c>
      <c r="E352">
        <v>10.029999999999999</v>
      </c>
      <c r="F352">
        <v>10.36</v>
      </c>
      <c r="G352">
        <v>49485</v>
      </c>
      <c r="H352">
        <v>50593716</v>
      </c>
      <c r="I352">
        <v>0.75</v>
      </c>
      <c r="J352" t="s">
        <v>15</v>
      </c>
      <c r="K352" t="s">
        <v>34</v>
      </c>
      <c r="L352">
        <v>-0.67</v>
      </c>
      <c r="M352">
        <v>10.220000000000001</v>
      </c>
      <c r="N352">
        <v>31239</v>
      </c>
      <c r="O352">
        <v>18246</v>
      </c>
      <c r="P352">
        <v>1.71</v>
      </c>
      <c r="Q352">
        <v>2474</v>
      </c>
      <c r="R352">
        <v>32</v>
      </c>
      <c r="S352" t="s">
        <v>3</v>
      </c>
      <c r="T352">
        <v>16289.96</v>
      </c>
      <c r="U352" t="s">
        <v>1067</v>
      </c>
      <c r="V352" t="s">
        <v>1068</v>
      </c>
      <c r="W352">
        <v>-0.51</v>
      </c>
    </row>
    <row r="353" spans="1:23">
      <c r="A353" t="str">
        <f>"000839"</f>
        <v>000839</v>
      </c>
      <c r="B353" t="s">
        <v>1069</v>
      </c>
      <c r="C353">
        <v>8.31</v>
      </c>
      <c r="D353">
        <v>8.3800000000000008</v>
      </c>
      <c r="E353">
        <v>8.23</v>
      </c>
      <c r="F353">
        <v>8.2899999999999991</v>
      </c>
      <c r="G353">
        <v>251160</v>
      </c>
      <c r="H353">
        <v>208141360</v>
      </c>
      <c r="I353">
        <v>0.94</v>
      </c>
      <c r="J353" t="s">
        <v>26</v>
      </c>
      <c r="K353" t="s">
        <v>34</v>
      </c>
      <c r="L353">
        <v>-0.36</v>
      </c>
      <c r="M353">
        <v>8.2899999999999991</v>
      </c>
      <c r="N353">
        <v>140326</v>
      </c>
      <c r="O353">
        <v>110833</v>
      </c>
      <c r="P353">
        <v>1.27</v>
      </c>
      <c r="Q353">
        <v>2516</v>
      </c>
      <c r="R353">
        <v>672</v>
      </c>
      <c r="S353" t="s">
        <v>3</v>
      </c>
      <c r="T353">
        <v>156760.28</v>
      </c>
      <c r="U353" t="s">
        <v>1070</v>
      </c>
      <c r="V353" t="s">
        <v>1071</v>
      </c>
      <c r="W353">
        <v>-0.2</v>
      </c>
    </row>
    <row r="354" spans="1:23">
      <c r="A354" t="str">
        <f>"000848"</f>
        <v>000848</v>
      </c>
      <c r="B354" t="s">
        <v>1072</v>
      </c>
      <c r="C354">
        <v>22.96</v>
      </c>
      <c r="D354">
        <v>23.2</v>
      </c>
      <c r="E354">
        <v>22.63</v>
      </c>
      <c r="F354">
        <v>22.81</v>
      </c>
      <c r="G354">
        <v>26251</v>
      </c>
      <c r="H354">
        <v>59968428</v>
      </c>
      <c r="I354">
        <v>0.62</v>
      </c>
      <c r="J354" t="s">
        <v>59</v>
      </c>
      <c r="K354" t="s">
        <v>238</v>
      </c>
      <c r="L354">
        <v>-0.56999999999999995</v>
      </c>
      <c r="M354">
        <v>22.84</v>
      </c>
      <c r="N354">
        <v>14012</v>
      </c>
      <c r="O354">
        <v>12238</v>
      </c>
      <c r="P354">
        <v>1.1399999999999999</v>
      </c>
      <c r="Q354">
        <v>108</v>
      </c>
      <c r="R354">
        <v>18</v>
      </c>
      <c r="S354" t="s">
        <v>3</v>
      </c>
      <c r="T354">
        <v>50164.46</v>
      </c>
      <c r="U354" t="s">
        <v>1073</v>
      </c>
      <c r="V354" t="s">
        <v>1074</v>
      </c>
      <c r="W354">
        <v>-0.41</v>
      </c>
    </row>
    <row r="355" spans="1:23">
      <c r="A355" t="str">
        <f>"000850"</f>
        <v>000850</v>
      </c>
      <c r="B355" t="s">
        <v>1075</v>
      </c>
      <c r="C355">
        <v>5.15</v>
      </c>
      <c r="D355">
        <v>5.24</v>
      </c>
      <c r="E355">
        <v>5.13</v>
      </c>
      <c r="F355">
        <v>5.19</v>
      </c>
      <c r="G355">
        <v>125769</v>
      </c>
      <c r="H355">
        <v>65261388</v>
      </c>
      <c r="I355">
        <v>1.3</v>
      </c>
      <c r="J355" t="s">
        <v>55</v>
      </c>
      <c r="K355" t="s">
        <v>220</v>
      </c>
      <c r="L355">
        <v>1.17</v>
      </c>
      <c r="M355">
        <v>5.19</v>
      </c>
      <c r="N355">
        <v>56372</v>
      </c>
      <c r="O355">
        <v>69397</v>
      </c>
      <c r="P355">
        <v>0.81</v>
      </c>
      <c r="Q355">
        <v>811</v>
      </c>
      <c r="R355">
        <v>1700</v>
      </c>
      <c r="S355" t="s">
        <v>3</v>
      </c>
      <c r="T355">
        <v>94316.21</v>
      </c>
      <c r="U355" t="s">
        <v>1076</v>
      </c>
      <c r="V355" t="s">
        <v>1077</v>
      </c>
      <c r="W355">
        <v>1.33</v>
      </c>
    </row>
    <row r="356" spans="1:23">
      <c r="A356" t="str">
        <f>"000851"</f>
        <v>000851</v>
      </c>
      <c r="B356" t="s">
        <v>1078</v>
      </c>
      <c r="C356">
        <v>13.38</v>
      </c>
      <c r="D356">
        <v>14.14</v>
      </c>
      <c r="E356">
        <v>13.24</v>
      </c>
      <c r="F356">
        <v>13.91</v>
      </c>
      <c r="G356">
        <v>405366</v>
      </c>
      <c r="H356">
        <v>558104000</v>
      </c>
      <c r="I356">
        <v>1.1599999999999999</v>
      </c>
      <c r="J356" t="s">
        <v>758</v>
      </c>
      <c r="K356" t="s">
        <v>452</v>
      </c>
      <c r="L356">
        <v>4.12</v>
      </c>
      <c r="M356">
        <v>13.77</v>
      </c>
      <c r="N356">
        <v>196358</v>
      </c>
      <c r="O356">
        <v>209008</v>
      </c>
      <c r="P356">
        <v>0.94</v>
      </c>
      <c r="Q356">
        <v>1174</v>
      </c>
      <c r="R356">
        <v>1190</v>
      </c>
      <c r="S356" t="s">
        <v>3</v>
      </c>
      <c r="T356">
        <v>48414.17</v>
      </c>
      <c r="U356" t="s">
        <v>1079</v>
      </c>
      <c r="V356" t="s">
        <v>1080</v>
      </c>
      <c r="W356">
        <v>4.28</v>
      </c>
    </row>
    <row r="357" spans="1:23">
      <c r="A357" t="str">
        <f>"000852"</f>
        <v>000852</v>
      </c>
      <c r="B357" t="s">
        <v>1081</v>
      </c>
      <c r="C357" t="s">
        <v>3</v>
      </c>
      <c r="D357" t="s">
        <v>3</v>
      </c>
      <c r="E357" t="s">
        <v>3</v>
      </c>
      <c r="F357">
        <v>0</v>
      </c>
      <c r="G357">
        <v>0</v>
      </c>
      <c r="H357">
        <v>0</v>
      </c>
      <c r="I357">
        <v>0</v>
      </c>
      <c r="J357" t="s">
        <v>1082</v>
      </c>
      <c r="K357" t="s">
        <v>317</v>
      </c>
      <c r="L357" t="s">
        <v>3</v>
      </c>
      <c r="M357">
        <v>15.75</v>
      </c>
      <c r="N357">
        <v>0</v>
      </c>
      <c r="O357">
        <v>0</v>
      </c>
      <c r="P357" t="s">
        <v>3</v>
      </c>
      <c r="Q357">
        <v>0</v>
      </c>
      <c r="R357">
        <v>0</v>
      </c>
      <c r="S357" t="s">
        <v>3</v>
      </c>
      <c r="T357">
        <v>13012.21</v>
      </c>
      <c r="U357" t="s">
        <v>1083</v>
      </c>
      <c r="V357" t="s">
        <v>1084</v>
      </c>
      <c r="W357">
        <v>0.16</v>
      </c>
    </row>
    <row r="358" spans="1:23">
      <c r="A358" t="str">
        <f>"000856"</f>
        <v>000856</v>
      </c>
      <c r="B358" t="s">
        <v>1085</v>
      </c>
      <c r="C358">
        <v>8.2799999999999994</v>
      </c>
      <c r="D358">
        <v>8.32</v>
      </c>
      <c r="E358">
        <v>8.2100000000000009</v>
      </c>
      <c r="F358">
        <v>8.31</v>
      </c>
      <c r="G358">
        <v>45139</v>
      </c>
      <c r="H358">
        <v>37355972</v>
      </c>
      <c r="I358">
        <v>0.52</v>
      </c>
      <c r="J358" t="s">
        <v>398</v>
      </c>
      <c r="K358" t="s">
        <v>238</v>
      </c>
      <c r="L358">
        <v>0.73</v>
      </c>
      <c r="M358">
        <v>8.2799999999999994</v>
      </c>
      <c r="N358">
        <v>25677</v>
      </c>
      <c r="O358">
        <v>19462</v>
      </c>
      <c r="P358">
        <v>1.32</v>
      </c>
      <c r="Q358">
        <v>601</v>
      </c>
      <c r="R358">
        <v>872</v>
      </c>
      <c r="S358" t="s">
        <v>3</v>
      </c>
      <c r="T358">
        <v>13207.05</v>
      </c>
      <c r="U358" t="s">
        <v>1086</v>
      </c>
      <c r="V358" t="s">
        <v>1087</v>
      </c>
      <c r="W358">
        <v>0.89</v>
      </c>
    </row>
    <row r="359" spans="1:23">
      <c r="A359" t="str">
        <f>"000858"</f>
        <v>000858</v>
      </c>
      <c r="B359" t="s">
        <v>1088</v>
      </c>
      <c r="C359">
        <v>19.420000000000002</v>
      </c>
      <c r="D359">
        <v>19.5</v>
      </c>
      <c r="E359">
        <v>19.059999999999999</v>
      </c>
      <c r="F359">
        <v>19.149999999999999</v>
      </c>
      <c r="G359">
        <v>203500</v>
      </c>
      <c r="H359">
        <v>390491936</v>
      </c>
      <c r="I359">
        <v>0.95</v>
      </c>
      <c r="J359" t="s">
        <v>531</v>
      </c>
      <c r="K359" t="s">
        <v>225</v>
      </c>
      <c r="L359">
        <v>-1.34</v>
      </c>
      <c r="M359">
        <v>19.190000000000001</v>
      </c>
      <c r="N359">
        <v>125248</v>
      </c>
      <c r="O359">
        <v>78252</v>
      </c>
      <c r="P359">
        <v>1.6</v>
      </c>
      <c r="Q359">
        <v>368</v>
      </c>
      <c r="R359">
        <v>407</v>
      </c>
      <c r="S359" t="s">
        <v>3</v>
      </c>
      <c r="T359">
        <v>379556.47</v>
      </c>
      <c r="U359" t="s">
        <v>1089</v>
      </c>
      <c r="V359" t="s">
        <v>1090</v>
      </c>
      <c r="W359">
        <v>-1.18</v>
      </c>
    </row>
    <row r="360" spans="1:23">
      <c r="A360" t="str">
        <f>"000859"</f>
        <v>000859</v>
      </c>
      <c r="B360" t="s">
        <v>1091</v>
      </c>
      <c r="C360">
        <v>6.71</v>
      </c>
      <c r="D360">
        <v>6.78</v>
      </c>
      <c r="E360">
        <v>6.33</v>
      </c>
      <c r="F360">
        <v>6.5</v>
      </c>
      <c r="G360">
        <v>303566</v>
      </c>
      <c r="H360">
        <v>198073360</v>
      </c>
      <c r="I360">
        <v>1.47</v>
      </c>
      <c r="J360" t="s">
        <v>273</v>
      </c>
      <c r="K360" t="s">
        <v>220</v>
      </c>
      <c r="L360">
        <v>0.46</v>
      </c>
      <c r="M360">
        <v>6.52</v>
      </c>
      <c r="N360">
        <v>142903</v>
      </c>
      <c r="O360">
        <v>160662</v>
      </c>
      <c r="P360">
        <v>0.89</v>
      </c>
      <c r="Q360">
        <v>11</v>
      </c>
      <c r="R360">
        <v>559</v>
      </c>
      <c r="S360" t="s">
        <v>3</v>
      </c>
      <c r="T360">
        <v>42047.89</v>
      </c>
      <c r="U360" t="s">
        <v>1092</v>
      </c>
      <c r="V360" t="s">
        <v>1093</v>
      </c>
      <c r="W360">
        <v>0.62</v>
      </c>
    </row>
    <row r="361" spans="1:23">
      <c r="A361" t="str">
        <f>"000860"</f>
        <v>000860</v>
      </c>
      <c r="B361" t="s">
        <v>1094</v>
      </c>
      <c r="C361">
        <v>15.67</v>
      </c>
      <c r="D361">
        <v>16.04</v>
      </c>
      <c r="E361">
        <v>15.67</v>
      </c>
      <c r="F361">
        <v>15.85</v>
      </c>
      <c r="G361">
        <v>118400</v>
      </c>
      <c r="H361">
        <v>187860976</v>
      </c>
      <c r="I361">
        <v>1.88</v>
      </c>
      <c r="J361" t="s">
        <v>169</v>
      </c>
      <c r="K361" t="s">
        <v>34</v>
      </c>
      <c r="L361">
        <v>1.28</v>
      </c>
      <c r="M361">
        <v>15.87</v>
      </c>
      <c r="N361">
        <v>56336</v>
      </c>
      <c r="O361">
        <v>62064</v>
      </c>
      <c r="P361">
        <v>0.91</v>
      </c>
      <c r="Q361">
        <v>68</v>
      </c>
      <c r="R361">
        <v>1788</v>
      </c>
      <c r="S361" t="s">
        <v>3</v>
      </c>
      <c r="T361">
        <v>43852.5</v>
      </c>
      <c r="U361" t="s">
        <v>1095</v>
      </c>
      <c r="V361" t="s">
        <v>1096</v>
      </c>
      <c r="W361">
        <v>1.44</v>
      </c>
    </row>
    <row r="362" spans="1:23">
      <c r="A362" t="str">
        <f>"000861"</f>
        <v>000861</v>
      </c>
      <c r="B362" t="s">
        <v>1097</v>
      </c>
      <c r="C362">
        <v>12.34</v>
      </c>
      <c r="D362">
        <v>12.74</v>
      </c>
      <c r="E362">
        <v>12.17</v>
      </c>
      <c r="F362">
        <v>12.66</v>
      </c>
      <c r="G362">
        <v>70061</v>
      </c>
      <c r="H362">
        <v>87232760</v>
      </c>
      <c r="I362">
        <v>1.55</v>
      </c>
      <c r="J362" t="s">
        <v>154</v>
      </c>
      <c r="K362" t="s">
        <v>211</v>
      </c>
      <c r="L362">
        <v>3.6</v>
      </c>
      <c r="M362">
        <v>12.45</v>
      </c>
      <c r="N362">
        <v>27905</v>
      </c>
      <c r="O362">
        <v>42156</v>
      </c>
      <c r="P362">
        <v>0.66</v>
      </c>
      <c r="Q362">
        <v>19</v>
      </c>
      <c r="R362">
        <v>160</v>
      </c>
      <c r="S362" t="s">
        <v>3</v>
      </c>
      <c r="T362">
        <v>19992.93</v>
      </c>
      <c r="U362" t="s">
        <v>1098</v>
      </c>
      <c r="V362" t="s">
        <v>1099</v>
      </c>
      <c r="W362">
        <v>3.76</v>
      </c>
    </row>
    <row r="363" spans="1:23">
      <c r="A363" t="str">
        <f>"000862"</f>
        <v>000862</v>
      </c>
      <c r="B363" t="s">
        <v>1100</v>
      </c>
      <c r="C363">
        <v>7.98</v>
      </c>
      <c r="D363">
        <v>8.07</v>
      </c>
      <c r="E363">
        <v>7.81</v>
      </c>
      <c r="F363">
        <v>7.93</v>
      </c>
      <c r="G363">
        <v>63674</v>
      </c>
      <c r="H363">
        <v>50251536</v>
      </c>
      <c r="I363">
        <v>0.9</v>
      </c>
      <c r="J363" t="s">
        <v>617</v>
      </c>
      <c r="K363" t="s">
        <v>496</v>
      </c>
      <c r="L363">
        <v>-0.63</v>
      </c>
      <c r="M363">
        <v>7.89</v>
      </c>
      <c r="N363">
        <v>43292</v>
      </c>
      <c r="O363">
        <v>20381</v>
      </c>
      <c r="P363">
        <v>2.12</v>
      </c>
      <c r="Q363">
        <v>553</v>
      </c>
      <c r="R363">
        <v>132</v>
      </c>
      <c r="S363" t="s">
        <v>3</v>
      </c>
      <c r="T363">
        <v>28306.799999999999</v>
      </c>
      <c r="U363" t="s">
        <v>1101</v>
      </c>
      <c r="V363" t="s">
        <v>1101</v>
      </c>
      <c r="W363">
        <v>-0.47</v>
      </c>
    </row>
    <row r="364" spans="1:23">
      <c r="A364" t="str">
        <f>"000863"</f>
        <v>000863</v>
      </c>
      <c r="B364" t="s">
        <v>1102</v>
      </c>
      <c r="C364">
        <v>6.26</v>
      </c>
      <c r="D364">
        <v>6.35</v>
      </c>
      <c r="E364">
        <v>6.25</v>
      </c>
      <c r="F364">
        <v>6.32</v>
      </c>
      <c r="G364">
        <v>85408</v>
      </c>
      <c r="H364">
        <v>53926660</v>
      </c>
      <c r="I364">
        <v>1.5</v>
      </c>
      <c r="J364" t="s">
        <v>15</v>
      </c>
      <c r="K364" t="s">
        <v>727</v>
      </c>
      <c r="L364">
        <v>0.8</v>
      </c>
      <c r="M364">
        <v>6.31</v>
      </c>
      <c r="N364">
        <v>42659</v>
      </c>
      <c r="O364">
        <v>42748</v>
      </c>
      <c r="P364">
        <v>1</v>
      </c>
      <c r="Q364">
        <v>381</v>
      </c>
      <c r="R364">
        <v>1111</v>
      </c>
      <c r="S364" t="s">
        <v>3</v>
      </c>
      <c r="T364">
        <v>17462.02</v>
      </c>
      <c r="U364" t="s">
        <v>1103</v>
      </c>
      <c r="V364" t="s">
        <v>1104</v>
      </c>
      <c r="W364">
        <v>0.96</v>
      </c>
    </row>
    <row r="365" spans="1:23">
      <c r="A365" t="str">
        <f>"000868"</f>
        <v>000868</v>
      </c>
      <c r="B365" t="s">
        <v>1105</v>
      </c>
      <c r="C365">
        <v>5.47</v>
      </c>
      <c r="D365">
        <v>5.57</v>
      </c>
      <c r="E365">
        <v>5.41</v>
      </c>
      <c r="F365">
        <v>5.51</v>
      </c>
      <c r="G365">
        <v>195592</v>
      </c>
      <c r="H365">
        <v>107620296</v>
      </c>
      <c r="I365">
        <v>1.23</v>
      </c>
      <c r="J365" t="s">
        <v>476</v>
      </c>
      <c r="K365" t="s">
        <v>220</v>
      </c>
      <c r="L365">
        <v>1.29</v>
      </c>
      <c r="M365">
        <v>5.5</v>
      </c>
      <c r="N365">
        <v>88301</v>
      </c>
      <c r="O365">
        <v>107291</v>
      </c>
      <c r="P365">
        <v>0.82</v>
      </c>
      <c r="Q365">
        <v>481</v>
      </c>
      <c r="R365">
        <v>2112</v>
      </c>
      <c r="S365" t="s">
        <v>3</v>
      </c>
      <c r="T365">
        <v>69556.149999999994</v>
      </c>
      <c r="U365" t="s">
        <v>1106</v>
      </c>
      <c r="V365" t="s">
        <v>1106</v>
      </c>
      <c r="W365">
        <v>1.45</v>
      </c>
    </row>
    <row r="366" spans="1:23">
      <c r="A366" t="str">
        <f>"000869"</f>
        <v>000869</v>
      </c>
      <c r="B366" t="s">
        <v>1107</v>
      </c>
      <c r="C366">
        <v>31.73</v>
      </c>
      <c r="D366">
        <v>32.32</v>
      </c>
      <c r="E366">
        <v>31.14</v>
      </c>
      <c r="F366">
        <v>31.35</v>
      </c>
      <c r="G366">
        <v>35953</v>
      </c>
      <c r="H366">
        <v>113190768</v>
      </c>
      <c r="I366">
        <v>0.92</v>
      </c>
      <c r="J366" t="s">
        <v>495</v>
      </c>
      <c r="K366" t="s">
        <v>250</v>
      </c>
      <c r="L366">
        <v>-1.79</v>
      </c>
      <c r="M366">
        <v>31.48</v>
      </c>
      <c r="N366">
        <v>20166</v>
      </c>
      <c r="O366">
        <v>15786</v>
      </c>
      <c r="P366">
        <v>1.28</v>
      </c>
      <c r="Q366">
        <v>39</v>
      </c>
      <c r="R366">
        <v>284</v>
      </c>
      <c r="S366" t="s">
        <v>3</v>
      </c>
      <c r="T366">
        <v>45346.07</v>
      </c>
      <c r="U366" t="s">
        <v>1108</v>
      </c>
      <c r="V366" t="s">
        <v>1109</v>
      </c>
      <c r="W366">
        <v>-1.63</v>
      </c>
    </row>
    <row r="367" spans="1:23">
      <c r="A367" t="str">
        <f>"000875"</f>
        <v>000875</v>
      </c>
      <c r="B367" t="s">
        <v>1110</v>
      </c>
      <c r="C367">
        <v>3.28</v>
      </c>
      <c r="D367">
        <v>3.37</v>
      </c>
      <c r="E367">
        <v>3.27</v>
      </c>
      <c r="F367">
        <v>3.32</v>
      </c>
      <c r="G367">
        <v>221600</v>
      </c>
      <c r="H367">
        <v>73710344</v>
      </c>
      <c r="I367">
        <v>2.48</v>
      </c>
      <c r="J367" t="s">
        <v>87</v>
      </c>
      <c r="K367" t="s">
        <v>99</v>
      </c>
      <c r="L367">
        <v>1.22</v>
      </c>
      <c r="M367">
        <v>3.33</v>
      </c>
      <c r="N367">
        <v>90315</v>
      </c>
      <c r="O367">
        <v>131285</v>
      </c>
      <c r="P367">
        <v>0.69</v>
      </c>
      <c r="Q367">
        <v>2259</v>
      </c>
      <c r="R367">
        <v>1798</v>
      </c>
      <c r="S367" t="s">
        <v>3</v>
      </c>
      <c r="T367">
        <v>66003.210000000006</v>
      </c>
      <c r="U367" t="s">
        <v>1111</v>
      </c>
      <c r="V367" t="s">
        <v>1112</v>
      </c>
      <c r="W367">
        <v>1.38</v>
      </c>
    </row>
    <row r="368" spans="1:23">
      <c r="A368" t="str">
        <f>"000876"</f>
        <v>000876</v>
      </c>
      <c r="B368" t="s">
        <v>1113</v>
      </c>
      <c r="C368">
        <v>14.48</v>
      </c>
      <c r="D368">
        <v>14.53</v>
      </c>
      <c r="E368">
        <v>14.04</v>
      </c>
      <c r="F368">
        <v>14.15</v>
      </c>
      <c r="G368">
        <v>116315</v>
      </c>
      <c r="H368">
        <v>164465968</v>
      </c>
      <c r="I368">
        <v>1.71</v>
      </c>
      <c r="J368" t="s">
        <v>141</v>
      </c>
      <c r="K368" t="s">
        <v>225</v>
      </c>
      <c r="L368">
        <v>-2.21</v>
      </c>
      <c r="M368">
        <v>14.14</v>
      </c>
      <c r="N368">
        <v>73837</v>
      </c>
      <c r="O368">
        <v>42478</v>
      </c>
      <c r="P368">
        <v>1.74</v>
      </c>
      <c r="Q368">
        <v>39</v>
      </c>
      <c r="R368">
        <v>513</v>
      </c>
      <c r="S368" t="s">
        <v>3</v>
      </c>
      <c r="T368">
        <v>107412.93</v>
      </c>
      <c r="U368" t="s">
        <v>1114</v>
      </c>
      <c r="V368" t="s">
        <v>1115</v>
      </c>
      <c r="W368">
        <v>-2.0499999999999998</v>
      </c>
    </row>
    <row r="369" spans="1:23">
      <c r="A369" t="str">
        <f>"000877"</f>
        <v>000877</v>
      </c>
      <c r="B369" t="s">
        <v>1116</v>
      </c>
      <c r="C369">
        <v>6.59</v>
      </c>
      <c r="D369">
        <v>6.68</v>
      </c>
      <c r="E369">
        <v>6.5</v>
      </c>
      <c r="F369">
        <v>6.62</v>
      </c>
      <c r="G369">
        <v>282427</v>
      </c>
      <c r="H369">
        <v>186324848</v>
      </c>
      <c r="I369">
        <v>1.64</v>
      </c>
      <c r="J369" t="s">
        <v>258</v>
      </c>
      <c r="K369" t="s">
        <v>241</v>
      </c>
      <c r="L369">
        <v>1.22</v>
      </c>
      <c r="M369">
        <v>6.6</v>
      </c>
      <c r="N369">
        <v>136931</v>
      </c>
      <c r="O369">
        <v>145495</v>
      </c>
      <c r="P369">
        <v>0.94</v>
      </c>
      <c r="Q369">
        <v>101</v>
      </c>
      <c r="R369">
        <v>184</v>
      </c>
      <c r="S369" t="s">
        <v>3</v>
      </c>
      <c r="T369">
        <v>88001.99</v>
      </c>
      <c r="U369" t="s">
        <v>1117</v>
      </c>
      <c r="V369" t="s">
        <v>1117</v>
      </c>
      <c r="W369">
        <v>1.38</v>
      </c>
    </row>
    <row r="370" spans="1:23">
      <c r="A370" t="str">
        <f>"000878"</f>
        <v>000878</v>
      </c>
      <c r="B370" t="s">
        <v>1118</v>
      </c>
      <c r="C370">
        <v>10.62</v>
      </c>
      <c r="D370">
        <v>11.05</v>
      </c>
      <c r="E370">
        <v>10.53</v>
      </c>
      <c r="F370">
        <v>10.84</v>
      </c>
      <c r="G370">
        <v>227579</v>
      </c>
      <c r="H370">
        <v>245309952</v>
      </c>
      <c r="I370">
        <v>1.29</v>
      </c>
      <c r="J370" t="s">
        <v>670</v>
      </c>
      <c r="K370" t="s">
        <v>445</v>
      </c>
      <c r="L370">
        <v>0.18</v>
      </c>
      <c r="M370">
        <v>10.78</v>
      </c>
      <c r="N370">
        <v>118025</v>
      </c>
      <c r="O370">
        <v>109553</v>
      </c>
      <c r="P370">
        <v>1.08</v>
      </c>
      <c r="Q370">
        <v>472</v>
      </c>
      <c r="R370">
        <v>108</v>
      </c>
      <c r="S370" t="s">
        <v>3</v>
      </c>
      <c r="T370">
        <v>141639.20000000001</v>
      </c>
      <c r="U370" t="s">
        <v>1119</v>
      </c>
      <c r="V370" t="s">
        <v>1119</v>
      </c>
      <c r="W370">
        <v>0.34</v>
      </c>
    </row>
    <row r="371" spans="1:23">
      <c r="A371" t="str">
        <f>"000880"</f>
        <v>000880</v>
      </c>
      <c r="B371" t="s">
        <v>1120</v>
      </c>
      <c r="C371">
        <v>11.89</v>
      </c>
      <c r="D371">
        <v>12.3</v>
      </c>
      <c r="E371">
        <v>11.8</v>
      </c>
      <c r="F371">
        <v>12.2</v>
      </c>
      <c r="G371">
        <v>36644</v>
      </c>
      <c r="H371">
        <v>44406280</v>
      </c>
      <c r="I371">
        <v>1.3</v>
      </c>
      <c r="J371" t="s">
        <v>398</v>
      </c>
      <c r="K371" t="s">
        <v>250</v>
      </c>
      <c r="L371">
        <v>2.61</v>
      </c>
      <c r="M371">
        <v>12.12</v>
      </c>
      <c r="N371">
        <v>15137</v>
      </c>
      <c r="O371">
        <v>21506</v>
      </c>
      <c r="P371">
        <v>0.7</v>
      </c>
      <c r="Q371">
        <v>170</v>
      </c>
      <c r="R371">
        <v>154</v>
      </c>
      <c r="S371" t="s">
        <v>3</v>
      </c>
      <c r="T371">
        <v>13513.5</v>
      </c>
      <c r="U371" t="s">
        <v>1121</v>
      </c>
      <c r="V371" t="s">
        <v>1122</v>
      </c>
      <c r="W371">
        <v>2.77</v>
      </c>
    </row>
    <row r="372" spans="1:23">
      <c r="A372" t="str">
        <f>"000881"</f>
        <v>000881</v>
      </c>
      <c r="B372" t="s">
        <v>1123</v>
      </c>
      <c r="C372">
        <v>7.55</v>
      </c>
      <c r="D372">
        <v>7.6</v>
      </c>
      <c r="E372">
        <v>7.52</v>
      </c>
      <c r="F372">
        <v>7.6</v>
      </c>
      <c r="G372">
        <v>67906</v>
      </c>
      <c r="H372">
        <v>51403960</v>
      </c>
      <c r="I372">
        <v>0.38</v>
      </c>
      <c r="J372" t="s">
        <v>26</v>
      </c>
      <c r="K372" t="s">
        <v>162</v>
      </c>
      <c r="L372">
        <v>0.4</v>
      </c>
      <c r="M372">
        <v>7.57</v>
      </c>
      <c r="N372">
        <v>35453</v>
      </c>
      <c r="O372">
        <v>32453</v>
      </c>
      <c r="P372">
        <v>1.0900000000000001</v>
      </c>
      <c r="Q372">
        <v>955</v>
      </c>
      <c r="R372">
        <v>132</v>
      </c>
      <c r="S372" t="s">
        <v>3</v>
      </c>
      <c r="T372">
        <v>30796.41</v>
      </c>
      <c r="U372" t="s">
        <v>1124</v>
      </c>
      <c r="V372" t="s">
        <v>639</v>
      </c>
      <c r="W372">
        <v>0.55000000000000004</v>
      </c>
    </row>
    <row r="373" spans="1:23">
      <c r="A373" t="str">
        <f>"000882"</f>
        <v>000882</v>
      </c>
      <c r="B373" t="s">
        <v>1125</v>
      </c>
      <c r="C373">
        <v>3.61</v>
      </c>
      <c r="D373">
        <v>3.65</v>
      </c>
      <c r="E373">
        <v>3.53</v>
      </c>
      <c r="F373">
        <v>3.6</v>
      </c>
      <c r="G373">
        <v>307699</v>
      </c>
      <c r="H373">
        <v>110277784</v>
      </c>
      <c r="I373">
        <v>0.96</v>
      </c>
      <c r="J373" t="s">
        <v>297</v>
      </c>
      <c r="K373" t="s">
        <v>34</v>
      </c>
      <c r="L373">
        <v>0.28000000000000003</v>
      </c>
      <c r="M373">
        <v>3.58</v>
      </c>
      <c r="N373">
        <v>177027</v>
      </c>
      <c r="O373">
        <v>130671</v>
      </c>
      <c r="P373">
        <v>1.35</v>
      </c>
      <c r="Q373">
        <v>3944</v>
      </c>
      <c r="R373">
        <v>485</v>
      </c>
      <c r="S373" t="s">
        <v>3</v>
      </c>
      <c r="T373">
        <v>107195.31</v>
      </c>
      <c r="U373" t="s">
        <v>1126</v>
      </c>
      <c r="V373" t="s">
        <v>1127</v>
      </c>
      <c r="W373">
        <v>0.44</v>
      </c>
    </row>
    <row r="374" spans="1:23">
      <c r="A374" t="str">
        <f>"000883"</f>
        <v>000883</v>
      </c>
      <c r="B374" t="s">
        <v>1128</v>
      </c>
      <c r="C374">
        <v>7.2</v>
      </c>
      <c r="D374">
        <v>7.48</v>
      </c>
      <c r="E374">
        <v>7.08</v>
      </c>
      <c r="F374">
        <v>7.46</v>
      </c>
      <c r="G374">
        <v>454742</v>
      </c>
      <c r="H374">
        <v>333383296</v>
      </c>
      <c r="I374">
        <v>1.52</v>
      </c>
      <c r="J374" t="s">
        <v>87</v>
      </c>
      <c r="K374" t="s">
        <v>317</v>
      </c>
      <c r="L374">
        <v>4.04</v>
      </c>
      <c r="M374">
        <v>7.33</v>
      </c>
      <c r="N374">
        <v>236037</v>
      </c>
      <c r="O374">
        <v>218704</v>
      </c>
      <c r="P374">
        <v>1.08</v>
      </c>
      <c r="Q374">
        <v>11036</v>
      </c>
      <c r="R374">
        <v>9739</v>
      </c>
      <c r="S374" t="s">
        <v>3</v>
      </c>
      <c r="T374">
        <v>267301.63</v>
      </c>
      <c r="U374" t="s">
        <v>1129</v>
      </c>
      <c r="V374" t="s">
        <v>1130</v>
      </c>
      <c r="W374">
        <v>4.2</v>
      </c>
    </row>
    <row r="375" spans="1:23">
      <c r="A375" t="str">
        <f>"000885"</f>
        <v>000885</v>
      </c>
      <c r="B375" t="s">
        <v>1131</v>
      </c>
      <c r="C375">
        <v>7.18</v>
      </c>
      <c r="D375">
        <v>7.23</v>
      </c>
      <c r="E375">
        <v>7.13</v>
      </c>
      <c r="F375">
        <v>7.2</v>
      </c>
      <c r="G375">
        <v>19548</v>
      </c>
      <c r="H375">
        <v>14066826</v>
      </c>
      <c r="I375">
        <v>0.73</v>
      </c>
      <c r="J375" t="s">
        <v>258</v>
      </c>
      <c r="K375" t="s">
        <v>254</v>
      </c>
      <c r="L375">
        <v>0.14000000000000001</v>
      </c>
      <c r="M375">
        <v>7.2</v>
      </c>
      <c r="N375">
        <v>7555</v>
      </c>
      <c r="O375">
        <v>11993</v>
      </c>
      <c r="P375">
        <v>0.63</v>
      </c>
      <c r="Q375">
        <v>325</v>
      </c>
      <c r="R375">
        <v>380</v>
      </c>
      <c r="S375" t="s">
        <v>3</v>
      </c>
      <c r="T375">
        <v>42679.92</v>
      </c>
      <c r="U375" t="s">
        <v>1132</v>
      </c>
      <c r="V375" t="s">
        <v>1133</v>
      </c>
      <c r="W375">
        <v>0.3</v>
      </c>
    </row>
    <row r="376" spans="1:23">
      <c r="A376" t="str">
        <f>"000886"</f>
        <v>000886</v>
      </c>
      <c r="B376" t="s">
        <v>1134</v>
      </c>
      <c r="C376">
        <v>4.17</v>
      </c>
      <c r="D376">
        <v>4.21</v>
      </c>
      <c r="E376">
        <v>4.13</v>
      </c>
      <c r="F376">
        <v>4.17</v>
      </c>
      <c r="G376">
        <v>105800</v>
      </c>
      <c r="H376">
        <v>44054900</v>
      </c>
      <c r="I376">
        <v>0.76</v>
      </c>
      <c r="J376" t="s">
        <v>336</v>
      </c>
      <c r="K376" t="s">
        <v>356</v>
      </c>
      <c r="L376">
        <v>-0.24</v>
      </c>
      <c r="M376">
        <v>4.16</v>
      </c>
      <c r="N376">
        <v>60444</v>
      </c>
      <c r="O376">
        <v>45355</v>
      </c>
      <c r="P376">
        <v>1.33</v>
      </c>
      <c r="Q376">
        <v>136</v>
      </c>
      <c r="R376">
        <v>3054</v>
      </c>
      <c r="S376" t="s">
        <v>3</v>
      </c>
      <c r="T376">
        <v>96284.88</v>
      </c>
      <c r="U376" t="s">
        <v>1031</v>
      </c>
      <c r="V376" t="s">
        <v>1135</v>
      </c>
      <c r="W376">
        <v>-0.08</v>
      </c>
    </row>
    <row r="377" spans="1:23">
      <c r="A377" t="str">
        <f>"000887"</f>
        <v>000887</v>
      </c>
      <c r="B377" t="s">
        <v>1136</v>
      </c>
      <c r="C377">
        <v>11.43</v>
      </c>
      <c r="D377">
        <v>12.35</v>
      </c>
      <c r="E377">
        <v>11.43</v>
      </c>
      <c r="F377">
        <v>12.25</v>
      </c>
      <c r="G377">
        <v>405781</v>
      </c>
      <c r="H377">
        <v>485957568</v>
      </c>
      <c r="I377">
        <v>1.72</v>
      </c>
      <c r="J377" t="s">
        <v>1137</v>
      </c>
      <c r="K377" t="s">
        <v>220</v>
      </c>
      <c r="L377">
        <v>7.27</v>
      </c>
      <c r="M377">
        <v>11.98</v>
      </c>
      <c r="N377">
        <v>170616</v>
      </c>
      <c r="O377">
        <v>235164</v>
      </c>
      <c r="P377">
        <v>0.73</v>
      </c>
      <c r="Q377">
        <v>627</v>
      </c>
      <c r="R377">
        <v>37</v>
      </c>
      <c r="S377" t="s">
        <v>3</v>
      </c>
      <c r="T377">
        <v>111448.28</v>
      </c>
      <c r="U377" t="s">
        <v>1138</v>
      </c>
      <c r="V377" t="s">
        <v>1139</v>
      </c>
      <c r="W377">
        <v>7.43</v>
      </c>
    </row>
    <row r="378" spans="1:23">
      <c r="A378" t="str">
        <f>"000888"</f>
        <v>000888</v>
      </c>
      <c r="B378" t="s">
        <v>1140</v>
      </c>
      <c r="C378">
        <v>19.8</v>
      </c>
      <c r="D378">
        <v>19.850000000000001</v>
      </c>
      <c r="E378">
        <v>19.53</v>
      </c>
      <c r="F378">
        <v>19.7</v>
      </c>
      <c r="G378">
        <v>7015</v>
      </c>
      <c r="H378">
        <v>13768541</v>
      </c>
      <c r="I378">
        <v>0.7</v>
      </c>
      <c r="J378" t="s">
        <v>185</v>
      </c>
      <c r="K378" t="s">
        <v>225</v>
      </c>
      <c r="L378">
        <v>-0.35</v>
      </c>
      <c r="M378">
        <v>19.63</v>
      </c>
      <c r="N378">
        <v>4005</v>
      </c>
      <c r="O378">
        <v>3009</v>
      </c>
      <c r="P378">
        <v>1.33</v>
      </c>
      <c r="Q378">
        <v>172</v>
      </c>
      <c r="R378">
        <v>12</v>
      </c>
      <c r="S378" t="s">
        <v>3</v>
      </c>
      <c r="T378">
        <v>21605.13</v>
      </c>
      <c r="U378" t="s">
        <v>708</v>
      </c>
      <c r="V378" t="s">
        <v>1141</v>
      </c>
      <c r="W378">
        <v>-0.2</v>
      </c>
    </row>
    <row r="379" spans="1:23">
      <c r="A379" t="str">
        <f>"000889"</f>
        <v>000889</v>
      </c>
      <c r="B379" t="s">
        <v>1142</v>
      </c>
      <c r="C379">
        <v>8.17</v>
      </c>
      <c r="D379">
        <v>8.8000000000000007</v>
      </c>
      <c r="E379">
        <v>8.1</v>
      </c>
      <c r="F379">
        <v>8.69</v>
      </c>
      <c r="G379">
        <v>230323</v>
      </c>
      <c r="H379">
        <v>196136272</v>
      </c>
      <c r="I379">
        <v>2.08</v>
      </c>
      <c r="J379" t="s">
        <v>564</v>
      </c>
      <c r="K379" t="s">
        <v>238</v>
      </c>
      <c r="L379">
        <v>5.72</v>
      </c>
      <c r="M379">
        <v>8.52</v>
      </c>
      <c r="N379">
        <v>96387</v>
      </c>
      <c r="O379">
        <v>133936</v>
      </c>
      <c r="P379">
        <v>0.72</v>
      </c>
      <c r="Q379">
        <v>1354</v>
      </c>
      <c r="R379">
        <v>3433</v>
      </c>
      <c r="S379" t="s">
        <v>3</v>
      </c>
      <c r="T379">
        <v>33852.69</v>
      </c>
      <c r="U379" t="s">
        <v>1143</v>
      </c>
      <c r="V379" t="s">
        <v>1144</v>
      </c>
      <c r="W379">
        <v>5.88</v>
      </c>
    </row>
    <row r="380" spans="1:23">
      <c r="A380" t="str">
        <f>"000890"</f>
        <v>000890</v>
      </c>
      <c r="B380" t="s">
        <v>1145</v>
      </c>
      <c r="C380">
        <v>5.21</v>
      </c>
      <c r="D380">
        <v>5.45</v>
      </c>
      <c r="E380">
        <v>5.21</v>
      </c>
      <c r="F380">
        <v>5.38</v>
      </c>
      <c r="G380">
        <v>100713</v>
      </c>
      <c r="H380">
        <v>54075384</v>
      </c>
      <c r="I380">
        <v>1.3</v>
      </c>
      <c r="J380" t="s">
        <v>838</v>
      </c>
      <c r="K380" t="s">
        <v>244</v>
      </c>
      <c r="L380">
        <v>2.87</v>
      </c>
      <c r="M380">
        <v>5.37</v>
      </c>
      <c r="N380">
        <v>42388</v>
      </c>
      <c r="O380">
        <v>58324</v>
      </c>
      <c r="P380">
        <v>0.73</v>
      </c>
      <c r="Q380">
        <v>1204</v>
      </c>
      <c r="R380">
        <v>603</v>
      </c>
      <c r="S380" t="s">
        <v>3</v>
      </c>
      <c r="T380">
        <v>37953.870000000003</v>
      </c>
      <c r="U380" t="s">
        <v>1146</v>
      </c>
      <c r="V380" t="s">
        <v>1146</v>
      </c>
      <c r="W380">
        <v>3.03</v>
      </c>
    </row>
    <row r="381" spans="1:23">
      <c r="A381" t="str">
        <f>"000892"</f>
        <v>000892</v>
      </c>
      <c r="B381" t="s">
        <v>1147</v>
      </c>
      <c r="C381" t="s">
        <v>3</v>
      </c>
      <c r="D381" t="s">
        <v>3</v>
      </c>
      <c r="E381" t="s">
        <v>3</v>
      </c>
      <c r="F381">
        <v>0</v>
      </c>
      <c r="G381">
        <v>0</v>
      </c>
      <c r="H381">
        <v>0</v>
      </c>
      <c r="I381">
        <v>0</v>
      </c>
      <c r="J381" t="s">
        <v>112</v>
      </c>
      <c r="K381" t="s">
        <v>386</v>
      </c>
      <c r="L381" t="s">
        <v>3</v>
      </c>
      <c r="M381">
        <v>6.24</v>
      </c>
      <c r="N381">
        <v>0</v>
      </c>
      <c r="O381">
        <v>0</v>
      </c>
      <c r="P381" t="s">
        <v>3</v>
      </c>
      <c r="Q381">
        <v>0</v>
      </c>
      <c r="R381">
        <v>0</v>
      </c>
      <c r="S381" t="s">
        <v>3</v>
      </c>
      <c r="T381">
        <v>30693.759999999998</v>
      </c>
      <c r="U381" t="s">
        <v>1148</v>
      </c>
      <c r="V381" t="s">
        <v>1149</v>
      </c>
      <c r="W381">
        <v>0.16</v>
      </c>
    </row>
    <row r="382" spans="1:23">
      <c r="A382" t="str">
        <f>"000893"</f>
        <v>000893</v>
      </c>
      <c r="B382" t="s">
        <v>1150</v>
      </c>
      <c r="C382">
        <v>12.19</v>
      </c>
      <c r="D382">
        <v>12.5</v>
      </c>
      <c r="E382">
        <v>12.16</v>
      </c>
      <c r="F382">
        <v>12.45</v>
      </c>
      <c r="G382">
        <v>161906</v>
      </c>
      <c r="H382">
        <v>200517744</v>
      </c>
      <c r="I382">
        <v>1.1200000000000001</v>
      </c>
      <c r="J382" t="s">
        <v>421</v>
      </c>
      <c r="K382" t="s">
        <v>211</v>
      </c>
      <c r="L382">
        <v>2.2200000000000002</v>
      </c>
      <c r="M382">
        <v>12.38</v>
      </c>
      <c r="N382">
        <v>83233</v>
      </c>
      <c r="O382">
        <v>78672</v>
      </c>
      <c r="P382">
        <v>1.06</v>
      </c>
      <c r="Q382">
        <v>939</v>
      </c>
      <c r="R382">
        <v>435</v>
      </c>
      <c r="S382" t="s">
        <v>3</v>
      </c>
      <c r="T382">
        <v>38782.6</v>
      </c>
      <c r="U382" t="s">
        <v>1151</v>
      </c>
      <c r="V382" t="s">
        <v>1152</v>
      </c>
      <c r="W382">
        <v>2.38</v>
      </c>
    </row>
    <row r="383" spans="1:23">
      <c r="A383" t="str">
        <f>"000895"</f>
        <v>000895</v>
      </c>
      <c r="B383" t="s">
        <v>1153</v>
      </c>
      <c r="C383">
        <v>36.33</v>
      </c>
      <c r="D383">
        <v>36.64</v>
      </c>
      <c r="E383">
        <v>36.01</v>
      </c>
      <c r="F383">
        <v>36.520000000000003</v>
      </c>
      <c r="G383">
        <v>86488</v>
      </c>
      <c r="H383">
        <v>314469920</v>
      </c>
      <c r="I383">
        <v>1.0900000000000001</v>
      </c>
      <c r="J383" t="s">
        <v>421</v>
      </c>
      <c r="K383" t="s">
        <v>254</v>
      </c>
      <c r="L383">
        <v>1.08</v>
      </c>
      <c r="M383">
        <v>36.36</v>
      </c>
      <c r="N383">
        <v>40604</v>
      </c>
      <c r="O383">
        <v>45883</v>
      </c>
      <c r="P383">
        <v>0.88</v>
      </c>
      <c r="Q383">
        <v>150</v>
      </c>
      <c r="R383">
        <v>286</v>
      </c>
      <c r="S383" t="s">
        <v>3</v>
      </c>
      <c r="T383">
        <v>121172.9</v>
      </c>
      <c r="U383" t="s">
        <v>1154</v>
      </c>
      <c r="V383" t="s">
        <v>1155</v>
      </c>
      <c r="W383">
        <v>1.24</v>
      </c>
    </row>
    <row r="384" spans="1:23">
      <c r="A384" t="str">
        <f>"000897"</f>
        <v>000897</v>
      </c>
      <c r="B384" t="s">
        <v>1156</v>
      </c>
      <c r="C384">
        <v>6.09</v>
      </c>
      <c r="D384">
        <v>6.14</v>
      </c>
      <c r="E384">
        <v>5.82</v>
      </c>
      <c r="F384">
        <v>6.01</v>
      </c>
      <c r="G384">
        <v>1050218</v>
      </c>
      <c r="H384">
        <v>629942656</v>
      </c>
      <c r="I384">
        <v>0.94</v>
      </c>
      <c r="J384" t="s">
        <v>15</v>
      </c>
      <c r="K384" t="s">
        <v>442</v>
      </c>
      <c r="L384">
        <v>0.33</v>
      </c>
      <c r="M384">
        <v>6</v>
      </c>
      <c r="N384">
        <v>547147</v>
      </c>
      <c r="O384">
        <v>503071</v>
      </c>
      <c r="P384">
        <v>1.0900000000000001</v>
      </c>
      <c r="Q384">
        <v>4181</v>
      </c>
      <c r="R384">
        <v>8874</v>
      </c>
      <c r="S384" t="s">
        <v>3</v>
      </c>
      <c r="T384">
        <v>161708.06</v>
      </c>
      <c r="U384" t="s">
        <v>1157</v>
      </c>
      <c r="V384" t="s">
        <v>1158</v>
      </c>
      <c r="W384">
        <v>0.49</v>
      </c>
    </row>
    <row r="385" spans="1:23">
      <c r="A385" t="str">
        <f>"000898"</f>
        <v>000898</v>
      </c>
      <c r="B385" t="s">
        <v>1159</v>
      </c>
      <c r="C385">
        <v>3.5</v>
      </c>
      <c r="D385">
        <v>3.54</v>
      </c>
      <c r="E385">
        <v>3.48</v>
      </c>
      <c r="F385">
        <v>3.52</v>
      </c>
      <c r="G385">
        <v>218135</v>
      </c>
      <c r="H385">
        <v>76703560</v>
      </c>
      <c r="I385">
        <v>0.86</v>
      </c>
      <c r="J385" t="s">
        <v>279</v>
      </c>
      <c r="K385" t="s">
        <v>162</v>
      </c>
      <c r="L385">
        <v>0.28000000000000003</v>
      </c>
      <c r="M385">
        <v>3.52</v>
      </c>
      <c r="N385">
        <v>99688</v>
      </c>
      <c r="O385">
        <v>118446</v>
      </c>
      <c r="P385">
        <v>0.84</v>
      </c>
      <c r="Q385">
        <v>7164</v>
      </c>
      <c r="R385">
        <v>2899</v>
      </c>
      <c r="S385" t="s">
        <v>3</v>
      </c>
      <c r="T385">
        <v>614893.63</v>
      </c>
      <c r="U385" t="s">
        <v>1160</v>
      </c>
      <c r="V385" t="s">
        <v>1161</v>
      </c>
      <c r="W385">
        <v>0.44</v>
      </c>
    </row>
    <row r="386" spans="1:23">
      <c r="A386" t="str">
        <f>"000899"</f>
        <v>000899</v>
      </c>
      <c r="B386" t="s">
        <v>1162</v>
      </c>
      <c r="C386">
        <v>5.27</v>
      </c>
      <c r="D386">
        <v>5.48</v>
      </c>
      <c r="E386">
        <v>5.23</v>
      </c>
      <c r="F386">
        <v>5.35</v>
      </c>
      <c r="G386">
        <v>157814</v>
      </c>
      <c r="H386">
        <v>84181920</v>
      </c>
      <c r="I386">
        <v>2.2799999999999998</v>
      </c>
      <c r="J386" t="s">
        <v>87</v>
      </c>
      <c r="K386" t="s">
        <v>265</v>
      </c>
      <c r="L386">
        <v>1.71</v>
      </c>
      <c r="M386">
        <v>5.33</v>
      </c>
      <c r="N386">
        <v>77850</v>
      </c>
      <c r="O386">
        <v>79963</v>
      </c>
      <c r="P386">
        <v>0.97</v>
      </c>
      <c r="Q386">
        <v>2387</v>
      </c>
      <c r="R386">
        <v>884</v>
      </c>
      <c r="S386" t="s">
        <v>3</v>
      </c>
      <c r="T386">
        <v>55518.16</v>
      </c>
      <c r="U386" t="s">
        <v>1163</v>
      </c>
      <c r="V386" t="s">
        <v>1164</v>
      </c>
      <c r="W386">
        <v>1.87</v>
      </c>
    </row>
    <row r="387" spans="1:23">
      <c r="A387" t="str">
        <f>"000900"</f>
        <v>000900</v>
      </c>
      <c r="B387" t="s">
        <v>1165</v>
      </c>
      <c r="C387">
        <v>5.26</v>
      </c>
      <c r="D387">
        <v>5.27</v>
      </c>
      <c r="E387">
        <v>5.19</v>
      </c>
      <c r="F387">
        <v>5.23</v>
      </c>
      <c r="G387">
        <v>101370</v>
      </c>
      <c r="H387">
        <v>52893752</v>
      </c>
      <c r="I387">
        <v>0.8</v>
      </c>
      <c r="J387" t="s">
        <v>336</v>
      </c>
      <c r="K387" t="s">
        <v>234</v>
      </c>
      <c r="L387">
        <v>-0.56999999999999995</v>
      </c>
      <c r="M387">
        <v>5.22</v>
      </c>
      <c r="N387">
        <v>57448</v>
      </c>
      <c r="O387">
        <v>43921</v>
      </c>
      <c r="P387">
        <v>1.31</v>
      </c>
      <c r="Q387">
        <v>229</v>
      </c>
      <c r="R387">
        <v>1789</v>
      </c>
      <c r="S387" t="s">
        <v>3</v>
      </c>
      <c r="T387">
        <v>101128.75</v>
      </c>
      <c r="U387" t="s">
        <v>1166</v>
      </c>
      <c r="V387" t="s">
        <v>1167</v>
      </c>
      <c r="W387">
        <v>-0.41</v>
      </c>
    </row>
    <row r="388" spans="1:23">
      <c r="A388" t="str">
        <f>"000901"</f>
        <v>000901</v>
      </c>
      <c r="B388" t="s">
        <v>1168</v>
      </c>
      <c r="C388">
        <v>28.18</v>
      </c>
      <c r="D388">
        <v>29.4</v>
      </c>
      <c r="E388">
        <v>27.91</v>
      </c>
      <c r="F388">
        <v>28.1</v>
      </c>
      <c r="G388">
        <v>199496</v>
      </c>
      <c r="H388">
        <v>570347136</v>
      </c>
      <c r="I388">
        <v>0.75</v>
      </c>
      <c r="J388" t="s">
        <v>892</v>
      </c>
      <c r="K388" t="s">
        <v>565</v>
      </c>
      <c r="L388">
        <v>-0.28000000000000003</v>
      </c>
      <c r="M388">
        <v>28.59</v>
      </c>
      <c r="N388">
        <v>99868</v>
      </c>
      <c r="O388">
        <v>99627</v>
      </c>
      <c r="P388">
        <v>1</v>
      </c>
      <c r="Q388">
        <v>2573</v>
      </c>
      <c r="R388">
        <v>195</v>
      </c>
      <c r="S388" t="s">
        <v>3</v>
      </c>
      <c r="T388">
        <v>25035.91</v>
      </c>
      <c r="U388" t="s">
        <v>1169</v>
      </c>
      <c r="V388" t="s">
        <v>1169</v>
      </c>
      <c r="W388">
        <v>-0.13</v>
      </c>
    </row>
    <row r="389" spans="1:23">
      <c r="A389" t="str">
        <f>"000902"</f>
        <v>000902</v>
      </c>
      <c r="B389" t="s">
        <v>1170</v>
      </c>
      <c r="C389">
        <v>11.34</v>
      </c>
      <c r="D389">
        <v>11.35</v>
      </c>
      <c r="E389">
        <v>11</v>
      </c>
      <c r="F389">
        <v>11.14</v>
      </c>
      <c r="G389">
        <v>110867</v>
      </c>
      <c r="H389">
        <v>123538208</v>
      </c>
      <c r="I389">
        <v>1.74</v>
      </c>
      <c r="J389" t="s">
        <v>224</v>
      </c>
      <c r="K389" t="s">
        <v>317</v>
      </c>
      <c r="L389">
        <v>-1.76</v>
      </c>
      <c r="M389">
        <v>11.14</v>
      </c>
      <c r="N389">
        <v>82949</v>
      </c>
      <c r="O389">
        <v>27917</v>
      </c>
      <c r="P389">
        <v>2.97</v>
      </c>
      <c r="Q389">
        <v>327</v>
      </c>
      <c r="R389">
        <v>323</v>
      </c>
      <c r="S389" t="s">
        <v>3</v>
      </c>
      <c r="T389">
        <v>25800</v>
      </c>
      <c r="U389" t="s">
        <v>1171</v>
      </c>
      <c r="V389" t="s">
        <v>1172</v>
      </c>
      <c r="W389">
        <v>-1.61</v>
      </c>
    </row>
    <row r="390" spans="1:23">
      <c r="A390" t="str">
        <f>"000903"</f>
        <v>000903</v>
      </c>
      <c r="B390" t="s">
        <v>1173</v>
      </c>
      <c r="C390">
        <v>6.01</v>
      </c>
      <c r="D390">
        <v>6.06</v>
      </c>
      <c r="E390">
        <v>5.9</v>
      </c>
      <c r="F390">
        <v>5.93</v>
      </c>
      <c r="G390">
        <v>141379</v>
      </c>
      <c r="H390">
        <v>84517624</v>
      </c>
      <c r="I390">
        <v>1.0900000000000001</v>
      </c>
      <c r="J390" t="s">
        <v>398</v>
      </c>
      <c r="K390" t="s">
        <v>445</v>
      </c>
      <c r="L390">
        <v>-0.5</v>
      </c>
      <c r="M390">
        <v>5.98</v>
      </c>
      <c r="N390">
        <v>85209</v>
      </c>
      <c r="O390">
        <v>56170</v>
      </c>
      <c r="P390">
        <v>1.52</v>
      </c>
      <c r="Q390">
        <v>505</v>
      </c>
      <c r="R390">
        <v>5872</v>
      </c>
      <c r="S390" t="s">
        <v>3</v>
      </c>
      <c r="T390">
        <v>68076</v>
      </c>
      <c r="U390" t="s">
        <v>970</v>
      </c>
      <c r="V390" t="s">
        <v>970</v>
      </c>
      <c r="W390">
        <v>-0.34</v>
      </c>
    </row>
    <row r="391" spans="1:23">
      <c r="A391" t="str">
        <f>"000905"</f>
        <v>000905</v>
      </c>
      <c r="B391" t="s">
        <v>1174</v>
      </c>
      <c r="C391">
        <v>10.06</v>
      </c>
      <c r="D391">
        <v>10.37</v>
      </c>
      <c r="E391">
        <v>9.69</v>
      </c>
      <c r="F391">
        <v>10.34</v>
      </c>
      <c r="G391">
        <v>315923</v>
      </c>
      <c r="H391">
        <v>315734784</v>
      </c>
      <c r="I391">
        <v>1.38</v>
      </c>
      <c r="J391" t="s">
        <v>70</v>
      </c>
      <c r="K391" t="s">
        <v>414</v>
      </c>
      <c r="L391">
        <v>2.58</v>
      </c>
      <c r="M391">
        <v>9.99</v>
      </c>
      <c r="N391">
        <v>140630</v>
      </c>
      <c r="O391">
        <v>175293</v>
      </c>
      <c r="P391">
        <v>0.8</v>
      </c>
      <c r="Q391">
        <v>1789</v>
      </c>
      <c r="R391">
        <v>2516</v>
      </c>
      <c r="S391" t="s">
        <v>3</v>
      </c>
      <c r="T391">
        <v>53100</v>
      </c>
      <c r="U391" t="s">
        <v>1175</v>
      </c>
      <c r="V391" t="s">
        <v>1175</v>
      </c>
      <c r="W391">
        <v>2.74</v>
      </c>
    </row>
    <row r="392" spans="1:23">
      <c r="A392" t="str">
        <f>"000906"</f>
        <v>000906</v>
      </c>
      <c r="B392" t="s">
        <v>1176</v>
      </c>
      <c r="C392">
        <v>16.03</v>
      </c>
      <c r="D392">
        <v>17.350000000000001</v>
      </c>
      <c r="E392">
        <v>15.82</v>
      </c>
      <c r="F392">
        <v>16.899999999999999</v>
      </c>
      <c r="G392">
        <v>165175</v>
      </c>
      <c r="H392">
        <v>276724736</v>
      </c>
      <c r="I392">
        <v>1.28</v>
      </c>
      <c r="J392" t="s">
        <v>564</v>
      </c>
      <c r="K392" t="s">
        <v>234</v>
      </c>
      <c r="L392">
        <v>5.49</v>
      </c>
      <c r="M392">
        <v>16.75</v>
      </c>
      <c r="N392">
        <v>79330</v>
      </c>
      <c r="O392">
        <v>85844</v>
      </c>
      <c r="P392">
        <v>0.92</v>
      </c>
      <c r="Q392">
        <v>293</v>
      </c>
      <c r="R392">
        <v>52</v>
      </c>
      <c r="S392" t="s">
        <v>3</v>
      </c>
      <c r="T392">
        <v>33060.57</v>
      </c>
      <c r="U392" t="s">
        <v>1177</v>
      </c>
      <c r="V392" t="s">
        <v>1177</v>
      </c>
      <c r="W392">
        <v>5.65</v>
      </c>
    </row>
    <row r="393" spans="1:23">
      <c r="A393" t="str">
        <f>"000908"</f>
        <v>000908</v>
      </c>
      <c r="B393" t="s">
        <v>1178</v>
      </c>
      <c r="C393">
        <v>14.97</v>
      </c>
      <c r="D393">
        <v>15.44</v>
      </c>
      <c r="E393">
        <v>14.97</v>
      </c>
      <c r="F393">
        <v>15.28</v>
      </c>
      <c r="G393">
        <v>44853</v>
      </c>
      <c r="H393">
        <v>68355448</v>
      </c>
      <c r="I393">
        <v>1.33</v>
      </c>
      <c r="J393" t="s">
        <v>398</v>
      </c>
      <c r="K393" t="s">
        <v>234</v>
      </c>
      <c r="L393">
        <v>2.14</v>
      </c>
      <c r="M393">
        <v>15.24</v>
      </c>
      <c r="N393">
        <v>19434</v>
      </c>
      <c r="O393">
        <v>25418</v>
      </c>
      <c r="P393">
        <v>0.76</v>
      </c>
      <c r="Q393">
        <v>6</v>
      </c>
      <c r="R393">
        <v>167</v>
      </c>
      <c r="S393" t="s">
        <v>3</v>
      </c>
      <c r="T393">
        <v>28000</v>
      </c>
      <c r="U393" t="s">
        <v>1179</v>
      </c>
      <c r="V393" t="s">
        <v>1179</v>
      </c>
      <c r="W393">
        <v>2.2999999999999998</v>
      </c>
    </row>
    <row r="394" spans="1:23">
      <c r="A394" t="str">
        <f>"000909"</f>
        <v>000909</v>
      </c>
      <c r="B394" t="s">
        <v>1180</v>
      </c>
      <c r="C394">
        <v>9.58</v>
      </c>
      <c r="D394">
        <v>10.14</v>
      </c>
      <c r="E394">
        <v>9.57</v>
      </c>
      <c r="F394">
        <v>9.8699999999999992</v>
      </c>
      <c r="G394">
        <v>113828</v>
      </c>
      <c r="H394">
        <v>112129872</v>
      </c>
      <c r="I394">
        <v>1.53</v>
      </c>
      <c r="J394" t="s">
        <v>26</v>
      </c>
      <c r="K394" t="s">
        <v>229</v>
      </c>
      <c r="L394">
        <v>2.71</v>
      </c>
      <c r="M394">
        <v>9.85</v>
      </c>
      <c r="N394">
        <v>50677</v>
      </c>
      <c r="O394">
        <v>63150</v>
      </c>
      <c r="P394">
        <v>0.8</v>
      </c>
      <c r="Q394">
        <v>337</v>
      </c>
      <c r="R394">
        <v>799</v>
      </c>
      <c r="S394" t="s">
        <v>3</v>
      </c>
      <c r="T394">
        <v>29400</v>
      </c>
      <c r="U394" t="s">
        <v>1181</v>
      </c>
      <c r="V394" t="s">
        <v>1181</v>
      </c>
      <c r="W394">
        <v>2.86</v>
      </c>
    </row>
    <row r="395" spans="1:23">
      <c r="A395" t="str">
        <f>"000910"</f>
        <v>000910</v>
      </c>
      <c r="B395" t="s">
        <v>1182</v>
      </c>
      <c r="C395">
        <v>7.18</v>
      </c>
      <c r="D395">
        <v>7.25</v>
      </c>
      <c r="E395">
        <v>7.05</v>
      </c>
      <c r="F395">
        <v>7.22</v>
      </c>
      <c r="G395">
        <v>37884</v>
      </c>
      <c r="H395">
        <v>27196088</v>
      </c>
      <c r="I395">
        <v>0.49</v>
      </c>
      <c r="J395" t="s">
        <v>1183</v>
      </c>
      <c r="K395" t="s">
        <v>244</v>
      </c>
      <c r="L395">
        <v>0.42</v>
      </c>
      <c r="M395">
        <v>7.18</v>
      </c>
      <c r="N395">
        <v>23061</v>
      </c>
      <c r="O395">
        <v>14823</v>
      </c>
      <c r="P395">
        <v>1.56</v>
      </c>
      <c r="Q395">
        <v>78</v>
      </c>
      <c r="R395">
        <v>215</v>
      </c>
      <c r="S395" t="s">
        <v>3</v>
      </c>
      <c r="T395">
        <v>52750</v>
      </c>
      <c r="U395" t="s">
        <v>1184</v>
      </c>
      <c r="V395" t="s">
        <v>1184</v>
      </c>
      <c r="W395">
        <v>0.57999999999999996</v>
      </c>
    </row>
    <row r="396" spans="1:23">
      <c r="A396" t="str">
        <f>"000911"</f>
        <v>000911</v>
      </c>
      <c r="B396" t="s">
        <v>1185</v>
      </c>
      <c r="C396">
        <v>9.93</v>
      </c>
      <c r="D396">
        <v>10.26</v>
      </c>
      <c r="E396">
        <v>9.8800000000000008</v>
      </c>
      <c r="F396">
        <v>10.23</v>
      </c>
      <c r="G396">
        <v>100672</v>
      </c>
      <c r="H396">
        <v>101988016</v>
      </c>
      <c r="I396">
        <v>1.38</v>
      </c>
      <c r="J396" t="s">
        <v>421</v>
      </c>
      <c r="K396" t="s">
        <v>417</v>
      </c>
      <c r="L396">
        <v>2.81</v>
      </c>
      <c r="M396">
        <v>10.130000000000001</v>
      </c>
      <c r="N396">
        <v>41595</v>
      </c>
      <c r="O396">
        <v>59076</v>
      </c>
      <c r="P396">
        <v>0.7</v>
      </c>
      <c r="Q396">
        <v>150</v>
      </c>
      <c r="R396">
        <v>523</v>
      </c>
      <c r="S396" t="s">
        <v>3</v>
      </c>
      <c r="T396">
        <v>28664</v>
      </c>
      <c r="U396" t="s">
        <v>1186</v>
      </c>
      <c r="V396" t="s">
        <v>1186</v>
      </c>
      <c r="W396">
        <v>2.97</v>
      </c>
    </row>
    <row r="397" spans="1:23">
      <c r="A397" t="str">
        <f>"000912"</f>
        <v>000912</v>
      </c>
      <c r="B397" t="s">
        <v>1187</v>
      </c>
      <c r="C397">
        <v>5.2</v>
      </c>
      <c r="D397">
        <v>5.28</v>
      </c>
      <c r="E397">
        <v>5.16</v>
      </c>
      <c r="F397">
        <v>5.24</v>
      </c>
      <c r="G397">
        <v>76145</v>
      </c>
      <c r="H397">
        <v>39717052</v>
      </c>
      <c r="I397">
        <v>0.94</v>
      </c>
      <c r="J397" t="s">
        <v>224</v>
      </c>
      <c r="K397" t="s">
        <v>225</v>
      </c>
      <c r="L397">
        <v>-0.76</v>
      </c>
      <c r="M397">
        <v>5.22</v>
      </c>
      <c r="N397">
        <v>41967</v>
      </c>
      <c r="O397">
        <v>34177</v>
      </c>
      <c r="P397">
        <v>1.23</v>
      </c>
      <c r="Q397">
        <v>1299</v>
      </c>
      <c r="R397">
        <v>1616</v>
      </c>
      <c r="S397" t="s">
        <v>3</v>
      </c>
      <c r="T397">
        <v>26715</v>
      </c>
      <c r="U397" t="s">
        <v>1188</v>
      </c>
      <c r="V397" t="s">
        <v>1189</v>
      </c>
      <c r="W397">
        <v>-0.6</v>
      </c>
    </row>
    <row r="398" spans="1:23">
      <c r="A398" t="str">
        <f>"000913"</f>
        <v>000913</v>
      </c>
      <c r="B398" t="s">
        <v>1190</v>
      </c>
      <c r="C398">
        <v>7</v>
      </c>
      <c r="D398">
        <v>7.1</v>
      </c>
      <c r="E398">
        <v>6.95</v>
      </c>
      <c r="F398">
        <v>7.03</v>
      </c>
      <c r="G398">
        <v>73296</v>
      </c>
      <c r="H398">
        <v>51493348</v>
      </c>
      <c r="I398">
        <v>0.97</v>
      </c>
      <c r="J398" t="s">
        <v>1191</v>
      </c>
      <c r="K398" t="s">
        <v>229</v>
      </c>
      <c r="L398">
        <v>0.56999999999999995</v>
      </c>
      <c r="M398">
        <v>7.03</v>
      </c>
      <c r="N398">
        <v>36424</v>
      </c>
      <c r="O398">
        <v>36871</v>
      </c>
      <c r="P398">
        <v>0.99</v>
      </c>
      <c r="Q398">
        <v>156</v>
      </c>
      <c r="R398">
        <v>667</v>
      </c>
      <c r="S398" t="s">
        <v>3</v>
      </c>
      <c r="T398">
        <v>45343.62</v>
      </c>
      <c r="U398" t="s">
        <v>1192</v>
      </c>
      <c r="V398" t="s">
        <v>1192</v>
      </c>
      <c r="W398">
        <v>0.73</v>
      </c>
    </row>
    <row r="399" spans="1:23">
      <c r="A399" t="str">
        <f>"000915"</f>
        <v>000915</v>
      </c>
      <c r="B399" t="s">
        <v>1193</v>
      </c>
      <c r="C399">
        <v>27.02</v>
      </c>
      <c r="D399">
        <v>27.54</v>
      </c>
      <c r="E399">
        <v>26.85</v>
      </c>
      <c r="F399">
        <v>26.91</v>
      </c>
      <c r="G399">
        <v>70891</v>
      </c>
      <c r="H399">
        <v>192301296</v>
      </c>
      <c r="I399">
        <v>1.32</v>
      </c>
      <c r="J399" t="s">
        <v>11</v>
      </c>
      <c r="K399" t="s">
        <v>250</v>
      </c>
      <c r="L399">
        <v>-0.33</v>
      </c>
      <c r="M399">
        <v>27.13</v>
      </c>
      <c r="N399">
        <v>37574</v>
      </c>
      <c r="O399">
        <v>33316</v>
      </c>
      <c r="P399">
        <v>1.1299999999999999</v>
      </c>
      <c r="Q399">
        <v>238</v>
      </c>
      <c r="R399">
        <v>4</v>
      </c>
      <c r="S399" t="s">
        <v>3</v>
      </c>
      <c r="T399">
        <v>17930.16</v>
      </c>
      <c r="U399" t="s">
        <v>1194</v>
      </c>
      <c r="V399" t="s">
        <v>1195</v>
      </c>
      <c r="W399">
        <v>-0.17</v>
      </c>
    </row>
    <row r="400" spans="1:23">
      <c r="A400" t="str">
        <f>"000916"</f>
        <v>000916</v>
      </c>
      <c r="B400" t="s">
        <v>1196</v>
      </c>
      <c r="C400">
        <v>4.8499999999999996</v>
      </c>
      <c r="D400">
        <v>4.87</v>
      </c>
      <c r="E400">
        <v>4.78</v>
      </c>
      <c r="F400">
        <v>4.82</v>
      </c>
      <c r="G400">
        <v>79304</v>
      </c>
      <c r="H400">
        <v>38143040</v>
      </c>
      <c r="I400">
        <v>0.92</v>
      </c>
      <c r="J400" t="s">
        <v>336</v>
      </c>
      <c r="K400" t="s">
        <v>34</v>
      </c>
      <c r="L400">
        <v>-0.41</v>
      </c>
      <c r="M400">
        <v>4.8099999999999996</v>
      </c>
      <c r="N400">
        <v>38450</v>
      </c>
      <c r="O400">
        <v>40854</v>
      </c>
      <c r="P400">
        <v>0.94</v>
      </c>
      <c r="Q400">
        <v>539</v>
      </c>
      <c r="R400">
        <v>159</v>
      </c>
      <c r="S400" t="s">
        <v>3</v>
      </c>
      <c r="T400">
        <v>92032.39</v>
      </c>
      <c r="U400" t="s">
        <v>1197</v>
      </c>
      <c r="V400" t="s">
        <v>1198</v>
      </c>
      <c r="W400">
        <v>-0.25</v>
      </c>
    </row>
    <row r="401" spans="1:23">
      <c r="A401" t="str">
        <f>"000917"</f>
        <v>000917</v>
      </c>
      <c r="B401" t="s">
        <v>1199</v>
      </c>
      <c r="C401">
        <v>17.190000000000001</v>
      </c>
      <c r="D401">
        <v>17.28</v>
      </c>
      <c r="E401">
        <v>16.88</v>
      </c>
      <c r="F401">
        <v>17.079999999999998</v>
      </c>
      <c r="G401">
        <v>212306</v>
      </c>
      <c r="H401">
        <v>361949728</v>
      </c>
      <c r="I401">
        <v>0.87</v>
      </c>
      <c r="J401" t="s">
        <v>228</v>
      </c>
      <c r="K401" t="s">
        <v>234</v>
      </c>
      <c r="L401">
        <v>-0.57999999999999996</v>
      </c>
      <c r="M401">
        <v>17.05</v>
      </c>
      <c r="N401">
        <v>120454</v>
      </c>
      <c r="O401">
        <v>91852</v>
      </c>
      <c r="P401">
        <v>1.31</v>
      </c>
      <c r="Q401">
        <v>1318</v>
      </c>
      <c r="R401">
        <v>212</v>
      </c>
      <c r="S401" t="s">
        <v>3</v>
      </c>
      <c r="T401">
        <v>70048.78</v>
      </c>
      <c r="U401" t="s">
        <v>1200</v>
      </c>
      <c r="V401" t="s">
        <v>1201</v>
      </c>
      <c r="W401">
        <v>-0.42</v>
      </c>
    </row>
    <row r="402" spans="1:23">
      <c r="A402" t="str">
        <f>"000918"</f>
        <v>000918</v>
      </c>
      <c r="B402" t="s">
        <v>1202</v>
      </c>
      <c r="C402">
        <v>2.95</v>
      </c>
      <c r="D402">
        <v>3</v>
      </c>
      <c r="E402">
        <v>2.94</v>
      </c>
      <c r="F402">
        <v>2.99</v>
      </c>
      <c r="G402">
        <v>82551</v>
      </c>
      <c r="H402">
        <v>24524092</v>
      </c>
      <c r="I402">
        <v>1.64</v>
      </c>
      <c r="J402" t="s">
        <v>7</v>
      </c>
      <c r="K402" t="s">
        <v>234</v>
      </c>
      <c r="L402">
        <v>1.7</v>
      </c>
      <c r="M402">
        <v>2.97</v>
      </c>
      <c r="N402">
        <v>30234</v>
      </c>
      <c r="O402">
        <v>52317</v>
      </c>
      <c r="P402">
        <v>0.57999999999999996</v>
      </c>
      <c r="Q402">
        <v>1001</v>
      </c>
      <c r="R402">
        <v>1655</v>
      </c>
      <c r="S402" t="s">
        <v>3</v>
      </c>
      <c r="T402">
        <v>180419.16</v>
      </c>
      <c r="U402" t="s">
        <v>1203</v>
      </c>
      <c r="V402" t="s">
        <v>1203</v>
      </c>
      <c r="W402">
        <v>1.86</v>
      </c>
    </row>
    <row r="403" spans="1:23">
      <c r="A403" t="str">
        <f>"000919"</f>
        <v>000919</v>
      </c>
      <c r="B403" t="s">
        <v>1204</v>
      </c>
      <c r="C403">
        <v>13.97</v>
      </c>
      <c r="D403">
        <v>14.1</v>
      </c>
      <c r="E403">
        <v>13.75</v>
      </c>
      <c r="F403">
        <v>13.99</v>
      </c>
      <c r="G403">
        <v>100629</v>
      </c>
      <c r="H403">
        <v>139757280</v>
      </c>
      <c r="I403">
        <v>0.9</v>
      </c>
      <c r="J403" t="s">
        <v>321</v>
      </c>
      <c r="K403" t="s">
        <v>244</v>
      </c>
      <c r="L403">
        <v>-0.14000000000000001</v>
      </c>
      <c r="M403">
        <v>13.89</v>
      </c>
      <c r="N403">
        <v>58232</v>
      </c>
      <c r="O403">
        <v>42396</v>
      </c>
      <c r="P403">
        <v>1.37</v>
      </c>
      <c r="Q403">
        <v>65</v>
      </c>
      <c r="R403">
        <v>969</v>
      </c>
      <c r="S403" t="s">
        <v>3</v>
      </c>
      <c r="T403">
        <v>27528.47</v>
      </c>
      <c r="U403" t="s">
        <v>1205</v>
      </c>
      <c r="V403" t="s">
        <v>1206</v>
      </c>
      <c r="W403">
        <v>0.02</v>
      </c>
    </row>
    <row r="404" spans="1:23">
      <c r="A404" t="str">
        <f>"000920"</f>
        <v>000920</v>
      </c>
      <c r="B404" t="s">
        <v>1207</v>
      </c>
      <c r="C404">
        <v>12.5</v>
      </c>
      <c r="D404">
        <v>12.6</v>
      </c>
      <c r="E404">
        <v>12.18</v>
      </c>
      <c r="F404">
        <v>12.36</v>
      </c>
      <c r="G404">
        <v>47802</v>
      </c>
      <c r="H404">
        <v>58979384</v>
      </c>
      <c r="I404">
        <v>1.1100000000000001</v>
      </c>
      <c r="J404" t="s">
        <v>1208</v>
      </c>
      <c r="K404" t="s">
        <v>452</v>
      </c>
      <c r="L404">
        <v>-0.96</v>
      </c>
      <c r="M404">
        <v>12.34</v>
      </c>
      <c r="N404">
        <v>32264</v>
      </c>
      <c r="O404">
        <v>15537</v>
      </c>
      <c r="P404">
        <v>2.08</v>
      </c>
      <c r="Q404">
        <v>68</v>
      </c>
      <c r="R404">
        <v>146</v>
      </c>
      <c r="S404" t="s">
        <v>3</v>
      </c>
      <c r="T404">
        <v>42200</v>
      </c>
      <c r="U404" t="s">
        <v>318</v>
      </c>
      <c r="V404" t="s">
        <v>318</v>
      </c>
      <c r="W404">
        <v>-0.8</v>
      </c>
    </row>
    <row r="405" spans="1:23">
      <c r="A405" t="str">
        <f>"000921"</f>
        <v>000921</v>
      </c>
      <c r="B405" t="s">
        <v>1209</v>
      </c>
      <c r="C405">
        <v>9.09</v>
      </c>
      <c r="D405">
        <v>9.1199999999999992</v>
      </c>
      <c r="E405">
        <v>9</v>
      </c>
      <c r="F405">
        <v>9.09</v>
      </c>
      <c r="G405">
        <v>59732</v>
      </c>
      <c r="H405">
        <v>54137236</v>
      </c>
      <c r="I405">
        <v>0.68</v>
      </c>
      <c r="J405" t="s">
        <v>47</v>
      </c>
      <c r="K405" t="s">
        <v>211</v>
      </c>
      <c r="L405">
        <v>0</v>
      </c>
      <c r="M405">
        <v>9.06</v>
      </c>
      <c r="N405">
        <v>31321</v>
      </c>
      <c r="O405">
        <v>28411</v>
      </c>
      <c r="P405">
        <v>1.1000000000000001</v>
      </c>
      <c r="Q405">
        <v>577</v>
      </c>
      <c r="R405">
        <v>182</v>
      </c>
      <c r="S405" t="s">
        <v>3</v>
      </c>
      <c r="T405">
        <v>89723.63</v>
      </c>
      <c r="U405" t="s">
        <v>1210</v>
      </c>
      <c r="V405" t="s">
        <v>1211</v>
      </c>
      <c r="W405">
        <v>0.16</v>
      </c>
    </row>
    <row r="406" spans="1:23">
      <c r="A406" t="str">
        <f>"000922"</f>
        <v>000922</v>
      </c>
      <c r="B406" t="s">
        <v>1212</v>
      </c>
      <c r="C406">
        <v>14.6</v>
      </c>
      <c r="D406">
        <v>15.3</v>
      </c>
      <c r="E406">
        <v>14.4</v>
      </c>
      <c r="F406">
        <v>15.3</v>
      </c>
      <c r="G406">
        <v>207989</v>
      </c>
      <c r="H406">
        <v>308871648</v>
      </c>
      <c r="I406">
        <v>0.68</v>
      </c>
      <c r="J406" t="s">
        <v>145</v>
      </c>
      <c r="K406" t="s">
        <v>565</v>
      </c>
      <c r="L406">
        <v>2.34</v>
      </c>
      <c r="M406">
        <v>14.85</v>
      </c>
      <c r="N406">
        <v>103804</v>
      </c>
      <c r="O406">
        <v>104185</v>
      </c>
      <c r="P406">
        <v>1</v>
      </c>
      <c r="Q406">
        <v>4298</v>
      </c>
      <c r="R406">
        <v>94</v>
      </c>
      <c r="S406" t="s">
        <v>3</v>
      </c>
      <c r="T406">
        <v>29843.5</v>
      </c>
      <c r="U406" t="s">
        <v>1213</v>
      </c>
      <c r="V406" t="s">
        <v>1214</v>
      </c>
      <c r="W406">
        <v>2.5</v>
      </c>
    </row>
    <row r="407" spans="1:23">
      <c r="A407" t="str">
        <f>"000923"</f>
        <v>000923</v>
      </c>
      <c r="B407" t="s">
        <v>1215</v>
      </c>
      <c r="C407">
        <v>8.93</v>
      </c>
      <c r="D407">
        <v>9.08</v>
      </c>
      <c r="E407">
        <v>8.92</v>
      </c>
      <c r="F407">
        <v>9.08</v>
      </c>
      <c r="G407">
        <v>74967</v>
      </c>
      <c r="H407">
        <v>67486696</v>
      </c>
      <c r="I407">
        <v>0.77</v>
      </c>
      <c r="J407" t="s">
        <v>233</v>
      </c>
      <c r="K407" t="s">
        <v>238</v>
      </c>
      <c r="L407">
        <v>1.68</v>
      </c>
      <c r="M407">
        <v>9</v>
      </c>
      <c r="N407">
        <v>35987</v>
      </c>
      <c r="O407">
        <v>38980</v>
      </c>
      <c r="P407">
        <v>0.92</v>
      </c>
      <c r="Q407">
        <v>402</v>
      </c>
      <c r="R407">
        <v>559</v>
      </c>
      <c r="S407" t="s">
        <v>3</v>
      </c>
      <c r="T407">
        <v>19799.91</v>
      </c>
      <c r="U407" t="s">
        <v>687</v>
      </c>
      <c r="V407" t="s">
        <v>687</v>
      </c>
      <c r="W407">
        <v>1.84</v>
      </c>
    </row>
    <row r="408" spans="1:23">
      <c r="A408" t="str">
        <f>"000925"</f>
        <v>000925</v>
      </c>
      <c r="B408" t="s">
        <v>1216</v>
      </c>
      <c r="C408">
        <v>18.55</v>
      </c>
      <c r="D408">
        <v>18.940000000000001</v>
      </c>
      <c r="E408">
        <v>18.309999999999999</v>
      </c>
      <c r="F408">
        <v>18.75</v>
      </c>
      <c r="G408">
        <v>45869</v>
      </c>
      <c r="H408">
        <v>85363032</v>
      </c>
      <c r="I408">
        <v>0.47</v>
      </c>
      <c r="J408" t="s">
        <v>269</v>
      </c>
      <c r="K408" t="s">
        <v>229</v>
      </c>
      <c r="L408">
        <v>2.46</v>
      </c>
      <c r="M408">
        <v>18.61</v>
      </c>
      <c r="N408">
        <v>23028</v>
      </c>
      <c r="O408">
        <v>22840</v>
      </c>
      <c r="P408">
        <v>1.01</v>
      </c>
      <c r="Q408">
        <v>36</v>
      </c>
      <c r="R408">
        <v>266</v>
      </c>
      <c r="S408" t="s">
        <v>3</v>
      </c>
      <c r="T408">
        <v>30133.81</v>
      </c>
      <c r="U408" t="s">
        <v>1217</v>
      </c>
      <c r="V408" t="s">
        <v>1218</v>
      </c>
      <c r="W408">
        <v>2.62</v>
      </c>
    </row>
    <row r="409" spans="1:23">
      <c r="A409" t="str">
        <f>"000926"</f>
        <v>000926</v>
      </c>
      <c r="B409" t="s">
        <v>1219</v>
      </c>
      <c r="C409">
        <v>7.01</v>
      </c>
      <c r="D409">
        <v>7.03</v>
      </c>
      <c r="E409">
        <v>6.97</v>
      </c>
      <c r="F409">
        <v>7.01</v>
      </c>
      <c r="G409">
        <v>103443</v>
      </c>
      <c r="H409">
        <v>72452256</v>
      </c>
      <c r="I409">
        <v>0.97</v>
      </c>
      <c r="J409" t="s">
        <v>15</v>
      </c>
      <c r="K409" t="s">
        <v>317</v>
      </c>
      <c r="L409">
        <v>0.28999999999999998</v>
      </c>
      <c r="M409">
        <v>7</v>
      </c>
      <c r="N409">
        <v>54033</v>
      </c>
      <c r="O409">
        <v>49410</v>
      </c>
      <c r="P409">
        <v>1.0900000000000001</v>
      </c>
      <c r="Q409">
        <v>1335</v>
      </c>
      <c r="R409">
        <v>2027</v>
      </c>
      <c r="S409" t="s">
        <v>3</v>
      </c>
      <c r="T409">
        <v>52853.94</v>
      </c>
      <c r="U409" t="s">
        <v>1220</v>
      </c>
      <c r="V409" t="s">
        <v>1221</v>
      </c>
      <c r="W409">
        <v>0.44</v>
      </c>
    </row>
    <row r="410" spans="1:23">
      <c r="A410" t="str">
        <f>"000927"</f>
        <v>000927</v>
      </c>
      <c r="B410" t="s">
        <v>1222</v>
      </c>
      <c r="C410">
        <v>4.99</v>
      </c>
      <c r="D410">
        <v>5.09</v>
      </c>
      <c r="E410">
        <v>4.95</v>
      </c>
      <c r="F410">
        <v>5.03</v>
      </c>
      <c r="G410">
        <v>71837</v>
      </c>
      <c r="H410">
        <v>36078228</v>
      </c>
      <c r="I410">
        <v>0.48</v>
      </c>
      <c r="J410" t="s">
        <v>476</v>
      </c>
      <c r="K410" t="s">
        <v>442</v>
      </c>
      <c r="L410">
        <v>-0.2</v>
      </c>
      <c r="M410">
        <v>5.0199999999999996</v>
      </c>
      <c r="N410">
        <v>40581</v>
      </c>
      <c r="O410">
        <v>31255</v>
      </c>
      <c r="P410">
        <v>1.3</v>
      </c>
      <c r="Q410">
        <v>1278</v>
      </c>
      <c r="R410">
        <v>1030</v>
      </c>
      <c r="S410" t="s">
        <v>3</v>
      </c>
      <c r="T410">
        <v>159517.09</v>
      </c>
      <c r="U410" t="s">
        <v>1223</v>
      </c>
      <c r="V410" t="s">
        <v>1223</v>
      </c>
      <c r="W410">
        <v>-0.04</v>
      </c>
    </row>
    <row r="411" spans="1:23">
      <c r="A411" t="str">
        <f>"000928"</f>
        <v>000928</v>
      </c>
      <c r="B411" t="s">
        <v>1224</v>
      </c>
      <c r="C411">
        <v>9.6300000000000008</v>
      </c>
      <c r="D411">
        <v>9.83</v>
      </c>
      <c r="E411">
        <v>9.61</v>
      </c>
      <c r="F411">
        <v>9.7200000000000006</v>
      </c>
      <c r="G411">
        <v>33170</v>
      </c>
      <c r="H411">
        <v>32200892</v>
      </c>
      <c r="I411">
        <v>0.76</v>
      </c>
      <c r="J411" t="s">
        <v>380</v>
      </c>
      <c r="K411" t="s">
        <v>99</v>
      </c>
      <c r="L411">
        <v>0.62</v>
      </c>
      <c r="M411">
        <v>9.7100000000000009</v>
      </c>
      <c r="N411">
        <v>14800</v>
      </c>
      <c r="O411">
        <v>18369</v>
      </c>
      <c r="P411">
        <v>0.81</v>
      </c>
      <c r="Q411">
        <v>207</v>
      </c>
      <c r="R411">
        <v>190</v>
      </c>
      <c r="S411" t="s">
        <v>3</v>
      </c>
      <c r="T411">
        <v>28289.9</v>
      </c>
      <c r="U411" t="s">
        <v>1225</v>
      </c>
      <c r="V411" t="s">
        <v>1225</v>
      </c>
      <c r="W411">
        <v>0.78</v>
      </c>
    </row>
    <row r="412" spans="1:23">
      <c r="A412" t="str">
        <f>"000929"</f>
        <v>000929</v>
      </c>
      <c r="B412" t="s">
        <v>1226</v>
      </c>
      <c r="C412">
        <v>9.61</v>
      </c>
      <c r="D412">
        <v>9.84</v>
      </c>
      <c r="E412">
        <v>9.57</v>
      </c>
      <c r="F412">
        <v>9.7200000000000006</v>
      </c>
      <c r="G412">
        <v>42135</v>
      </c>
      <c r="H412">
        <v>40956932</v>
      </c>
      <c r="I412">
        <v>0.74</v>
      </c>
      <c r="J412" t="s">
        <v>871</v>
      </c>
      <c r="K412" t="s">
        <v>483</v>
      </c>
      <c r="L412">
        <v>1.1399999999999999</v>
      </c>
      <c r="M412">
        <v>9.7200000000000006</v>
      </c>
      <c r="N412">
        <v>23719</v>
      </c>
      <c r="O412">
        <v>18415</v>
      </c>
      <c r="P412">
        <v>1.29</v>
      </c>
      <c r="Q412">
        <v>7</v>
      </c>
      <c r="R412">
        <v>111</v>
      </c>
      <c r="S412" t="s">
        <v>3</v>
      </c>
      <c r="T412">
        <v>18558.8</v>
      </c>
      <c r="U412" t="s">
        <v>1227</v>
      </c>
      <c r="V412" t="s">
        <v>1228</v>
      </c>
      <c r="W412">
        <v>1.3</v>
      </c>
    </row>
    <row r="413" spans="1:23">
      <c r="A413" t="str">
        <f>"000930"</f>
        <v>000930</v>
      </c>
      <c r="B413" t="s">
        <v>1229</v>
      </c>
      <c r="C413">
        <v>5.22</v>
      </c>
      <c r="D413">
        <v>5.49</v>
      </c>
      <c r="E413">
        <v>5.2</v>
      </c>
      <c r="F413">
        <v>5.45</v>
      </c>
      <c r="G413">
        <v>728207</v>
      </c>
      <c r="H413">
        <v>391230496</v>
      </c>
      <c r="I413">
        <v>1.7</v>
      </c>
      <c r="J413" t="s">
        <v>421</v>
      </c>
      <c r="K413" t="s">
        <v>220</v>
      </c>
      <c r="L413">
        <v>4.21</v>
      </c>
      <c r="M413">
        <v>5.37</v>
      </c>
      <c r="N413">
        <v>298341</v>
      </c>
      <c r="O413">
        <v>429865</v>
      </c>
      <c r="P413">
        <v>0.69</v>
      </c>
      <c r="Q413">
        <v>530</v>
      </c>
      <c r="R413">
        <v>9710</v>
      </c>
      <c r="S413" t="s">
        <v>3</v>
      </c>
      <c r="T413">
        <v>96441.1</v>
      </c>
      <c r="U413" t="s">
        <v>1230</v>
      </c>
      <c r="V413" t="s">
        <v>1230</v>
      </c>
      <c r="W413">
        <v>4.3600000000000003</v>
      </c>
    </row>
    <row r="414" spans="1:23">
      <c r="A414" t="str">
        <f>"000931"</f>
        <v>000931</v>
      </c>
      <c r="B414" t="s">
        <v>1231</v>
      </c>
      <c r="C414">
        <v>6.05</v>
      </c>
      <c r="D414">
        <v>6.07</v>
      </c>
      <c r="E414">
        <v>5.97</v>
      </c>
      <c r="F414">
        <v>6.05</v>
      </c>
      <c r="G414">
        <v>112399</v>
      </c>
      <c r="H414">
        <v>67644216</v>
      </c>
      <c r="I414">
        <v>1.03</v>
      </c>
      <c r="J414" t="s">
        <v>15</v>
      </c>
      <c r="K414" t="s">
        <v>34</v>
      </c>
      <c r="L414">
        <v>0</v>
      </c>
      <c r="M414">
        <v>6.02</v>
      </c>
      <c r="N414">
        <v>62697</v>
      </c>
      <c r="O414">
        <v>49702</v>
      </c>
      <c r="P414">
        <v>1.26</v>
      </c>
      <c r="Q414">
        <v>545</v>
      </c>
      <c r="R414">
        <v>334</v>
      </c>
      <c r="S414" t="s">
        <v>3</v>
      </c>
      <c r="T414">
        <v>50651.39</v>
      </c>
      <c r="U414" t="s">
        <v>1232</v>
      </c>
      <c r="V414" t="s">
        <v>1233</v>
      </c>
      <c r="W414">
        <v>0.16</v>
      </c>
    </row>
    <row r="415" spans="1:23">
      <c r="A415" t="str">
        <f>"000932"</f>
        <v>000932</v>
      </c>
      <c r="B415" t="s">
        <v>1234</v>
      </c>
      <c r="C415">
        <v>2.25</v>
      </c>
      <c r="D415">
        <v>2.2799999999999998</v>
      </c>
      <c r="E415">
        <v>2.2200000000000002</v>
      </c>
      <c r="F415">
        <v>2.2799999999999998</v>
      </c>
      <c r="G415">
        <v>232984</v>
      </c>
      <c r="H415">
        <v>52623844</v>
      </c>
      <c r="I415">
        <v>1.25</v>
      </c>
      <c r="J415" t="s">
        <v>279</v>
      </c>
      <c r="K415" t="s">
        <v>234</v>
      </c>
      <c r="L415">
        <v>1.33</v>
      </c>
      <c r="M415">
        <v>2.2599999999999998</v>
      </c>
      <c r="N415">
        <v>66715</v>
      </c>
      <c r="O415">
        <v>166269</v>
      </c>
      <c r="P415">
        <v>0.4</v>
      </c>
      <c r="Q415">
        <v>3605</v>
      </c>
      <c r="R415">
        <v>33401</v>
      </c>
      <c r="S415" t="s">
        <v>3</v>
      </c>
      <c r="T415">
        <v>301503.96999999997</v>
      </c>
      <c r="U415" t="s">
        <v>1235</v>
      </c>
      <c r="V415" t="s">
        <v>1236</v>
      </c>
      <c r="W415">
        <v>1.49</v>
      </c>
    </row>
    <row r="416" spans="1:23">
      <c r="A416" t="str">
        <f>"000933"</f>
        <v>000933</v>
      </c>
      <c r="B416" t="s">
        <v>1237</v>
      </c>
      <c r="C416">
        <v>4.47</v>
      </c>
      <c r="D416">
        <v>4.4800000000000004</v>
      </c>
      <c r="E416">
        <v>4.4000000000000004</v>
      </c>
      <c r="F416">
        <v>4.46</v>
      </c>
      <c r="G416">
        <v>200262</v>
      </c>
      <c r="H416">
        <v>88950360</v>
      </c>
      <c r="I416">
        <v>0.75</v>
      </c>
      <c r="J416" t="s">
        <v>482</v>
      </c>
      <c r="K416" t="s">
        <v>254</v>
      </c>
      <c r="L416">
        <v>-0.22</v>
      </c>
      <c r="M416">
        <v>4.4400000000000004</v>
      </c>
      <c r="N416">
        <v>104227</v>
      </c>
      <c r="O416">
        <v>96034</v>
      </c>
      <c r="P416">
        <v>1.0900000000000001</v>
      </c>
      <c r="Q416">
        <v>2568</v>
      </c>
      <c r="R416">
        <v>2669</v>
      </c>
      <c r="S416" t="s">
        <v>3</v>
      </c>
      <c r="T416">
        <v>187365.03</v>
      </c>
      <c r="U416" t="s">
        <v>1238</v>
      </c>
      <c r="V416" t="s">
        <v>1239</v>
      </c>
      <c r="W416">
        <v>-7.0000000000000007E-2</v>
      </c>
    </row>
    <row r="417" spans="1:23">
      <c r="A417" t="str">
        <f>"000935"</f>
        <v>000935</v>
      </c>
      <c r="B417" t="s">
        <v>1240</v>
      </c>
      <c r="C417">
        <v>6.32</v>
      </c>
      <c r="D417">
        <v>6.37</v>
      </c>
      <c r="E417">
        <v>6.26</v>
      </c>
      <c r="F417">
        <v>6.34</v>
      </c>
      <c r="G417">
        <v>87378</v>
      </c>
      <c r="H417">
        <v>55271648</v>
      </c>
      <c r="I417">
        <v>1.1100000000000001</v>
      </c>
      <c r="J417" t="s">
        <v>258</v>
      </c>
      <c r="K417" t="s">
        <v>225</v>
      </c>
      <c r="L417">
        <v>0.63</v>
      </c>
      <c r="M417">
        <v>6.33</v>
      </c>
      <c r="N417">
        <v>45611</v>
      </c>
      <c r="O417">
        <v>41767</v>
      </c>
      <c r="P417">
        <v>1.0900000000000001</v>
      </c>
      <c r="Q417">
        <v>1858</v>
      </c>
      <c r="R417">
        <v>4781</v>
      </c>
      <c r="S417" t="s">
        <v>3</v>
      </c>
      <c r="T417">
        <v>18890.02</v>
      </c>
      <c r="U417" t="s">
        <v>1241</v>
      </c>
      <c r="V417" t="s">
        <v>1242</v>
      </c>
      <c r="W417">
        <v>0.79</v>
      </c>
    </row>
    <row r="418" spans="1:23">
      <c r="A418" t="str">
        <f>"000936"</f>
        <v>000936</v>
      </c>
      <c r="B418" t="s">
        <v>1243</v>
      </c>
      <c r="C418">
        <v>4.5599999999999996</v>
      </c>
      <c r="D418">
        <v>4.6500000000000004</v>
      </c>
      <c r="E418">
        <v>4.53</v>
      </c>
      <c r="F418">
        <v>4.6500000000000004</v>
      </c>
      <c r="G418">
        <v>80191</v>
      </c>
      <c r="H418">
        <v>36869444</v>
      </c>
      <c r="I418">
        <v>1.29</v>
      </c>
      <c r="J418" t="s">
        <v>310</v>
      </c>
      <c r="K418" t="s">
        <v>244</v>
      </c>
      <c r="L418">
        <v>1.75</v>
      </c>
      <c r="M418">
        <v>4.5999999999999996</v>
      </c>
      <c r="N418">
        <v>36161</v>
      </c>
      <c r="O418">
        <v>44030</v>
      </c>
      <c r="P418">
        <v>0.82</v>
      </c>
      <c r="Q418">
        <v>1933</v>
      </c>
      <c r="R418">
        <v>3252</v>
      </c>
      <c r="S418" t="s">
        <v>3</v>
      </c>
      <c r="T418">
        <v>74768.59</v>
      </c>
      <c r="U418" t="s">
        <v>1244</v>
      </c>
      <c r="V418" t="s">
        <v>1245</v>
      </c>
      <c r="W418">
        <v>1.91</v>
      </c>
    </row>
    <row r="419" spans="1:23">
      <c r="A419" t="str">
        <f>"000937"</f>
        <v>000937</v>
      </c>
      <c r="B419" t="s">
        <v>1246</v>
      </c>
      <c r="C419">
        <v>6.94</v>
      </c>
      <c r="D419">
        <v>7.11</v>
      </c>
      <c r="E419">
        <v>6.86</v>
      </c>
      <c r="F419">
        <v>7.03</v>
      </c>
      <c r="G419">
        <v>221972</v>
      </c>
      <c r="H419">
        <v>155157392</v>
      </c>
      <c r="I419">
        <v>1.01</v>
      </c>
      <c r="J419" t="s">
        <v>482</v>
      </c>
      <c r="K419" t="s">
        <v>238</v>
      </c>
      <c r="L419">
        <v>1.01</v>
      </c>
      <c r="M419">
        <v>6.99</v>
      </c>
      <c r="N419">
        <v>105057</v>
      </c>
      <c r="O419">
        <v>116915</v>
      </c>
      <c r="P419">
        <v>0.9</v>
      </c>
      <c r="Q419">
        <v>3790</v>
      </c>
      <c r="R419">
        <v>3398</v>
      </c>
      <c r="S419" t="s">
        <v>3</v>
      </c>
      <c r="T419">
        <v>219377.77</v>
      </c>
      <c r="U419" t="s">
        <v>1247</v>
      </c>
      <c r="V419" t="s">
        <v>1248</v>
      </c>
      <c r="W419">
        <v>1.1599999999999999</v>
      </c>
    </row>
    <row r="420" spans="1:23">
      <c r="A420" t="str">
        <f>"000938"</f>
        <v>000938</v>
      </c>
      <c r="B420" t="s">
        <v>1249</v>
      </c>
      <c r="C420">
        <v>30.58</v>
      </c>
      <c r="D420">
        <v>31.28</v>
      </c>
      <c r="E420">
        <v>30.48</v>
      </c>
      <c r="F420">
        <v>30.96</v>
      </c>
      <c r="G420">
        <v>69235</v>
      </c>
      <c r="H420">
        <v>213967312</v>
      </c>
      <c r="I420">
        <v>0.71</v>
      </c>
      <c r="J420" t="s">
        <v>758</v>
      </c>
      <c r="K420" t="s">
        <v>34</v>
      </c>
      <c r="L420">
        <v>1.38</v>
      </c>
      <c r="M420">
        <v>30.9</v>
      </c>
      <c r="N420">
        <v>36428</v>
      </c>
      <c r="O420">
        <v>32806</v>
      </c>
      <c r="P420">
        <v>1.1100000000000001</v>
      </c>
      <c r="Q420">
        <v>211</v>
      </c>
      <c r="R420">
        <v>60</v>
      </c>
      <c r="S420" t="s">
        <v>3</v>
      </c>
      <c r="T420">
        <v>20607.46</v>
      </c>
      <c r="U420" t="s">
        <v>1250</v>
      </c>
      <c r="V420" t="s">
        <v>1250</v>
      </c>
      <c r="W420">
        <v>1.53</v>
      </c>
    </row>
    <row r="421" spans="1:23">
      <c r="A421" t="str">
        <f>"000939"</f>
        <v>000939</v>
      </c>
      <c r="B421" t="s">
        <v>1251</v>
      </c>
      <c r="C421" t="s">
        <v>3</v>
      </c>
      <c r="D421" t="s">
        <v>3</v>
      </c>
      <c r="E421" t="s">
        <v>3</v>
      </c>
      <c r="F421">
        <v>0</v>
      </c>
      <c r="G421">
        <v>0</v>
      </c>
      <c r="H421">
        <v>0</v>
      </c>
      <c r="I421">
        <v>0</v>
      </c>
      <c r="J421" t="s">
        <v>87</v>
      </c>
      <c r="K421" t="s">
        <v>317</v>
      </c>
      <c r="L421" t="s">
        <v>3</v>
      </c>
      <c r="M421">
        <v>7.5</v>
      </c>
      <c r="N421">
        <v>0</v>
      </c>
      <c r="O421">
        <v>0</v>
      </c>
      <c r="P421" t="s">
        <v>3</v>
      </c>
      <c r="Q421">
        <v>0</v>
      </c>
      <c r="R421">
        <v>0</v>
      </c>
      <c r="S421" t="s">
        <v>3</v>
      </c>
      <c r="T421">
        <v>94032.74</v>
      </c>
      <c r="U421" t="s">
        <v>1252</v>
      </c>
      <c r="V421" t="s">
        <v>1253</v>
      </c>
      <c r="W421">
        <v>0.16</v>
      </c>
    </row>
    <row r="422" spans="1:23">
      <c r="A422" t="str">
        <f>"000948"</f>
        <v>000948</v>
      </c>
      <c r="B422" t="s">
        <v>1254</v>
      </c>
      <c r="C422">
        <v>14.77</v>
      </c>
      <c r="D422">
        <v>15.13</v>
      </c>
      <c r="E422">
        <v>14.2</v>
      </c>
      <c r="F422">
        <v>14.5</v>
      </c>
      <c r="G422">
        <v>281363</v>
      </c>
      <c r="H422">
        <v>412106112</v>
      </c>
      <c r="I422">
        <v>1.42</v>
      </c>
      <c r="J422" t="s">
        <v>758</v>
      </c>
      <c r="K422" t="s">
        <v>445</v>
      </c>
      <c r="L422">
        <v>-1.76</v>
      </c>
      <c r="M422">
        <v>14.65</v>
      </c>
      <c r="N422">
        <v>151127</v>
      </c>
      <c r="O422">
        <v>130236</v>
      </c>
      <c r="P422">
        <v>1.1599999999999999</v>
      </c>
      <c r="Q422">
        <v>569</v>
      </c>
      <c r="R422">
        <v>173</v>
      </c>
      <c r="S422" t="s">
        <v>3</v>
      </c>
      <c r="T422">
        <v>23113.83</v>
      </c>
      <c r="U422" t="s">
        <v>1255</v>
      </c>
      <c r="V422" t="s">
        <v>1256</v>
      </c>
      <c r="W422">
        <v>-1.6</v>
      </c>
    </row>
    <row r="423" spans="1:23">
      <c r="A423" t="str">
        <f>"000949"</f>
        <v>000949</v>
      </c>
      <c r="B423" t="s">
        <v>1257</v>
      </c>
      <c r="C423">
        <v>3.58</v>
      </c>
      <c r="D423">
        <v>3.59</v>
      </c>
      <c r="E423">
        <v>3.54</v>
      </c>
      <c r="F423">
        <v>3.59</v>
      </c>
      <c r="G423">
        <v>121554</v>
      </c>
      <c r="H423">
        <v>43382004</v>
      </c>
      <c r="I423">
        <v>0.96</v>
      </c>
      <c r="J423" t="s">
        <v>310</v>
      </c>
      <c r="K423" t="s">
        <v>254</v>
      </c>
      <c r="L423">
        <v>0.28000000000000003</v>
      </c>
      <c r="M423">
        <v>3.57</v>
      </c>
      <c r="N423">
        <v>60649</v>
      </c>
      <c r="O423">
        <v>60904</v>
      </c>
      <c r="P423">
        <v>1</v>
      </c>
      <c r="Q423">
        <v>2354</v>
      </c>
      <c r="R423">
        <v>1064</v>
      </c>
      <c r="S423" t="s">
        <v>3</v>
      </c>
      <c r="T423">
        <v>82849.88</v>
      </c>
      <c r="U423" t="s">
        <v>1258</v>
      </c>
      <c r="V423" t="s">
        <v>1259</v>
      </c>
      <c r="W423">
        <v>0.44</v>
      </c>
    </row>
    <row r="424" spans="1:23">
      <c r="A424" t="str">
        <f>"000950"</f>
        <v>000950</v>
      </c>
      <c r="B424" t="s">
        <v>1260</v>
      </c>
      <c r="C424">
        <v>4.6100000000000003</v>
      </c>
      <c r="D424">
        <v>4.75</v>
      </c>
      <c r="E424">
        <v>4.5999999999999996</v>
      </c>
      <c r="F424">
        <v>4.7</v>
      </c>
      <c r="G424">
        <v>72184</v>
      </c>
      <c r="H424">
        <v>33820048</v>
      </c>
      <c r="I424">
        <v>0.95</v>
      </c>
      <c r="J424" t="s">
        <v>224</v>
      </c>
      <c r="K424" t="s">
        <v>386</v>
      </c>
      <c r="L424">
        <v>1.95</v>
      </c>
      <c r="M424">
        <v>4.6900000000000004</v>
      </c>
      <c r="N424">
        <v>31602</v>
      </c>
      <c r="O424">
        <v>40582</v>
      </c>
      <c r="P424">
        <v>0.78</v>
      </c>
      <c r="Q424">
        <v>319</v>
      </c>
      <c r="R424">
        <v>1488</v>
      </c>
      <c r="S424" t="s">
        <v>3</v>
      </c>
      <c r="T424">
        <v>59879.92</v>
      </c>
      <c r="U424" t="s">
        <v>1261</v>
      </c>
      <c r="V424" t="s">
        <v>1261</v>
      </c>
      <c r="W424">
        <v>2.11</v>
      </c>
    </row>
    <row r="425" spans="1:23">
      <c r="A425" t="str">
        <f>"000951"</f>
        <v>000951</v>
      </c>
      <c r="B425" t="s">
        <v>1262</v>
      </c>
      <c r="C425">
        <v>14.36</v>
      </c>
      <c r="D425">
        <v>15.73</v>
      </c>
      <c r="E425">
        <v>14.28</v>
      </c>
      <c r="F425">
        <v>15.53</v>
      </c>
      <c r="G425">
        <v>136716</v>
      </c>
      <c r="H425">
        <v>203443056</v>
      </c>
      <c r="I425">
        <v>3.27</v>
      </c>
      <c r="J425" t="s">
        <v>476</v>
      </c>
      <c r="K425" t="s">
        <v>250</v>
      </c>
      <c r="L425">
        <v>8.15</v>
      </c>
      <c r="M425">
        <v>14.88</v>
      </c>
      <c r="N425">
        <v>45035</v>
      </c>
      <c r="O425">
        <v>91680</v>
      </c>
      <c r="P425">
        <v>0.49</v>
      </c>
      <c r="Q425">
        <v>7</v>
      </c>
      <c r="R425">
        <v>339</v>
      </c>
      <c r="S425" t="s">
        <v>3</v>
      </c>
      <c r="T425">
        <v>41942.550000000003</v>
      </c>
      <c r="U425" t="s">
        <v>1263</v>
      </c>
      <c r="V425" t="s">
        <v>1263</v>
      </c>
      <c r="W425">
        <v>8.31</v>
      </c>
    </row>
    <row r="426" spans="1:23">
      <c r="A426" t="str">
        <f>"000952"</f>
        <v>000952</v>
      </c>
      <c r="B426" t="s">
        <v>1264</v>
      </c>
      <c r="C426">
        <v>13.16</v>
      </c>
      <c r="D426">
        <v>14.54</v>
      </c>
      <c r="E426">
        <v>13.1</v>
      </c>
      <c r="F426">
        <v>14.35</v>
      </c>
      <c r="G426">
        <v>154565</v>
      </c>
      <c r="H426">
        <v>215926784</v>
      </c>
      <c r="I426">
        <v>1.67</v>
      </c>
      <c r="J426" t="s">
        <v>219</v>
      </c>
      <c r="K426" t="s">
        <v>317</v>
      </c>
      <c r="L426">
        <v>8.5500000000000007</v>
      </c>
      <c r="M426">
        <v>13.97</v>
      </c>
      <c r="N426">
        <v>58035</v>
      </c>
      <c r="O426">
        <v>96529</v>
      </c>
      <c r="P426">
        <v>0.6</v>
      </c>
      <c r="Q426">
        <v>33</v>
      </c>
      <c r="R426">
        <v>291</v>
      </c>
      <c r="S426" t="s">
        <v>3</v>
      </c>
      <c r="T426">
        <v>25167.98</v>
      </c>
      <c r="U426" t="s">
        <v>1265</v>
      </c>
      <c r="V426" t="s">
        <v>1265</v>
      </c>
      <c r="W426">
        <v>8.7100000000000009</v>
      </c>
    </row>
    <row r="427" spans="1:23">
      <c r="A427" t="str">
        <f>"000953"</f>
        <v>000953</v>
      </c>
      <c r="B427" t="s">
        <v>1266</v>
      </c>
      <c r="C427">
        <v>6.36</v>
      </c>
      <c r="D427">
        <v>6.42</v>
      </c>
      <c r="E427">
        <v>6.32</v>
      </c>
      <c r="F427">
        <v>6.41</v>
      </c>
      <c r="G427">
        <v>37345</v>
      </c>
      <c r="H427">
        <v>23781820</v>
      </c>
      <c r="I427">
        <v>0.83</v>
      </c>
      <c r="J427" t="s">
        <v>224</v>
      </c>
      <c r="K427" t="s">
        <v>417</v>
      </c>
      <c r="L427">
        <v>0.79</v>
      </c>
      <c r="M427">
        <v>6.37</v>
      </c>
      <c r="N427">
        <v>16644</v>
      </c>
      <c r="O427">
        <v>20700</v>
      </c>
      <c r="P427">
        <v>0.8</v>
      </c>
      <c r="Q427">
        <v>238</v>
      </c>
      <c r="R427">
        <v>692</v>
      </c>
      <c r="S427" t="s">
        <v>3</v>
      </c>
      <c r="T427">
        <v>29404.15</v>
      </c>
      <c r="U427" t="s">
        <v>1267</v>
      </c>
      <c r="V427" t="s">
        <v>1267</v>
      </c>
      <c r="W427">
        <v>0.94</v>
      </c>
    </row>
    <row r="428" spans="1:23">
      <c r="A428" t="str">
        <f>"000955"</f>
        <v>000955</v>
      </c>
      <c r="B428" t="s">
        <v>1268</v>
      </c>
      <c r="C428">
        <v>5.2</v>
      </c>
      <c r="D428">
        <v>5.62</v>
      </c>
      <c r="E428">
        <v>5.18</v>
      </c>
      <c r="F428">
        <v>5.41</v>
      </c>
      <c r="G428">
        <v>159317</v>
      </c>
      <c r="H428">
        <v>87018048</v>
      </c>
      <c r="I428">
        <v>2.34</v>
      </c>
      <c r="J428" t="s">
        <v>55</v>
      </c>
      <c r="K428" t="s">
        <v>356</v>
      </c>
      <c r="L428">
        <v>4.24</v>
      </c>
      <c r="M428">
        <v>5.46</v>
      </c>
      <c r="N428">
        <v>79002</v>
      </c>
      <c r="O428">
        <v>80315</v>
      </c>
      <c r="P428">
        <v>0.98</v>
      </c>
      <c r="Q428">
        <v>410</v>
      </c>
      <c r="R428">
        <v>732</v>
      </c>
      <c r="S428" t="s">
        <v>3</v>
      </c>
      <c r="T428">
        <v>49939.5</v>
      </c>
      <c r="U428" t="s">
        <v>1269</v>
      </c>
      <c r="V428" t="s">
        <v>1270</v>
      </c>
      <c r="W428">
        <v>4.4000000000000004</v>
      </c>
    </row>
    <row r="429" spans="1:23">
      <c r="A429" t="str">
        <f>"000957"</f>
        <v>000957</v>
      </c>
      <c r="B429" t="s">
        <v>1271</v>
      </c>
      <c r="C429">
        <v>13.28</v>
      </c>
      <c r="D429">
        <v>13.32</v>
      </c>
      <c r="E429">
        <v>13.12</v>
      </c>
      <c r="F429">
        <v>13.26</v>
      </c>
      <c r="G429">
        <v>43677</v>
      </c>
      <c r="H429">
        <v>57771740</v>
      </c>
      <c r="I429">
        <v>0.91</v>
      </c>
      <c r="J429" t="s">
        <v>476</v>
      </c>
      <c r="K429" t="s">
        <v>250</v>
      </c>
      <c r="L429">
        <v>0.15</v>
      </c>
      <c r="M429">
        <v>13.23</v>
      </c>
      <c r="N429">
        <v>20036</v>
      </c>
      <c r="O429">
        <v>23641</v>
      </c>
      <c r="P429">
        <v>0.85</v>
      </c>
      <c r="Q429">
        <v>166</v>
      </c>
      <c r="R429">
        <v>748</v>
      </c>
      <c r="S429" t="s">
        <v>3</v>
      </c>
      <c r="T429">
        <v>23847.91</v>
      </c>
      <c r="U429" t="s">
        <v>1272</v>
      </c>
      <c r="V429" t="s">
        <v>1273</v>
      </c>
      <c r="W429">
        <v>0.31</v>
      </c>
    </row>
    <row r="430" spans="1:23">
      <c r="A430" t="str">
        <f>"000958"</f>
        <v>000958</v>
      </c>
      <c r="B430" t="s">
        <v>1274</v>
      </c>
      <c r="C430">
        <v>14.29</v>
      </c>
      <c r="D430">
        <v>14.5</v>
      </c>
      <c r="E430">
        <v>13.62</v>
      </c>
      <c r="F430">
        <v>14.28</v>
      </c>
      <c r="G430">
        <v>129404</v>
      </c>
      <c r="H430">
        <v>181333680</v>
      </c>
      <c r="I430">
        <v>0.76</v>
      </c>
      <c r="J430" t="s">
        <v>87</v>
      </c>
      <c r="K430" t="s">
        <v>238</v>
      </c>
      <c r="L430">
        <v>0.56000000000000005</v>
      </c>
      <c r="M430">
        <v>14.01</v>
      </c>
      <c r="N430">
        <v>74027</v>
      </c>
      <c r="O430">
        <v>55377</v>
      </c>
      <c r="P430">
        <v>1.34</v>
      </c>
      <c r="Q430">
        <v>303</v>
      </c>
      <c r="R430">
        <v>57</v>
      </c>
      <c r="S430" t="s">
        <v>3</v>
      </c>
      <c r="T430">
        <v>21947.96</v>
      </c>
      <c r="U430" t="s">
        <v>1275</v>
      </c>
      <c r="V430" t="s">
        <v>1276</v>
      </c>
      <c r="W430">
        <v>0.72</v>
      </c>
    </row>
    <row r="431" spans="1:23">
      <c r="A431" t="str">
        <f>"000959"</f>
        <v>000959</v>
      </c>
      <c r="B431" t="s">
        <v>1277</v>
      </c>
      <c r="C431">
        <v>3.51</v>
      </c>
      <c r="D431">
        <v>3.58</v>
      </c>
      <c r="E431">
        <v>3.43</v>
      </c>
      <c r="F431">
        <v>3.53</v>
      </c>
      <c r="G431">
        <v>290575</v>
      </c>
      <c r="H431">
        <v>101826936</v>
      </c>
      <c r="I431">
        <v>1.36</v>
      </c>
      <c r="J431" t="s">
        <v>279</v>
      </c>
      <c r="K431" t="s">
        <v>34</v>
      </c>
      <c r="L431">
        <v>-0.56000000000000005</v>
      </c>
      <c r="M431">
        <v>3.5</v>
      </c>
      <c r="N431">
        <v>121363</v>
      </c>
      <c r="O431">
        <v>169212</v>
      </c>
      <c r="P431">
        <v>0.72</v>
      </c>
      <c r="Q431">
        <v>1028</v>
      </c>
      <c r="R431">
        <v>2385</v>
      </c>
      <c r="S431" t="s">
        <v>3</v>
      </c>
      <c r="T431">
        <v>120615.02</v>
      </c>
      <c r="U431" t="s">
        <v>1278</v>
      </c>
      <c r="V431" t="s">
        <v>1279</v>
      </c>
      <c r="W431">
        <v>-0.4</v>
      </c>
    </row>
    <row r="432" spans="1:23">
      <c r="A432" t="str">
        <f>"000960"</f>
        <v>000960</v>
      </c>
      <c r="B432" t="s">
        <v>1280</v>
      </c>
      <c r="C432">
        <v>17.149999999999999</v>
      </c>
      <c r="D432">
        <v>17.149999999999999</v>
      </c>
      <c r="E432">
        <v>16.72</v>
      </c>
      <c r="F432">
        <v>16.809999999999999</v>
      </c>
      <c r="G432">
        <v>173367</v>
      </c>
      <c r="H432">
        <v>292420480</v>
      </c>
      <c r="I432">
        <v>0.88</v>
      </c>
      <c r="J432" t="s">
        <v>328</v>
      </c>
      <c r="K432" t="s">
        <v>445</v>
      </c>
      <c r="L432">
        <v>-2.1</v>
      </c>
      <c r="M432">
        <v>16.87</v>
      </c>
      <c r="N432">
        <v>108167</v>
      </c>
      <c r="O432">
        <v>65200</v>
      </c>
      <c r="P432">
        <v>1.66</v>
      </c>
      <c r="Q432">
        <v>986</v>
      </c>
      <c r="R432">
        <v>26</v>
      </c>
      <c r="S432" t="s">
        <v>3</v>
      </c>
      <c r="T432">
        <v>115122.03</v>
      </c>
      <c r="U432" t="s">
        <v>1281</v>
      </c>
      <c r="V432" t="s">
        <v>1281</v>
      </c>
      <c r="W432">
        <v>-1.94</v>
      </c>
    </row>
    <row r="433" spans="1:23">
      <c r="A433" t="str">
        <f>"000961"</f>
        <v>000961</v>
      </c>
      <c r="B433" t="s">
        <v>1282</v>
      </c>
      <c r="C433">
        <v>8.41</v>
      </c>
      <c r="D433">
        <v>8.4600000000000009</v>
      </c>
      <c r="E433">
        <v>8.27</v>
      </c>
      <c r="F433">
        <v>8.36</v>
      </c>
      <c r="G433">
        <v>65780</v>
      </c>
      <c r="H433">
        <v>54918732</v>
      </c>
      <c r="I433">
        <v>0.81</v>
      </c>
      <c r="J433" t="s">
        <v>33</v>
      </c>
      <c r="K433" t="s">
        <v>244</v>
      </c>
      <c r="L433">
        <v>-0.59</v>
      </c>
      <c r="M433">
        <v>8.35</v>
      </c>
      <c r="N433">
        <v>41545</v>
      </c>
      <c r="O433">
        <v>24235</v>
      </c>
      <c r="P433">
        <v>1.71</v>
      </c>
      <c r="Q433">
        <v>379</v>
      </c>
      <c r="R433">
        <v>292</v>
      </c>
      <c r="S433" t="s">
        <v>3</v>
      </c>
      <c r="T433">
        <v>116386.5</v>
      </c>
      <c r="U433" t="s">
        <v>1283</v>
      </c>
      <c r="V433" t="s">
        <v>1284</v>
      </c>
      <c r="W433">
        <v>-0.44</v>
      </c>
    </row>
    <row r="434" spans="1:23">
      <c r="A434" t="str">
        <f>"000962"</f>
        <v>000962</v>
      </c>
      <c r="B434" t="s">
        <v>1285</v>
      </c>
      <c r="C434">
        <v>12.06</v>
      </c>
      <c r="D434">
        <v>12.06</v>
      </c>
      <c r="E434">
        <v>11.85</v>
      </c>
      <c r="F434">
        <v>12</v>
      </c>
      <c r="G434">
        <v>89662</v>
      </c>
      <c r="H434">
        <v>107368992</v>
      </c>
      <c r="I434">
        <v>0.89</v>
      </c>
      <c r="J434" t="s">
        <v>328</v>
      </c>
      <c r="K434" t="s">
        <v>496</v>
      </c>
      <c r="L434">
        <v>-0.74</v>
      </c>
      <c r="M434">
        <v>11.97</v>
      </c>
      <c r="N434">
        <v>50888</v>
      </c>
      <c r="O434">
        <v>38774</v>
      </c>
      <c r="P434">
        <v>1.31</v>
      </c>
      <c r="Q434">
        <v>364</v>
      </c>
      <c r="R434">
        <v>270</v>
      </c>
      <c r="S434" t="s">
        <v>3</v>
      </c>
      <c r="T434">
        <v>44083.05</v>
      </c>
      <c r="U434" t="s">
        <v>1286</v>
      </c>
      <c r="V434" t="s">
        <v>1286</v>
      </c>
      <c r="W434">
        <v>-0.59</v>
      </c>
    </row>
    <row r="435" spans="1:23">
      <c r="A435" t="str">
        <f>"000963"</f>
        <v>000963</v>
      </c>
      <c r="B435" t="s">
        <v>1287</v>
      </c>
      <c r="C435">
        <v>56.65</v>
      </c>
      <c r="D435">
        <v>56.8</v>
      </c>
      <c r="E435">
        <v>55.9</v>
      </c>
      <c r="F435">
        <v>56.17</v>
      </c>
      <c r="G435">
        <v>16858</v>
      </c>
      <c r="H435">
        <v>94762184</v>
      </c>
      <c r="I435">
        <v>0.99</v>
      </c>
      <c r="J435" t="s">
        <v>91</v>
      </c>
      <c r="K435" t="s">
        <v>229</v>
      </c>
      <c r="L435">
        <v>-1.04</v>
      </c>
      <c r="M435">
        <v>56.21</v>
      </c>
      <c r="N435">
        <v>9732</v>
      </c>
      <c r="O435">
        <v>7126</v>
      </c>
      <c r="P435">
        <v>1.37</v>
      </c>
      <c r="Q435">
        <v>56</v>
      </c>
      <c r="R435">
        <v>3</v>
      </c>
      <c r="S435" t="s">
        <v>3</v>
      </c>
      <c r="T435">
        <v>27993.759999999998</v>
      </c>
      <c r="U435" t="s">
        <v>1288</v>
      </c>
      <c r="V435" t="s">
        <v>1289</v>
      </c>
      <c r="W435">
        <v>-0.88</v>
      </c>
    </row>
    <row r="436" spans="1:23">
      <c r="A436" t="str">
        <f>"000965"</f>
        <v>000965</v>
      </c>
      <c r="B436" t="s">
        <v>1290</v>
      </c>
      <c r="C436">
        <v>7.2</v>
      </c>
      <c r="D436">
        <v>7.33</v>
      </c>
      <c r="E436">
        <v>7.08</v>
      </c>
      <c r="F436">
        <v>7.15</v>
      </c>
      <c r="G436">
        <v>121690</v>
      </c>
      <c r="H436">
        <v>87164128</v>
      </c>
      <c r="I436">
        <v>0.86</v>
      </c>
      <c r="J436" t="s">
        <v>15</v>
      </c>
      <c r="K436" t="s">
        <v>442</v>
      </c>
      <c r="L436">
        <v>0.42</v>
      </c>
      <c r="M436">
        <v>7.16</v>
      </c>
      <c r="N436">
        <v>71221</v>
      </c>
      <c r="O436">
        <v>50468</v>
      </c>
      <c r="P436">
        <v>1.41</v>
      </c>
      <c r="Q436">
        <v>1455</v>
      </c>
      <c r="R436">
        <v>2104</v>
      </c>
      <c r="S436" t="s">
        <v>3</v>
      </c>
      <c r="T436">
        <v>69233.710000000006</v>
      </c>
      <c r="U436" t="s">
        <v>1291</v>
      </c>
      <c r="V436" t="s">
        <v>1292</v>
      </c>
      <c r="W436">
        <v>0.57999999999999996</v>
      </c>
    </row>
    <row r="437" spans="1:23">
      <c r="A437" t="str">
        <f>"000966"</f>
        <v>000966</v>
      </c>
      <c r="B437" t="s">
        <v>1293</v>
      </c>
      <c r="C437">
        <v>7.3</v>
      </c>
      <c r="D437">
        <v>7.56</v>
      </c>
      <c r="E437">
        <v>7.25</v>
      </c>
      <c r="F437">
        <v>7.53</v>
      </c>
      <c r="G437">
        <v>160755</v>
      </c>
      <c r="H437">
        <v>119910960</v>
      </c>
      <c r="I437">
        <v>2.6</v>
      </c>
      <c r="J437" t="s">
        <v>87</v>
      </c>
      <c r="K437" t="s">
        <v>317</v>
      </c>
      <c r="L437">
        <v>3.15</v>
      </c>
      <c r="M437">
        <v>7.46</v>
      </c>
      <c r="N437">
        <v>56887</v>
      </c>
      <c r="O437">
        <v>103868</v>
      </c>
      <c r="P437">
        <v>0.55000000000000004</v>
      </c>
      <c r="Q437">
        <v>266</v>
      </c>
      <c r="R437">
        <v>400</v>
      </c>
      <c r="S437" t="s">
        <v>3</v>
      </c>
      <c r="T437">
        <v>55414.19</v>
      </c>
      <c r="U437" t="s">
        <v>217</v>
      </c>
      <c r="V437" t="s">
        <v>217</v>
      </c>
      <c r="W437">
        <v>3.31</v>
      </c>
    </row>
    <row r="438" spans="1:23">
      <c r="A438" t="str">
        <f>"000967"</f>
        <v>000967</v>
      </c>
      <c r="B438" t="s">
        <v>1294</v>
      </c>
      <c r="C438">
        <v>11.81</v>
      </c>
      <c r="D438">
        <v>12.08</v>
      </c>
      <c r="E438">
        <v>11.61</v>
      </c>
      <c r="F438">
        <v>11.93</v>
      </c>
      <c r="G438">
        <v>59181</v>
      </c>
      <c r="H438">
        <v>70489376</v>
      </c>
      <c r="I438">
        <v>0.59</v>
      </c>
      <c r="J438" t="s">
        <v>145</v>
      </c>
      <c r="K438" t="s">
        <v>229</v>
      </c>
      <c r="L438">
        <v>0.25</v>
      </c>
      <c r="M438">
        <v>11.91</v>
      </c>
      <c r="N438">
        <v>22978</v>
      </c>
      <c r="O438">
        <v>36202</v>
      </c>
      <c r="P438">
        <v>0.63</v>
      </c>
      <c r="Q438">
        <v>30</v>
      </c>
      <c r="R438">
        <v>75</v>
      </c>
      <c r="S438" t="s">
        <v>3</v>
      </c>
      <c r="T438">
        <v>24576.49</v>
      </c>
      <c r="U438" t="s">
        <v>1186</v>
      </c>
      <c r="V438" t="s">
        <v>1295</v>
      </c>
      <c r="W438">
        <v>0.41</v>
      </c>
    </row>
    <row r="439" spans="1:23">
      <c r="A439" t="str">
        <f>"000968"</f>
        <v>000968</v>
      </c>
      <c r="B439" t="s">
        <v>1296</v>
      </c>
      <c r="C439">
        <v>7.94</v>
      </c>
      <c r="D439">
        <v>8.0399999999999991</v>
      </c>
      <c r="E439">
        <v>7.88</v>
      </c>
      <c r="F439">
        <v>7.97</v>
      </c>
      <c r="G439">
        <v>92250</v>
      </c>
      <c r="H439">
        <v>73338808</v>
      </c>
      <c r="I439">
        <v>1.43</v>
      </c>
      <c r="J439" t="s">
        <v>482</v>
      </c>
      <c r="K439" t="s">
        <v>742</v>
      </c>
      <c r="L439">
        <v>0.63</v>
      </c>
      <c r="M439">
        <v>7.95</v>
      </c>
      <c r="N439">
        <v>39999</v>
      </c>
      <c r="O439">
        <v>52251</v>
      </c>
      <c r="P439">
        <v>0.77</v>
      </c>
      <c r="Q439">
        <v>315</v>
      </c>
      <c r="R439">
        <v>1215</v>
      </c>
      <c r="S439" t="s">
        <v>3</v>
      </c>
      <c r="T439">
        <v>51374.69</v>
      </c>
      <c r="U439" t="s">
        <v>1297</v>
      </c>
      <c r="V439" t="s">
        <v>1297</v>
      </c>
      <c r="W439">
        <v>0.79</v>
      </c>
    </row>
    <row r="440" spans="1:23">
      <c r="A440" t="str">
        <f>"000969"</f>
        <v>000969</v>
      </c>
      <c r="B440" t="s">
        <v>1298</v>
      </c>
      <c r="C440">
        <v>10.5</v>
      </c>
      <c r="D440">
        <v>10.64</v>
      </c>
      <c r="E440">
        <v>10.37</v>
      </c>
      <c r="F440">
        <v>10.59</v>
      </c>
      <c r="G440">
        <v>166337</v>
      </c>
      <c r="H440">
        <v>174533392</v>
      </c>
      <c r="I440">
        <v>0.76</v>
      </c>
      <c r="J440" t="s">
        <v>838</v>
      </c>
      <c r="K440" t="s">
        <v>34</v>
      </c>
      <c r="L440">
        <v>1.1499999999999999</v>
      </c>
      <c r="M440">
        <v>10.49</v>
      </c>
      <c r="N440">
        <v>80358</v>
      </c>
      <c r="O440">
        <v>85979</v>
      </c>
      <c r="P440">
        <v>0.93</v>
      </c>
      <c r="Q440">
        <v>709</v>
      </c>
      <c r="R440">
        <v>6764</v>
      </c>
      <c r="S440" t="s">
        <v>3</v>
      </c>
      <c r="T440">
        <v>86097.15</v>
      </c>
      <c r="U440" t="s">
        <v>1299</v>
      </c>
      <c r="V440" t="s">
        <v>1300</v>
      </c>
      <c r="W440">
        <v>1.3</v>
      </c>
    </row>
    <row r="441" spans="1:23">
      <c r="A441" t="str">
        <f>"000970"</f>
        <v>000970</v>
      </c>
      <c r="B441" t="s">
        <v>1301</v>
      </c>
      <c r="C441">
        <v>15.95</v>
      </c>
      <c r="D441">
        <v>16.32</v>
      </c>
      <c r="E441">
        <v>15.81</v>
      </c>
      <c r="F441">
        <v>16.239999999999998</v>
      </c>
      <c r="G441">
        <v>351015</v>
      </c>
      <c r="H441">
        <v>567278528</v>
      </c>
      <c r="I441">
        <v>1.26</v>
      </c>
      <c r="J441" t="s">
        <v>62</v>
      </c>
      <c r="K441" t="s">
        <v>34</v>
      </c>
      <c r="L441">
        <v>2.46</v>
      </c>
      <c r="M441">
        <v>16.16</v>
      </c>
      <c r="N441">
        <v>173852</v>
      </c>
      <c r="O441">
        <v>177163</v>
      </c>
      <c r="P441">
        <v>0.98</v>
      </c>
      <c r="Q441">
        <v>3100</v>
      </c>
      <c r="R441">
        <v>653</v>
      </c>
      <c r="S441" t="s">
        <v>3</v>
      </c>
      <c r="T441">
        <v>106520</v>
      </c>
      <c r="U441" t="s">
        <v>1302</v>
      </c>
      <c r="V441" t="s">
        <v>1302</v>
      </c>
      <c r="W441">
        <v>2.62</v>
      </c>
    </row>
    <row r="442" spans="1:23">
      <c r="A442" t="str">
        <f>"000971"</f>
        <v>000971</v>
      </c>
      <c r="B442" t="s">
        <v>1303</v>
      </c>
      <c r="C442">
        <v>8.24</v>
      </c>
      <c r="D442">
        <v>8.68</v>
      </c>
      <c r="E442">
        <v>7.88</v>
      </c>
      <c r="F442">
        <v>8.01</v>
      </c>
      <c r="G442">
        <v>204125</v>
      </c>
      <c r="H442">
        <v>164590608</v>
      </c>
      <c r="I442">
        <v>7.09</v>
      </c>
      <c r="J442" t="s">
        <v>55</v>
      </c>
      <c r="K442" t="s">
        <v>317</v>
      </c>
      <c r="L442">
        <v>-2.91</v>
      </c>
      <c r="M442">
        <v>8.06</v>
      </c>
      <c r="N442">
        <v>113752</v>
      </c>
      <c r="O442">
        <v>90373</v>
      </c>
      <c r="P442">
        <v>1.26</v>
      </c>
      <c r="Q442">
        <v>549</v>
      </c>
      <c r="R442">
        <v>499</v>
      </c>
      <c r="S442" t="s">
        <v>3</v>
      </c>
      <c r="T442">
        <v>24277.52</v>
      </c>
      <c r="U442" t="s">
        <v>1304</v>
      </c>
      <c r="V442" t="s">
        <v>1305</v>
      </c>
      <c r="W442">
        <v>-2.75</v>
      </c>
    </row>
    <row r="443" spans="1:23">
      <c r="A443" t="str">
        <f>"000972"</f>
        <v>000972</v>
      </c>
      <c r="B443" t="s">
        <v>1306</v>
      </c>
      <c r="C443">
        <v>4.45</v>
      </c>
      <c r="D443">
        <v>4.46</v>
      </c>
      <c r="E443">
        <v>4.37</v>
      </c>
      <c r="F443">
        <v>4.4400000000000004</v>
      </c>
      <c r="G443">
        <v>109825</v>
      </c>
      <c r="H443">
        <v>48472284</v>
      </c>
      <c r="I443">
        <v>0.66</v>
      </c>
      <c r="J443" t="s">
        <v>421</v>
      </c>
      <c r="K443" t="s">
        <v>241</v>
      </c>
      <c r="L443">
        <v>-0.22</v>
      </c>
      <c r="M443">
        <v>4.41</v>
      </c>
      <c r="N443">
        <v>62933</v>
      </c>
      <c r="O443">
        <v>46891</v>
      </c>
      <c r="P443">
        <v>1.34</v>
      </c>
      <c r="Q443">
        <v>2179</v>
      </c>
      <c r="R443">
        <v>2399</v>
      </c>
      <c r="S443" t="s">
        <v>3</v>
      </c>
      <c r="T443">
        <v>77128.350000000006</v>
      </c>
      <c r="U443" t="s">
        <v>1307</v>
      </c>
      <c r="V443" t="s">
        <v>1307</v>
      </c>
      <c r="W443">
        <v>-7.0000000000000007E-2</v>
      </c>
    </row>
    <row r="444" spans="1:23">
      <c r="A444" t="str">
        <f>"000973"</f>
        <v>000973</v>
      </c>
      <c r="B444" t="s">
        <v>1308</v>
      </c>
      <c r="C444" t="s">
        <v>3</v>
      </c>
      <c r="D444" t="s">
        <v>3</v>
      </c>
      <c r="E444" t="s">
        <v>3</v>
      </c>
      <c r="F444">
        <v>0</v>
      </c>
      <c r="G444">
        <v>0</v>
      </c>
      <c r="H444">
        <v>0</v>
      </c>
      <c r="I444">
        <v>0</v>
      </c>
      <c r="J444" t="s">
        <v>273</v>
      </c>
      <c r="K444" t="s">
        <v>211</v>
      </c>
      <c r="L444" t="s">
        <v>3</v>
      </c>
      <c r="M444">
        <v>6.16</v>
      </c>
      <c r="N444">
        <v>0</v>
      </c>
      <c r="O444">
        <v>0</v>
      </c>
      <c r="P444" t="s">
        <v>3</v>
      </c>
      <c r="Q444">
        <v>0</v>
      </c>
      <c r="R444">
        <v>0</v>
      </c>
      <c r="S444" t="s">
        <v>3</v>
      </c>
      <c r="T444">
        <v>77237.97</v>
      </c>
      <c r="U444" t="s">
        <v>1309</v>
      </c>
      <c r="V444" t="s">
        <v>1310</v>
      </c>
      <c r="W444">
        <v>0.16</v>
      </c>
    </row>
    <row r="445" spans="1:23">
      <c r="A445" t="str">
        <f>"000975"</f>
        <v>000975</v>
      </c>
      <c r="B445" t="s">
        <v>1311</v>
      </c>
      <c r="C445">
        <v>11.28</v>
      </c>
      <c r="D445">
        <v>11.53</v>
      </c>
      <c r="E445">
        <v>11.28</v>
      </c>
      <c r="F445">
        <v>11.46</v>
      </c>
      <c r="G445">
        <v>81391</v>
      </c>
      <c r="H445">
        <v>92755592</v>
      </c>
      <c r="I445">
        <v>0.9</v>
      </c>
      <c r="J445" t="s">
        <v>165</v>
      </c>
      <c r="K445" t="s">
        <v>211</v>
      </c>
      <c r="L445">
        <v>1.51</v>
      </c>
      <c r="M445">
        <v>11.4</v>
      </c>
      <c r="N445">
        <v>41011</v>
      </c>
      <c r="O445">
        <v>40380</v>
      </c>
      <c r="P445">
        <v>1.02</v>
      </c>
      <c r="Q445">
        <v>430</v>
      </c>
      <c r="R445">
        <v>226</v>
      </c>
      <c r="S445" t="s">
        <v>3</v>
      </c>
      <c r="T445">
        <v>61652.01</v>
      </c>
      <c r="U445" t="s">
        <v>1312</v>
      </c>
      <c r="V445" t="s">
        <v>1313</v>
      </c>
      <c r="W445">
        <v>1.66</v>
      </c>
    </row>
    <row r="446" spans="1:23">
      <c r="A446" t="str">
        <f>"000976"</f>
        <v>000976</v>
      </c>
      <c r="B446" t="s">
        <v>1314</v>
      </c>
      <c r="C446" t="s">
        <v>3</v>
      </c>
      <c r="D446" t="s">
        <v>3</v>
      </c>
      <c r="E446" t="s">
        <v>3</v>
      </c>
      <c r="F446">
        <v>0</v>
      </c>
      <c r="G446">
        <v>0</v>
      </c>
      <c r="H446">
        <v>0</v>
      </c>
      <c r="I446">
        <v>0</v>
      </c>
      <c r="J446" t="s">
        <v>310</v>
      </c>
      <c r="K446" t="s">
        <v>211</v>
      </c>
      <c r="L446" t="s">
        <v>3</v>
      </c>
      <c r="M446">
        <v>3.78</v>
      </c>
      <c r="N446">
        <v>0</v>
      </c>
      <c r="O446">
        <v>0</v>
      </c>
      <c r="P446" t="s">
        <v>3</v>
      </c>
      <c r="Q446">
        <v>0</v>
      </c>
      <c r="R446">
        <v>0</v>
      </c>
      <c r="S446" t="s">
        <v>3</v>
      </c>
      <c r="T446">
        <v>58663.19</v>
      </c>
      <c r="U446" t="s">
        <v>1315</v>
      </c>
      <c r="V446" t="s">
        <v>1316</v>
      </c>
      <c r="W446">
        <v>0.16</v>
      </c>
    </row>
    <row r="447" spans="1:23">
      <c r="A447" t="str">
        <f>"000977"</f>
        <v>000977</v>
      </c>
      <c r="B447" t="s">
        <v>1317</v>
      </c>
      <c r="C447">
        <v>42.12</v>
      </c>
      <c r="D447">
        <v>42.61</v>
      </c>
      <c r="E447">
        <v>41.8</v>
      </c>
      <c r="F447">
        <v>42.2</v>
      </c>
      <c r="G447">
        <v>97501</v>
      </c>
      <c r="H447">
        <v>411578432</v>
      </c>
      <c r="I447">
        <v>0.43</v>
      </c>
      <c r="J447" t="s">
        <v>66</v>
      </c>
      <c r="K447" t="s">
        <v>250</v>
      </c>
      <c r="L447">
        <v>0.33</v>
      </c>
      <c r="M447">
        <v>42.21</v>
      </c>
      <c r="N447">
        <v>51374</v>
      </c>
      <c r="O447">
        <v>46126</v>
      </c>
      <c r="P447">
        <v>1.1100000000000001</v>
      </c>
      <c r="Q447">
        <v>700</v>
      </c>
      <c r="R447">
        <v>29</v>
      </c>
      <c r="S447" t="s">
        <v>3</v>
      </c>
      <c r="T447">
        <v>43000</v>
      </c>
      <c r="U447" t="s">
        <v>1318</v>
      </c>
      <c r="V447" t="s">
        <v>1319</v>
      </c>
      <c r="W447">
        <v>0.49</v>
      </c>
    </row>
    <row r="448" spans="1:23">
      <c r="A448" t="str">
        <f>"000978"</f>
        <v>000978</v>
      </c>
      <c r="B448" t="s">
        <v>1320</v>
      </c>
      <c r="C448">
        <v>7.43</v>
      </c>
      <c r="D448">
        <v>7.53</v>
      </c>
      <c r="E448">
        <v>7.38</v>
      </c>
      <c r="F448">
        <v>7.5</v>
      </c>
      <c r="G448">
        <v>63217</v>
      </c>
      <c r="H448">
        <v>47196496</v>
      </c>
      <c r="I448">
        <v>0.89</v>
      </c>
      <c r="J448" t="s">
        <v>185</v>
      </c>
      <c r="K448" t="s">
        <v>417</v>
      </c>
      <c r="L448">
        <v>0.54</v>
      </c>
      <c r="M448">
        <v>7.47</v>
      </c>
      <c r="N448">
        <v>24216</v>
      </c>
      <c r="O448">
        <v>39001</v>
      </c>
      <c r="P448">
        <v>0.62</v>
      </c>
      <c r="Q448">
        <v>902</v>
      </c>
      <c r="R448">
        <v>43</v>
      </c>
      <c r="S448" t="s">
        <v>3</v>
      </c>
      <c r="T448">
        <v>36010</v>
      </c>
      <c r="U448" t="s">
        <v>1321</v>
      </c>
      <c r="V448" t="s">
        <v>1321</v>
      </c>
      <c r="W448">
        <v>0.69</v>
      </c>
    </row>
    <row r="449" spans="1:23">
      <c r="A449" t="str">
        <f>"000979"</f>
        <v>000979</v>
      </c>
      <c r="B449" t="s">
        <v>1322</v>
      </c>
      <c r="C449">
        <v>4.22</v>
      </c>
      <c r="D449">
        <v>4.2699999999999996</v>
      </c>
      <c r="E449">
        <v>4.1100000000000003</v>
      </c>
      <c r="F449">
        <v>4.21</v>
      </c>
      <c r="G449">
        <v>604551</v>
      </c>
      <c r="H449">
        <v>253376384</v>
      </c>
      <c r="I449">
        <v>0.84</v>
      </c>
      <c r="J449" t="s">
        <v>15</v>
      </c>
      <c r="K449" t="s">
        <v>220</v>
      </c>
      <c r="L449">
        <v>-2.09</v>
      </c>
      <c r="M449">
        <v>4.1900000000000004</v>
      </c>
      <c r="N449">
        <v>325140</v>
      </c>
      <c r="O449">
        <v>279410</v>
      </c>
      <c r="P449">
        <v>1.1599999999999999</v>
      </c>
      <c r="Q449">
        <v>6514</v>
      </c>
      <c r="R449">
        <v>1628</v>
      </c>
      <c r="S449" t="s">
        <v>3</v>
      </c>
      <c r="T449">
        <v>192295.44</v>
      </c>
      <c r="U449" t="s">
        <v>1323</v>
      </c>
      <c r="V449" t="s">
        <v>1323</v>
      </c>
      <c r="W449">
        <v>-1.93</v>
      </c>
    </row>
    <row r="450" spans="1:23">
      <c r="A450" t="str">
        <f>"000980"</f>
        <v>000980</v>
      </c>
      <c r="B450" t="s">
        <v>1324</v>
      </c>
      <c r="C450">
        <v>7.14</v>
      </c>
      <c r="D450">
        <v>7.28</v>
      </c>
      <c r="E450">
        <v>7.03</v>
      </c>
      <c r="F450">
        <v>7.27</v>
      </c>
      <c r="G450">
        <v>225083</v>
      </c>
      <c r="H450">
        <v>160868304</v>
      </c>
      <c r="I450">
        <v>0.67</v>
      </c>
      <c r="J450" t="s">
        <v>617</v>
      </c>
      <c r="K450" t="s">
        <v>220</v>
      </c>
      <c r="L450">
        <v>0.83</v>
      </c>
      <c r="M450">
        <v>7.15</v>
      </c>
      <c r="N450">
        <v>111193</v>
      </c>
      <c r="O450">
        <v>113889</v>
      </c>
      <c r="P450">
        <v>0.98</v>
      </c>
      <c r="Q450">
        <v>315</v>
      </c>
      <c r="R450">
        <v>184</v>
      </c>
      <c r="S450" t="s">
        <v>3</v>
      </c>
      <c r="T450">
        <v>31700</v>
      </c>
      <c r="U450" t="s">
        <v>1325</v>
      </c>
      <c r="V450" t="s">
        <v>1326</v>
      </c>
      <c r="W450">
        <v>0.99</v>
      </c>
    </row>
    <row r="451" spans="1:23">
      <c r="A451" t="str">
        <f>"000981"</f>
        <v>000981</v>
      </c>
      <c r="B451" t="s">
        <v>1327</v>
      </c>
      <c r="C451">
        <v>9.4</v>
      </c>
      <c r="D451">
        <v>10.119999999999999</v>
      </c>
      <c r="E451">
        <v>9.36</v>
      </c>
      <c r="F451">
        <v>9.68</v>
      </c>
      <c r="G451">
        <v>85141</v>
      </c>
      <c r="H451">
        <v>83041680</v>
      </c>
      <c r="I451">
        <v>1.73</v>
      </c>
      <c r="J451" t="s">
        <v>15</v>
      </c>
      <c r="K451" t="s">
        <v>483</v>
      </c>
      <c r="L451">
        <v>5.22</v>
      </c>
      <c r="M451">
        <v>9.75</v>
      </c>
      <c r="N451">
        <v>43132</v>
      </c>
      <c r="O451">
        <v>42009</v>
      </c>
      <c r="P451">
        <v>1.03</v>
      </c>
      <c r="Q451">
        <v>39</v>
      </c>
      <c r="R451">
        <v>63</v>
      </c>
      <c r="S451" t="s">
        <v>3</v>
      </c>
      <c r="T451">
        <v>85810.52</v>
      </c>
      <c r="U451" t="s">
        <v>1328</v>
      </c>
      <c r="V451" t="s">
        <v>1329</v>
      </c>
      <c r="W451">
        <v>5.38</v>
      </c>
    </row>
    <row r="452" spans="1:23">
      <c r="A452" t="str">
        <f>"000982"</f>
        <v>000982</v>
      </c>
      <c r="B452" t="s">
        <v>1330</v>
      </c>
      <c r="C452" t="s">
        <v>3</v>
      </c>
      <c r="D452" t="s">
        <v>3</v>
      </c>
      <c r="E452" t="s">
        <v>3</v>
      </c>
      <c r="F452">
        <v>0</v>
      </c>
      <c r="G452">
        <v>0</v>
      </c>
      <c r="H452">
        <v>0</v>
      </c>
      <c r="I452">
        <v>0</v>
      </c>
      <c r="J452" t="s">
        <v>55</v>
      </c>
      <c r="K452" t="s">
        <v>496</v>
      </c>
      <c r="L452" t="s">
        <v>3</v>
      </c>
      <c r="M452">
        <v>4.6399999999999997</v>
      </c>
      <c r="N452">
        <v>0</v>
      </c>
      <c r="O452">
        <v>0</v>
      </c>
      <c r="P452" t="s">
        <v>3</v>
      </c>
      <c r="Q452">
        <v>0</v>
      </c>
      <c r="R452">
        <v>0</v>
      </c>
      <c r="S452" t="s">
        <v>3</v>
      </c>
      <c r="T452">
        <v>129393.21</v>
      </c>
      <c r="U452" t="s">
        <v>1331</v>
      </c>
      <c r="V452" t="s">
        <v>1332</v>
      </c>
      <c r="W452">
        <v>0.16</v>
      </c>
    </row>
    <row r="453" spans="1:23">
      <c r="A453" t="str">
        <f>"000983"</f>
        <v>000983</v>
      </c>
      <c r="B453" t="s">
        <v>1333</v>
      </c>
      <c r="C453">
        <v>6.13</v>
      </c>
      <c r="D453">
        <v>6.22</v>
      </c>
      <c r="E453">
        <v>6.1</v>
      </c>
      <c r="F453">
        <v>6.18</v>
      </c>
      <c r="G453">
        <v>302090</v>
      </c>
      <c r="H453">
        <v>186074320</v>
      </c>
      <c r="I453">
        <v>1.33</v>
      </c>
      <c r="J453" t="s">
        <v>482</v>
      </c>
      <c r="K453" t="s">
        <v>742</v>
      </c>
      <c r="L453">
        <v>0.32</v>
      </c>
      <c r="M453">
        <v>6.16</v>
      </c>
      <c r="N453">
        <v>152668</v>
      </c>
      <c r="O453">
        <v>149421</v>
      </c>
      <c r="P453">
        <v>1.02</v>
      </c>
      <c r="Q453">
        <v>1708</v>
      </c>
      <c r="R453">
        <v>5700</v>
      </c>
      <c r="S453" t="s">
        <v>3</v>
      </c>
      <c r="T453">
        <v>315117</v>
      </c>
      <c r="U453" t="s">
        <v>1334</v>
      </c>
      <c r="V453" t="s">
        <v>1334</v>
      </c>
      <c r="W453">
        <v>0.48</v>
      </c>
    </row>
    <row r="454" spans="1:23">
      <c r="A454" t="str">
        <f>"000985"</f>
        <v>000985</v>
      </c>
      <c r="B454" t="s">
        <v>1335</v>
      </c>
      <c r="C454">
        <v>15.18</v>
      </c>
      <c r="D454">
        <v>15.65</v>
      </c>
      <c r="E454">
        <v>15.06</v>
      </c>
      <c r="F454">
        <v>15.41</v>
      </c>
      <c r="G454">
        <v>24334</v>
      </c>
      <c r="H454">
        <v>37492420</v>
      </c>
      <c r="I454">
        <v>0.96</v>
      </c>
      <c r="J454" t="s">
        <v>376</v>
      </c>
      <c r="K454" t="s">
        <v>565</v>
      </c>
      <c r="L454">
        <v>1.99</v>
      </c>
      <c r="M454">
        <v>15.41</v>
      </c>
      <c r="N454">
        <v>11358</v>
      </c>
      <c r="O454">
        <v>12975</v>
      </c>
      <c r="P454">
        <v>0.88</v>
      </c>
      <c r="Q454">
        <v>107</v>
      </c>
      <c r="R454">
        <v>221</v>
      </c>
      <c r="S454" t="s">
        <v>3</v>
      </c>
      <c r="T454">
        <v>12963.95</v>
      </c>
      <c r="U454" t="s">
        <v>1336</v>
      </c>
      <c r="V454" t="s">
        <v>1336</v>
      </c>
      <c r="W454">
        <v>2.14</v>
      </c>
    </row>
    <row r="455" spans="1:23">
      <c r="A455" t="str">
        <f>"000987"</f>
        <v>000987</v>
      </c>
      <c r="B455" t="s">
        <v>1337</v>
      </c>
      <c r="C455" t="s">
        <v>3</v>
      </c>
      <c r="D455" t="s">
        <v>3</v>
      </c>
      <c r="E455" t="s">
        <v>3</v>
      </c>
      <c r="F455">
        <v>0</v>
      </c>
      <c r="G455">
        <v>0</v>
      </c>
      <c r="H455">
        <v>0</v>
      </c>
      <c r="I455">
        <v>0</v>
      </c>
      <c r="J455" t="s">
        <v>297</v>
      </c>
      <c r="K455" t="s">
        <v>211</v>
      </c>
      <c r="L455" t="s">
        <v>3</v>
      </c>
      <c r="M455">
        <v>9.33</v>
      </c>
      <c r="N455">
        <v>0</v>
      </c>
      <c r="O455">
        <v>0</v>
      </c>
      <c r="P455" t="s">
        <v>3</v>
      </c>
      <c r="Q455">
        <v>0</v>
      </c>
      <c r="R455">
        <v>0</v>
      </c>
      <c r="S455" t="s">
        <v>3</v>
      </c>
      <c r="T455">
        <v>35866.730000000003</v>
      </c>
      <c r="U455" t="s">
        <v>1338</v>
      </c>
      <c r="V455" t="s">
        <v>1339</v>
      </c>
      <c r="W455">
        <v>0.16</v>
      </c>
    </row>
    <row r="456" spans="1:23">
      <c r="A456" t="str">
        <f>"000988"</f>
        <v>000988</v>
      </c>
      <c r="B456" t="s">
        <v>1340</v>
      </c>
      <c r="C456">
        <v>10.81</v>
      </c>
      <c r="D456">
        <v>11.45</v>
      </c>
      <c r="E456">
        <v>10.56</v>
      </c>
      <c r="F456">
        <v>11.22</v>
      </c>
      <c r="G456">
        <v>399874</v>
      </c>
      <c r="H456">
        <v>439068160</v>
      </c>
      <c r="I456">
        <v>1.1100000000000001</v>
      </c>
      <c r="J456" t="s">
        <v>617</v>
      </c>
      <c r="K456" t="s">
        <v>317</v>
      </c>
      <c r="L456">
        <v>3.89</v>
      </c>
      <c r="M456">
        <v>10.98</v>
      </c>
      <c r="N456">
        <v>199453</v>
      </c>
      <c r="O456">
        <v>200420</v>
      </c>
      <c r="P456">
        <v>1</v>
      </c>
      <c r="Q456">
        <v>4223</v>
      </c>
      <c r="R456">
        <v>267</v>
      </c>
      <c r="S456" t="s">
        <v>3</v>
      </c>
      <c r="T456">
        <v>89111.65</v>
      </c>
      <c r="U456" t="s">
        <v>1341</v>
      </c>
      <c r="V456" t="s">
        <v>1341</v>
      </c>
      <c r="W456">
        <v>4.05</v>
      </c>
    </row>
    <row r="457" spans="1:23">
      <c r="A457" t="str">
        <f>"000989"</f>
        <v>000989</v>
      </c>
      <c r="B457" t="s">
        <v>1342</v>
      </c>
      <c r="C457">
        <v>14.68</v>
      </c>
      <c r="D457">
        <v>15.1</v>
      </c>
      <c r="E457">
        <v>14.6</v>
      </c>
      <c r="F457">
        <v>14.89</v>
      </c>
      <c r="G457">
        <v>89723</v>
      </c>
      <c r="H457">
        <v>133841120</v>
      </c>
      <c r="I457">
        <v>1.6</v>
      </c>
      <c r="J457" t="s">
        <v>321</v>
      </c>
      <c r="K457" t="s">
        <v>234</v>
      </c>
      <c r="L457">
        <v>1.57</v>
      </c>
      <c r="M457">
        <v>14.92</v>
      </c>
      <c r="N457">
        <v>47761</v>
      </c>
      <c r="O457">
        <v>41962</v>
      </c>
      <c r="P457">
        <v>1.1399999999999999</v>
      </c>
      <c r="Q457">
        <v>247</v>
      </c>
      <c r="R457">
        <v>1903</v>
      </c>
      <c r="S457" t="s">
        <v>3</v>
      </c>
      <c r="T457">
        <v>29760.52</v>
      </c>
      <c r="U457" t="s">
        <v>1343</v>
      </c>
      <c r="V457" t="s">
        <v>1343</v>
      </c>
      <c r="W457">
        <v>1.73</v>
      </c>
    </row>
    <row r="458" spans="1:23">
      <c r="A458" t="str">
        <f>"000990"</f>
        <v>000990</v>
      </c>
      <c r="B458" t="s">
        <v>1344</v>
      </c>
      <c r="C458">
        <v>16</v>
      </c>
      <c r="D458">
        <v>16.43</v>
      </c>
      <c r="E458">
        <v>16</v>
      </c>
      <c r="F458">
        <v>16.03</v>
      </c>
      <c r="G458">
        <v>38773</v>
      </c>
      <c r="H458">
        <v>63001340</v>
      </c>
      <c r="I458">
        <v>1.42</v>
      </c>
      <c r="J458" t="s">
        <v>376</v>
      </c>
      <c r="K458" t="s">
        <v>265</v>
      </c>
      <c r="L458">
        <v>0.38</v>
      </c>
      <c r="M458">
        <v>16.25</v>
      </c>
      <c r="N458">
        <v>23613</v>
      </c>
      <c r="O458">
        <v>15160</v>
      </c>
      <c r="P458">
        <v>1.56</v>
      </c>
      <c r="Q458">
        <v>62</v>
      </c>
      <c r="R458">
        <v>80</v>
      </c>
      <c r="S458" t="s">
        <v>3</v>
      </c>
      <c r="T458">
        <v>29702.83</v>
      </c>
      <c r="U458" t="s">
        <v>1345</v>
      </c>
      <c r="V458" t="s">
        <v>1345</v>
      </c>
      <c r="W458">
        <v>0.53</v>
      </c>
    </row>
    <row r="459" spans="1:23">
      <c r="A459" t="str">
        <f>"000993"</f>
        <v>000993</v>
      </c>
      <c r="B459" t="s">
        <v>1346</v>
      </c>
      <c r="C459">
        <v>7.65</v>
      </c>
      <c r="D459">
        <v>7.75</v>
      </c>
      <c r="E459">
        <v>7.58</v>
      </c>
      <c r="F459">
        <v>7.7</v>
      </c>
      <c r="G459">
        <v>53259</v>
      </c>
      <c r="H459">
        <v>40915564</v>
      </c>
      <c r="I459">
        <v>1.25</v>
      </c>
      <c r="J459" t="s">
        <v>852</v>
      </c>
      <c r="K459" t="s">
        <v>414</v>
      </c>
      <c r="L459">
        <v>0.79</v>
      </c>
      <c r="M459">
        <v>7.68</v>
      </c>
      <c r="N459">
        <v>23552</v>
      </c>
      <c r="O459">
        <v>29707</v>
      </c>
      <c r="P459">
        <v>0.79</v>
      </c>
      <c r="Q459">
        <v>309</v>
      </c>
      <c r="R459">
        <v>572</v>
      </c>
      <c r="S459" t="s">
        <v>3</v>
      </c>
      <c r="T459">
        <v>37300</v>
      </c>
      <c r="U459" t="s">
        <v>1347</v>
      </c>
      <c r="V459" t="s">
        <v>1347</v>
      </c>
      <c r="W459">
        <v>0.94</v>
      </c>
    </row>
    <row r="460" spans="1:23">
      <c r="A460" t="str">
        <f>"000995"</f>
        <v>000995</v>
      </c>
      <c r="B460" t="s">
        <v>1348</v>
      </c>
      <c r="C460">
        <v>10.09</v>
      </c>
      <c r="D460">
        <v>10.199999999999999</v>
      </c>
      <c r="E460">
        <v>10.029999999999999</v>
      </c>
      <c r="F460">
        <v>10.17</v>
      </c>
      <c r="G460">
        <v>25007</v>
      </c>
      <c r="H460">
        <v>25329118</v>
      </c>
      <c r="I460">
        <v>0.71</v>
      </c>
      <c r="J460" t="s">
        <v>531</v>
      </c>
      <c r="K460" t="s">
        <v>483</v>
      </c>
      <c r="L460">
        <v>0.49</v>
      </c>
      <c r="M460">
        <v>10.130000000000001</v>
      </c>
      <c r="N460">
        <v>12923</v>
      </c>
      <c r="O460">
        <v>12083</v>
      </c>
      <c r="P460">
        <v>1.07</v>
      </c>
      <c r="Q460">
        <v>130</v>
      </c>
      <c r="R460">
        <v>579</v>
      </c>
      <c r="S460" t="s">
        <v>3</v>
      </c>
      <c r="T460">
        <v>17740.53</v>
      </c>
      <c r="U460" t="s">
        <v>1227</v>
      </c>
      <c r="V460" t="s">
        <v>1227</v>
      </c>
      <c r="W460">
        <v>0.65</v>
      </c>
    </row>
    <row r="461" spans="1:23">
      <c r="A461" t="str">
        <f>"000996"</f>
        <v>000996</v>
      </c>
      <c r="B461" t="s">
        <v>1349</v>
      </c>
      <c r="C461">
        <v>17.29</v>
      </c>
      <c r="D461">
        <v>17.87</v>
      </c>
      <c r="E461">
        <v>17.14</v>
      </c>
      <c r="F461">
        <v>17.690000000000001</v>
      </c>
      <c r="G461">
        <v>133370</v>
      </c>
      <c r="H461">
        <v>235213120</v>
      </c>
      <c r="I461">
        <v>2.27</v>
      </c>
      <c r="J461" t="s">
        <v>1350</v>
      </c>
      <c r="K461" t="s">
        <v>34</v>
      </c>
      <c r="L461">
        <v>2.5499999999999998</v>
      </c>
      <c r="M461">
        <v>17.64</v>
      </c>
      <c r="N461">
        <v>62092</v>
      </c>
      <c r="O461">
        <v>71277</v>
      </c>
      <c r="P461">
        <v>0.87</v>
      </c>
      <c r="Q461">
        <v>38</v>
      </c>
      <c r="R461">
        <v>535</v>
      </c>
      <c r="S461" t="s">
        <v>3</v>
      </c>
      <c r="T461">
        <v>23000</v>
      </c>
      <c r="U461" t="s">
        <v>1351</v>
      </c>
      <c r="V461" t="s">
        <v>1351</v>
      </c>
      <c r="W461">
        <v>2.71</v>
      </c>
    </row>
    <row r="462" spans="1:23">
      <c r="A462" t="str">
        <f>"000997"</f>
        <v>000997</v>
      </c>
      <c r="B462" t="s">
        <v>1352</v>
      </c>
      <c r="C462">
        <v>21.17</v>
      </c>
      <c r="D462">
        <v>21.36</v>
      </c>
      <c r="E462">
        <v>20.96</v>
      </c>
      <c r="F462">
        <v>21.19</v>
      </c>
      <c r="G462">
        <v>92635</v>
      </c>
      <c r="H462">
        <v>196253792</v>
      </c>
      <c r="I462">
        <v>0.69</v>
      </c>
      <c r="J462" t="s">
        <v>758</v>
      </c>
      <c r="K462" t="s">
        <v>414</v>
      </c>
      <c r="L462">
        <v>0.09</v>
      </c>
      <c r="M462">
        <v>21.19</v>
      </c>
      <c r="N462">
        <v>47707</v>
      </c>
      <c r="O462">
        <v>44928</v>
      </c>
      <c r="P462">
        <v>1.06</v>
      </c>
      <c r="Q462">
        <v>536</v>
      </c>
      <c r="R462">
        <v>407</v>
      </c>
      <c r="S462" t="s">
        <v>3</v>
      </c>
      <c r="T462">
        <v>50805</v>
      </c>
      <c r="U462" t="s">
        <v>1353</v>
      </c>
      <c r="V462" t="s">
        <v>1354</v>
      </c>
      <c r="W462">
        <v>0.25</v>
      </c>
    </row>
    <row r="463" spans="1:23">
      <c r="A463" t="str">
        <f>"000998"</f>
        <v>000998</v>
      </c>
      <c r="B463" t="s">
        <v>1355</v>
      </c>
      <c r="C463" t="s">
        <v>3</v>
      </c>
      <c r="D463" t="s">
        <v>3</v>
      </c>
      <c r="E463" t="s">
        <v>3</v>
      </c>
      <c r="F463">
        <v>0</v>
      </c>
      <c r="G463">
        <v>0</v>
      </c>
      <c r="H463">
        <v>0</v>
      </c>
      <c r="I463">
        <v>0</v>
      </c>
      <c r="J463" t="s">
        <v>829</v>
      </c>
      <c r="K463" t="s">
        <v>234</v>
      </c>
      <c r="L463" t="s">
        <v>3</v>
      </c>
      <c r="M463">
        <v>13.7</v>
      </c>
      <c r="N463">
        <v>0</v>
      </c>
      <c r="O463">
        <v>0</v>
      </c>
      <c r="P463" t="s">
        <v>3</v>
      </c>
      <c r="Q463">
        <v>0</v>
      </c>
      <c r="R463">
        <v>0</v>
      </c>
      <c r="S463" t="s">
        <v>3</v>
      </c>
      <c r="T463">
        <v>83123.59</v>
      </c>
      <c r="U463" t="s">
        <v>1356</v>
      </c>
      <c r="V463" t="s">
        <v>1357</v>
      </c>
      <c r="W463">
        <v>0.16</v>
      </c>
    </row>
    <row r="464" spans="1:23">
      <c r="A464" t="str">
        <f>"000999"</f>
        <v>000999</v>
      </c>
      <c r="B464" t="s">
        <v>1358</v>
      </c>
      <c r="C464">
        <v>20.85</v>
      </c>
      <c r="D464">
        <v>20.87</v>
      </c>
      <c r="E464">
        <v>20.57</v>
      </c>
      <c r="F464">
        <v>20.75</v>
      </c>
      <c r="G464">
        <v>77606</v>
      </c>
      <c r="H464">
        <v>160731520</v>
      </c>
      <c r="I464">
        <v>0.92</v>
      </c>
      <c r="J464" t="s">
        <v>321</v>
      </c>
      <c r="K464" t="s">
        <v>2</v>
      </c>
      <c r="L464">
        <v>-0.19</v>
      </c>
      <c r="M464">
        <v>20.71</v>
      </c>
      <c r="N464">
        <v>41579</v>
      </c>
      <c r="O464">
        <v>36026</v>
      </c>
      <c r="P464">
        <v>1.1499999999999999</v>
      </c>
      <c r="Q464">
        <v>14</v>
      </c>
      <c r="R464">
        <v>724</v>
      </c>
      <c r="S464" t="s">
        <v>3</v>
      </c>
      <c r="T464">
        <v>97774.22</v>
      </c>
      <c r="U464" t="s">
        <v>1359</v>
      </c>
      <c r="V464" t="s">
        <v>1360</v>
      </c>
      <c r="W464">
        <v>-0.03</v>
      </c>
    </row>
    <row r="465" spans="1:23">
      <c r="A465" t="str">
        <f>"001696"</f>
        <v>001696</v>
      </c>
      <c r="B465" t="s">
        <v>1361</v>
      </c>
      <c r="C465">
        <v>7.85</v>
      </c>
      <c r="D465">
        <v>8.33</v>
      </c>
      <c r="E465">
        <v>7.77</v>
      </c>
      <c r="F465">
        <v>7.96</v>
      </c>
      <c r="G465">
        <v>1141400</v>
      </c>
      <c r="H465">
        <v>920232960</v>
      </c>
      <c r="I465">
        <v>1.1599999999999999</v>
      </c>
      <c r="J465" t="s">
        <v>1191</v>
      </c>
      <c r="K465" t="s">
        <v>386</v>
      </c>
      <c r="L465">
        <v>0.38</v>
      </c>
      <c r="M465">
        <v>8.06</v>
      </c>
      <c r="N465">
        <v>561336</v>
      </c>
      <c r="O465">
        <v>580064</v>
      </c>
      <c r="P465">
        <v>0.97</v>
      </c>
      <c r="Q465">
        <v>3123</v>
      </c>
      <c r="R465">
        <v>818</v>
      </c>
      <c r="S465" t="s">
        <v>3</v>
      </c>
      <c r="T465">
        <v>89213.47</v>
      </c>
      <c r="U465" t="s">
        <v>1362</v>
      </c>
      <c r="V465" t="s">
        <v>383</v>
      </c>
      <c r="W465">
        <v>0.54</v>
      </c>
    </row>
    <row r="466" spans="1:23">
      <c r="A466" t="str">
        <f>"001896"</f>
        <v>001896</v>
      </c>
      <c r="B466" t="s">
        <v>1363</v>
      </c>
      <c r="C466">
        <v>7.26</v>
      </c>
      <c r="D466">
        <v>7.83</v>
      </c>
      <c r="E466">
        <v>7.25</v>
      </c>
      <c r="F466">
        <v>7.7</v>
      </c>
      <c r="G466">
        <v>113042</v>
      </c>
      <c r="H466">
        <v>85631248</v>
      </c>
      <c r="I466">
        <v>3.29</v>
      </c>
      <c r="J466" t="s">
        <v>87</v>
      </c>
      <c r="K466" t="s">
        <v>254</v>
      </c>
      <c r="L466">
        <v>5.62</v>
      </c>
      <c r="M466">
        <v>7.58</v>
      </c>
      <c r="N466">
        <v>46276</v>
      </c>
      <c r="O466">
        <v>66765</v>
      </c>
      <c r="P466">
        <v>0.69</v>
      </c>
      <c r="Q466">
        <v>15</v>
      </c>
      <c r="R466">
        <v>267</v>
      </c>
      <c r="S466" t="s">
        <v>3</v>
      </c>
      <c r="T466">
        <v>42999.25</v>
      </c>
      <c r="U466" t="s">
        <v>1364</v>
      </c>
      <c r="V466" t="s">
        <v>1365</v>
      </c>
      <c r="W466">
        <v>5.78</v>
      </c>
    </row>
    <row r="467" spans="1:23">
      <c r="A467" t="str">
        <f>"002001"</f>
        <v>002001</v>
      </c>
      <c r="B467" t="s">
        <v>1366</v>
      </c>
      <c r="C467">
        <v>14.88</v>
      </c>
      <c r="D467">
        <v>14.99</v>
      </c>
      <c r="E467">
        <v>14.7</v>
      </c>
      <c r="F467">
        <v>14.95</v>
      </c>
      <c r="G467">
        <v>135431</v>
      </c>
      <c r="H467">
        <v>201509264</v>
      </c>
      <c r="I467">
        <v>1.1100000000000001</v>
      </c>
      <c r="J467" t="s">
        <v>219</v>
      </c>
      <c r="K467" t="s">
        <v>229</v>
      </c>
      <c r="L467">
        <v>0.61</v>
      </c>
      <c r="M467">
        <v>14.88</v>
      </c>
      <c r="N467">
        <v>66922</v>
      </c>
      <c r="O467">
        <v>68508</v>
      </c>
      <c r="P467">
        <v>0.98</v>
      </c>
      <c r="Q467">
        <v>65</v>
      </c>
      <c r="R467">
        <v>833</v>
      </c>
      <c r="S467" t="s">
        <v>3</v>
      </c>
      <c r="T467">
        <v>107301.28</v>
      </c>
      <c r="U467" t="s">
        <v>1367</v>
      </c>
      <c r="V467" t="s">
        <v>1368</v>
      </c>
      <c r="W467">
        <v>0.76</v>
      </c>
    </row>
    <row r="468" spans="1:23">
      <c r="A468" t="str">
        <f>"002002"</f>
        <v>002002</v>
      </c>
      <c r="B468" t="s">
        <v>1369</v>
      </c>
      <c r="C468">
        <v>10.38</v>
      </c>
      <c r="D468">
        <v>10.68</v>
      </c>
      <c r="E468">
        <v>10.27</v>
      </c>
      <c r="F468">
        <v>10.33</v>
      </c>
      <c r="G468">
        <v>93238</v>
      </c>
      <c r="H468">
        <v>97538096</v>
      </c>
      <c r="I468">
        <v>1</v>
      </c>
      <c r="J468" t="s">
        <v>273</v>
      </c>
      <c r="K468" t="s">
        <v>211</v>
      </c>
      <c r="L468">
        <v>0.19</v>
      </c>
      <c r="M468">
        <v>10.46</v>
      </c>
      <c r="N468">
        <v>54394</v>
      </c>
      <c r="O468">
        <v>38844</v>
      </c>
      <c r="P468">
        <v>1.4</v>
      </c>
      <c r="Q468">
        <v>638</v>
      </c>
      <c r="R468">
        <v>49</v>
      </c>
      <c r="S468" t="s">
        <v>3</v>
      </c>
      <c r="T468">
        <v>23365.13</v>
      </c>
      <c r="U468" t="s">
        <v>1370</v>
      </c>
      <c r="V468" t="s">
        <v>1371</v>
      </c>
      <c r="W468">
        <v>0.35</v>
      </c>
    </row>
    <row r="469" spans="1:23">
      <c r="A469" t="str">
        <f>"002003"</f>
        <v>002003</v>
      </c>
      <c r="B469" t="s">
        <v>1372</v>
      </c>
      <c r="C469">
        <v>8.91</v>
      </c>
      <c r="D469">
        <v>8.91</v>
      </c>
      <c r="E469">
        <v>8.8000000000000007</v>
      </c>
      <c r="F469">
        <v>8.8800000000000008</v>
      </c>
      <c r="G469">
        <v>41306</v>
      </c>
      <c r="H469">
        <v>36559732</v>
      </c>
      <c r="I469">
        <v>0.74</v>
      </c>
      <c r="J469" t="s">
        <v>1373</v>
      </c>
      <c r="K469" t="s">
        <v>229</v>
      </c>
      <c r="L469">
        <v>-0.22</v>
      </c>
      <c r="M469">
        <v>8.85</v>
      </c>
      <c r="N469">
        <v>23197</v>
      </c>
      <c r="O469">
        <v>18109</v>
      </c>
      <c r="P469">
        <v>1.28</v>
      </c>
      <c r="Q469">
        <v>43</v>
      </c>
      <c r="R469">
        <v>503</v>
      </c>
      <c r="S469" t="s">
        <v>3</v>
      </c>
      <c r="T469">
        <v>29039.58</v>
      </c>
      <c r="U469" t="s">
        <v>1013</v>
      </c>
      <c r="V469" t="s">
        <v>1374</v>
      </c>
      <c r="W469">
        <v>-7.0000000000000007E-2</v>
      </c>
    </row>
    <row r="470" spans="1:23">
      <c r="A470" t="str">
        <f>"002004"</f>
        <v>002004</v>
      </c>
      <c r="B470" t="s">
        <v>1375</v>
      </c>
      <c r="C470">
        <v>19.55</v>
      </c>
      <c r="D470">
        <v>19.78</v>
      </c>
      <c r="E470">
        <v>19.36</v>
      </c>
      <c r="F470">
        <v>19.64</v>
      </c>
      <c r="G470">
        <v>77488</v>
      </c>
      <c r="H470">
        <v>151411968</v>
      </c>
      <c r="I470">
        <v>1.0900000000000001</v>
      </c>
      <c r="J470" t="s">
        <v>224</v>
      </c>
      <c r="K470" t="s">
        <v>386</v>
      </c>
      <c r="L470">
        <v>0.92</v>
      </c>
      <c r="M470">
        <v>19.54</v>
      </c>
      <c r="N470">
        <v>38986</v>
      </c>
      <c r="O470">
        <v>38502</v>
      </c>
      <c r="P470">
        <v>1.01</v>
      </c>
      <c r="Q470">
        <v>224</v>
      </c>
      <c r="R470">
        <v>392</v>
      </c>
      <c r="S470" t="s">
        <v>3</v>
      </c>
      <c r="T470">
        <v>42785.39</v>
      </c>
      <c r="U470" t="s">
        <v>1376</v>
      </c>
      <c r="V470" t="s">
        <v>1377</v>
      </c>
      <c r="W470">
        <v>1.08</v>
      </c>
    </row>
    <row r="471" spans="1:23">
      <c r="A471" t="str">
        <f>"002005"</f>
        <v>002005</v>
      </c>
      <c r="B471" t="s">
        <v>1378</v>
      </c>
      <c r="C471" t="s">
        <v>3</v>
      </c>
      <c r="D471" t="s">
        <v>3</v>
      </c>
      <c r="E471" t="s">
        <v>3</v>
      </c>
      <c r="F471">
        <v>0</v>
      </c>
      <c r="G471">
        <v>0</v>
      </c>
      <c r="H471">
        <v>0</v>
      </c>
      <c r="I471">
        <v>0</v>
      </c>
      <c r="J471" t="s">
        <v>47</v>
      </c>
      <c r="K471" t="s">
        <v>211</v>
      </c>
      <c r="L471" t="s">
        <v>3</v>
      </c>
      <c r="M471">
        <v>8.15</v>
      </c>
      <c r="N471">
        <v>0</v>
      </c>
      <c r="O471">
        <v>0</v>
      </c>
      <c r="P471" t="s">
        <v>3</v>
      </c>
      <c r="Q471">
        <v>0</v>
      </c>
      <c r="R471">
        <v>0</v>
      </c>
      <c r="S471" t="s">
        <v>3</v>
      </c>
      <c r="T471">
        <v>116470.65</v>
      </c>
      <c r="U471" t="s">
        <v>1379</v>
      </c>
      <c r="V471" t="s">
        <v>1380</v>
      </c>
      <c r="W471">
        <v>0.16</v>
      </c>
    </row>
    <row r="472" spans="1:23">
      <c r="A472" t="str">
        <f>"002006"</f>
        <v>002006</v>
      </c>
      <c r="B472" t="s">
        <v>1381</v>
      </c>
      <c r="C472">
        <v>8.32</v>
      </c>
      <c r="D472">
        <v>8.75</v>
      </c>
      <c r="E472">
        <v>8.32</v>
      </c>
      <c r="F472">
        <v>8.75</v>
      </c>
      <c r="G472">
        <v>162820</v>
      </c>
      <c r="H472">
        <v>141701664</v>
      </c>
      <c r="I472">
        <v>1.65</v>
      </c>
      <c r="J472" t="s">
        <v>233</v>
      </c>
      <c r="K472" t="s">
        <v>229</v>
      </c>
      <c r="L472">
        <v>5.04</v>
      </c>
      <c r="M472">
        <v>8.6999999999999993</v>
      </c>
      <c r="N472">
        <v>63754</v>
      </c>
      <c r="O472">
        <v>99065</v>
      </c>
      <c r="P472">
        <v>0.64</v>
      </c>
      <c r="Q472">
        <v>14431</v>
      </c>
      <c r="R472">
        <v>0</v>
      </c>
      <c r="S472" t="s">
        <v>3</v>
      </c>
      <c r="T472">
        <v>43677.89</v>
      </c>
      <c r="U472" t="s">
        <v>1382</v>
      </c>
      <c r="V472" t="s">
        <v>1383</v>
      </c>
      <c r="W472">
        <v>5.2</v>
      </c>
    </row>
    <row r="473" spans="1:23">
      <c r="A473" t="str">
        <f>"002007"</f>
        <v>002007</v>
      </c>
      <c r="B473" t="s">
        <v>1384</v>
      </c>
      <c r="C473">
        <v>27.49</v>
      </c>
      <c r="D473">
        <v>27.78</v>
      </c>
      <c r="E473">
        <v>27.26</v>
      </c>
      <c r="F473">
        <v>27.62</v>
      </c>
      <c r="G473">
        <v>99530</v>
      </c>
      <c r="H473">
        <v>274281088</v>
      </c>
      <c r="I473">
        <v>1.34</v>
      </c>
      <c r="J473" t="s">
        <v>11</v>
      </c>
      <c r="K473" t="s">
        <v>254</v>
      </c>
      <c r="L473">
        <v>1.17</v>
      </c>
      <c r="M473">
        <v>27.56</v>
      </c>
      <c r="N473">
        <v>48445</v>
      </c>
      <c r="O473">
        <v>51085</v>
      </c>
      <c r="P473">
        <v>0.95</v>
      </c>
      <c r="Q473">
        <v>96</v>
      </c>
      <c r="R473">
        <v>127</v>
      </c>
      <c r="S473" t="s">
        <v>3</v>
      </c>
      <c r="T473">
        <v>57620.25</v>
      </c>
      <c r="U473" t="s">
        <v>1385</v>
      </c>
      <c r="V473" t="s">
        <v>1386</v>
      </c>
      <c r="W473">
        <v>1.33</v>
      </c>
    </row>
    <row r="474" spans="1:23">
      <c r="A474" t="str">
        <f>"002008"</f>
        <v>002008</v>
      </c>
      <c r="B474" t="s">
        <v>1387</v>
      </c>
      <c r="C474">
        <v>20.22</v>
      </c>
      <c r="D474">
        <v>20.22</v>
      </c>
      <c r="E474">
        <v>19.920000000000002</v>
      </c>
      <c r="F474">
        <v>20.170000000000002</v>
      </c>
      <c r="G474">
        <v>122215</v>
      </c>
      <c r="H474">
        <v>245466048</v>
      </c>
      <c r="I474">
        <v>0.51</v>
      </c>
      <c r="J474" t="s">
        <v>617</v>
      </c>
      <c r="K474" t="s">
        <v>2</v>
      </c>
      <c r="L474">
        <v>-0.49</v>
      </c>
      <c r="M474">
        <v>20.079999999999998</v>
      </c>
      <c r="N474">
        <v>69131</v>
      </c>
      <c r="O474">
        <v>53083</v>
      </c>
      <c r="P474">
        <v>1.3</v>
      </c>
      <c r="Q474">
        <v>841</v>
      </c>
      <c r="R474">
        <v>186</v>
      </c>
      <c r="S474" t="s">
        <v>3</v>
      </c>
      <c r="T474">
        <v>95620.15</v>
      </c>
      <c r="U474" t="s">
        <v>1388</v>
      </c>
      <c r="V474" t="s">
        <v>1389</v>
      </c>
      <c r="W474">
        <v>-0.33</v>
      </c>
    </row>
    <row r="475" spans="1:23">
      <c r="A475" t="str">
        <f>"002009"</f>
        <v>002009</v>
      </c>
      <c r="B475" t="s">
        <v>1390</v>
      </c>
      <c r="C475">
        <v>15</v>
      </c>
      <c r="D475">
        <v>15.4</v>
      </c>
      <c r="E475">
        <v>14.91</v>
      </c>
      <c r="F475">
        <v>14.98</v>
      </c>
      <c r="G475">
        <v>80722</v>
      </c>
      <c r="H475">
        <v>121442008</v>
      </c>
      <c r="I475">
        <v>1.81</v>
      </c>
      <c r="J475" t="s">
        <v>233</v>
      </c>
      <c r="K475" t="s">
        <v>244</v>
      </c>
      <c r="L475">
        <v>-3.85</v>
      </c>
      <c r="M475">
        <v>15.04</v>
      </c>
      <c r="N475">
        <v>51367</v>
      </c>
      <c r="O475">
        <v>29355</v>
      </c>
      <c r="P475">
        <v>1.75</v>
      </c>
      <c r="Q475">
        <v>349</v>
      </c>
      <c r="R475">
        <v>142</v>
      </c>
      <c r="S475" t="s">
        <v>3</v>
      </c>
      <c r="T475">
        <v>25991.22</v>
      </c>
      <c r="U475" t="s">
        <v>1391</v>
      </c>
      <c r="V475" t="s">
        <v>1392</v>
      </c>
      <c r="W475">
        <v>-3.69</v>
      </c>
    </row>
    <row r="476" spans="1:23">
      <c r="A476" t="str">
        <f>"002010"</f>
        <v>002010</v>
      </c>
      <c r="B476" t="s">
        <v>1393</v>
      </c>
      <c r="C476">
        <v>9.34</v>
      </c>
      <c r="D476">
        <v>9.36</v>
      </c>
      <c r="E476">
        <v>9.23</v>
      </c>
      <c r="F476">
        <v>9.2899999999999991</v>
      </c>
      <c r="G476">
        <v>36722</v>
      </c>
      <c r="H476">
        <v>34089488</v>
      </c>
      <c r="I476">
        <v>0.97</v>
      </c>
      <c r="J476" t="s">
        <v>522</v>
      </c>
      <c r="K476" t="s">
        <v>229</v>
      </c>
      <c r="L476">
        <v>-0.43</v>
      </c>
      <c r="M476">
        <v>9.2799999999999994</v>
      </c>
      <c r="N476">
        <v>22872</v>
      </c>
      <c r="O476">
        <v>13850</v>
      </c>
      <c r="P476">
        <v>1.65</v>
      </c>
      <c r="Q476">
        <v>412</v>
      </c>
      <c r="R476">
        <v>75</v>
      </c>
      <c r="S476" t="s">
        <v>3</v>
      </c>
      <c r="T476">
        <v>41283.300000000003</v>
      </c>
      <c r="U476" t="s">
        <v>1394</v>
      </c>
      <c r="V476" t="s">
        <v>1395</v>
      </c>
      <c r="W476">
        <v>-0.27</v>
      </c>
    </row>
    <row r="477" spans="1:23">
      <c r="A477" t="str">
        <f>"002011"</f>
        <v>002011</v>
      </c>
      <c r="B477" t="s">
        <v>1396</v>
      </c>
      <c r="C477">
        <v>8.85</v>
      </c>
      <c r="D477">
        <v>9.08</v>
      </c>
      <c r="E477">
        <v>8.8000000000000007</v>
      </c>
      <c r="F477">
        <v>8.91</v>
      </c>
      <c r="G477">
        <v>172850</v>
      </c>
      <c r="H477">
        <v>154898576</v>
      </c>
      <c r="I477">
        <v>1.43</v>
      </c>
      <c r="J477" t="s">
        <v>233</v>
      </c>
      <c r="K477" t="s">
        <v>229</v>
      </c>
      <c r="L477">
        <v>0.91</v>
      </c>
      <c r="M477">
        <v>8.9600000000000009</v>
      </c>
      <c r="N477">
        <v>94965</v>
      </c>
      <c r="O477">
        <v>77884</v>
      </c>
      <c r="P477">
        <v>1.22</v>
      </c>
      <c r="Q477">
        <v>1940</v>
      </c>
      <c r="R477">
        <v>334</v>
      </c>
      <c r="S477" t="s">
        <v>3</v>
      </c>
      <c r="T477">
        <v>83800.649999999994</v>
      </c>
      <c r="U477" t="s">
        <v>1397</v>
      </c>
      <c r="V477" t="s">
        <v>1398</v>
      </c>
      <c r="W477">
        <v>1.06</v>
      </c>
    </row>
    <row r="478" spans="1:23">
      <c r="A478" t="str">
        <f>"002012"</f>
        <v>002012</v>
      </c>
      <c r="B478" t="s">
        <v>1399</v>
      </c>
      <c r="C478">
        <v>6.37</v>
      </c>
      <c r="D478">
        <v>6.61</v>
      </c>
      <c r="E478">
        <v>6.31</v>
      </c>
      <c r="F478">
        <v>6.5</v>
      </c>
      <c r="G478">
        <v>163784</v>
      </c>
      <c r="H478">
        <v>105947336</v>
      </c>
      <c r="I478">
        <v>1.04</v>
      </c>
      <c r="J478" t="s">
        <v>343</v>
      </c>
      <c r="K478" t="s">
        <v>229</v>
      </c>
      <c r="L478">
        <v>1.72</v>
      </c>
      <c r="M478">
        <v>6.47</v>
      </c>
      <c r="N478">
        <v>78255</v>
      </c>
      <c r="O478">
        <v>85529</v>
      </c>
      <c r="P478">
        <v>0.91</v>
      </c>
      <c r="Q478">
        <v>475</v>
      </c>
      <c r="R478">
        <v>113</v>
      </c>
      <c r="S478" t="s">
        <v>3</v>
      </c>
      <c r="T478">
        <v>46762.55</v>
      </c>
      <c r="U478" t="s">
        <v>1400</v>
      </c>
      <c r="V478" t="s">
        <v>1400</v>
      </c>
      <c r="W478">
        <v>1.88</v>
      </c>
    </row>
    <row r="479" spans="1:23">
      <c r="A479" t="str">
        <f>"002013"</f>
        <v>002013</v>
      </c>
      <c r="B479" t="s">
        <v>1401</v>
      </c>
      <c r="C479">
        <v>19.920000000000002</v>
      </c>
      <c r="D479">
        <v>20.100000000000001</v>
      </c>
      <c r="E479">
        <v>19.600000000000001</v>
      </c>
      <c r="F479">
        <v>20.02</v>
      </c>
      <c r="G479">
        <v>106831</v>
      </c>
      <c r="H479">
        <v>212688432</v>
      </c>
      <c r="I479">
        <v>0.54</v>
      </c>
      <c r="J479" t="s">
        <v>98</v>
      </c>
      <c r="K479" t="s">
        <v>317</v>
      </c>
      <c r="L479">
        <v>0.7</v>
      </c>
      <c r="M479">
        <v>19.91</v>
      </c>
      <c r="N479">
        <v>52656</v>
      </c>
      <c r="O479">
        <v>54175</v>
      </c>
      <c r="P479">
        <v>0.97</v>
      </c>
      <c r="Q479">
        <v>889</v>
      </c>
      <c r="R479">
        <v>1378</v>
      </c>
      <c r="S479" t="s">
        <v>3</v>
      </c>
      <c r="T479">
        <v>29285.81</v>
      </c>
      <c r="U479" t="s">
        <v>1402</v>
      </c>
      <c r="V479" t="s">
        <v>1403</v>
      </c>
      <c r="W479">
        <v>0.86</v>
      </c>
    </row>
    <row r="480" spans="1:23">
      <c r="A480" t="str">
        <f>"002014"</f>
        <v>002014</v>
      </c>
      <c r="B480" t="s">
        <v>1404</v>
      </c>
      <c r="C480">
        <v>8.1999999999999993</v>
      </c>
      <c r="D480">
        <v>8.24</v>
      </c>
      <c r="E480">
        <v>8.16</v>
      </c>
      <c r="F480">
        <v>8.23</v>
      </c>
      <c r="G480">
        <v>47816</v>
      </c>
      <c r="H480">
        <v>39245468</v>
      </c>
      <c r="I480">
        <v>0.85</v>
      </c>
      <c r="J480" t="s">
        <v>273</v>
      </c>
      <c r="K480" t="s">
        <v>220</v>
      </c>
      <c r="L480">
        <v>0.49</v>
      </c>
      <c r="M480">
        <v>8.2100000000000009</v>
      </c>
      <c r="N480">
        <v>23234</v>
      </c>
      <c r="O480">
        <v>24582</v>
      </c>
      <c r="P480">
        <v>0.95</v>
      </c>
      <c r="Q480">
        <v>555</v>
      </c>
      <c r="R480">
        <v>1785</v>
      </c>
      <c r="S480" t="s">
        <v>3</v>
      </c>
      <c r="T480">
        <v>32282.720000000001</v>
      </c>
      <c r="U480" t="s">
        <v>1405</v>
      </c>
      <c r="V480" t="s">
        <v>559</v>
      </c>
      <c r="W480">
        <v>0.65</v>
      </c>
    </row>
    <row r="481" spans="1:23">
      <c r="A481" t="str">
        <f>"002015"</f>
        <v>002015</v>
      </c>
      <c r="B481" t="s">
        <v>1406</v>
      </c>
      <c r="C481" t="s">
        <v>3</v>
      </c>
      <c r="D481" t="s">
        <v>3</v>
      </c>
      <c r="E481" t="s">
        <v>3</v>
      </c>
      <c r="F481">
        <v>0</v>
      </c>
      <c r="G481">
        <v>0</v>
      </c>
      <c r="H481">
        <v>0</v>
      </c>
      <c r="I481">
        <v>0</v>
      </c>
      <c r="J481" t="s">
        <v>310</v>
      </c>
      <c r="K481" t="s">
        <v>244</v>
      </c>
      <c r="L481" t="s">
        <v>3</v>
      </c>
      <c r="M481">
        <v>5.33</v>
      </c>
      <c r="N481">
        <v>0</v>
      </c>
      <c r="O481">
        <v>0</v>
      </c>
      <c r="P481" t="s">
        <v>3</v>
      </c>
      <c r="Q481">
        <v>0</v>
      </c>
      <c r="R481">
        <v>0</v>
      </c>
      <c r="S481" t="s">
        <v>3</v>
      </c>
      <c r="T481">
        <v>21935.06</v>
      </c>
      <c r="U481" t="s">
        <v>1407</v>
      </c>
      <c r="V481" t="s">
        <v>13</v>
      </c>
      <c r="W481">
        <v>0.16</v>
      </c>
    </row>
    <row r="482" spans="1:23">
      <c r="A482" t="str">
        <f>"002016"</f>
        <v>002016</v>
      </c>
      <c r="B482" t="s">
        <v>1408</v>
      </c>
      <c r="C482">
        <v>8.42</v>
      </c>
      <c r="D482">
        <v>8.44</v>
      </c>
      <c r="E482">
        <v>8.17</v>
      </c>
      <c r="F482">
        <v>8.1999999999999993</v>
      </c>
      <c r="G482">
        <v>148831</v>
      </c>
      <c r="H482">
        <v>122527528</v>
      </c>
      <c r="I482">
        <v>1.1100000000000001</v>
      </c>
      <c r="J482" t="s">
        <v>15</v>
      </c>
      <c r="K482" t="s">
        <v>211</v>
      </c>
      <c r="L482">
        <v>-2.38</v>
      </c>
      <c r="M482">
        <v>8.23</v>
      </c>
      <c r="N482">
        <v>94795</v>
      </c>
      <c r="O482">
        <v>54035</v>
      </c>
      <c r="P482">
        <v>1.75</v>
      </c>
      <c r="Q482">
        <v>655</v>
      </c>
      <c r="R482">
        <v>922</v>
      </c>
      <c r="S482" t="s">
        <v>3</v>
      </c>
      <c r="T482">
        <v>64609.46</v>
      </c>
      <c r="U482" t="s">
        <v>1409</v>
      </c>
      <c r="V482" t="s">
        <v>1409</v>
      </c>
      <c r="W482">
        <v>-2.2200000000000002</v>
      </c>
    </row>
    <row r="483" spans="1:23">
      <c r="A483" t="str">
        <f>"002017"</f>
        <v>002017</v>
      </c>
      <c r="B483" t="s">
        <v>1410</v>
      </c>
      <c r="C483">
        <v>16.84</v>
      </c>
      <c r="D483">
        <v>17.36</v>
      </c>
      <c r="E483">
        <v>16.420000000000002</v>
      </c>
      <c r="F483">
        <v>16.850000000000001</v>
      </c>
      <c r="G483">
        <v>53727</v>
      </c>
      <c r="H483">
        <v>91044176</v>
      </c>
      <c r="I483">
        <v>0.9</v>
      </c>
      <c r="J483" t="s">
        <v>112</v>
      </c>
      <c r="K483" t="s">
        <v>211</v>
      </c>
      <c r="L483">
        <v>0.06</v>
      </c>
      <c r="M483">
        <v>16.95</v>
      </c>
      <c r="N483">
        <v>28145</v>
      </c>
      <c r="O483">
        <v>25581</v>
      </c>
      <c r="P483">
        <v>1.1000000000000001</v>
      </c>
      <c r="Q483">
        <v>748</v>
      </c>
      <c r="R483">
        <v>409</v>
      </c>
      <c r="S483" t="s">
        <v>3</v>
      </c>
      <c r="T483">
        <v>28287.53</v>
      </c>
      <c r="U483" t="s">
        <v>1411</v>
      </c>
      <c r="V483" t="s">
        <v>1412</v>
      </c>
      <c r="W483">
        <v>0.22</v>
      </c>
    </row>
    <row r="484" spans="1:23">
      <c r="A484" t="str">
        <f>"002018"</f>
        <v>002018</v>
      </c>
      <c r="B484" t="s">
        <v>1413</v>
      </c>
      <c r="C484">
        <v>9.0500000000000007</v>
      </c>
      <c r="D484">
        <v>9.0500000000000007</v>
      </c>
      <c r="E484">
        <v>8.93</v>
      </c>
      <c r="F484">
        <v>8.99</v>
      </c>
      <c r="G484">
        <v>104121</v>
      </c>
      <c r="H484">
        <v>93509552</v>
      </c>
      <c r="I484">
        <v>0.62</v>
      </c>
      <c r="J484" t="s">
        <v>224</v>
      </c>
      <c r="K484" t="s">
        <v>220</v>
      </c>
      <c r="L484">
        <v>-0.44</v>
      </c>
      <c r="M484">
        <v>8.98</v>
      </c>
      <c r="N484">
        <v>66666</v>
      </c>
      <c r="O484">
        <v>37455</v>
      </c>
      <c r="P484">
        <v>1.78</v>
      </c>
      <c r="Q484">
        <v>3910</v>
      </c>
      <c r="R484">
        <v>309</v>
      </c>
      <c r="S484" t="s">
        <v>3</v>
      </c>
      <c r="T484">
        <v>44739.51</v>
      </c>
      <c r="U484" t="s">
        <v>1414</v>
      </c>
      <c r="V484" t="s">
        <v>1415</v>
      </c>
      <c r="W484">
        <v>-0.28000000000000003</v>
      </c>
    </row>
    <row r="485" spans="1:23">
      <c r="A485" t="str">
        <f>"002019"</f>
        <v>002019</v>
      </c>
      <c r="B485" t="s">
        <v>1416</v>
      </c>
      <c r="C485">
        <v>32.729999999999997</v>
      </c>
      <c r="D485">
        <v>33.700000000000003</v>
      </c>
      <c r="E485">
        <v>32.49</v>
      </c>
      <c r="F485">
        <v>33.380000000000003</v>
      </c>
      <c r="G485">
        <v>41621</v>
      </c>
      <c r="H485">
        <v>138157296</v>
      </c>
      <c r="I485">
        <v>0.81</v>
      </c>
      <c r="J485" t="s">
        <v>219</v>
      </c>
      <c r="K485" t="s">
        <v>229</v>
      </c>
      <c r="L485">
        <v>1.99</v>
      </c>
      <c r="M485">
        <v>33.19</v>
      </c>
      <c r="N485">
        <v>20056</v>
      </c>
      <c r="O485">
        <v>21564</v>
      </c>
      <c r="P485">
        <v>0.93</v>
      </c>
      <c r="Q485">
        <v>10</v>
      </c>
      <c r="R485">
        <v>4</v>
      </c>
      <c r="S485" t="s">
        <v>3</v>
      </c>
      <c r="T485">
        <v>20541.849999999999</v>
      </c>
      <c r="U485" t="s">
        <v>71</v>
      </c>
      <c r="V485" t="s">
        <v>1417</v>
      </c>
      <c r="W485">
        <v>2.14</v>
      </c>
    </row>
    <row r="486" spans="1:23">
      <c r="A486" t="str">
        <f>"002020"</f>
        <v>002020</v>
      </c>
      <c r="B486" t="s">
        <v>1418</v>
      </c>
      <c r="C486">
        <v>18.600000000000001</v>
      </c>
      <c r="D486">
        <v>18.64</v>
      </c>
      <c r="E486">
        <v>18.21</v>
      </c>
      <c r="F486">
        <v>18.43</v>
      </c>
      <c r="G486">
        <v>42387</v>
      </c>
      <c r="H486">
        <v>77964864</v>
      </c>
      <c r="I486">
        <v>0.97</v>
      </c>
      <c r="J486" t="s">
        <v>219</v>
      </c>
      <c r="K486" t="s">
        <v>229</v>
      </c>
      <c r="L486">
        <v>-1.18</v>
      </c>
      <c r="M486">
        <v>18.39</v>
      </c>
      <c r="N486">
        <v>28171</v>
      </c>
      <c r="O486">
        <v>14216</v>
      </c>
      <c r="P486">
        <v>1.98</v>
      </c>
      <c r="Q486">
        <v>78</v>
      </c>
      <c r="R486">
        <v>110</v>
      </c>
      <c r="S486" t="s">
        <v>3</v>
      </c>
      <c r="T486">
        <v>19382.21</v>
      </c>
      <c r="U486" t="s">
        <v>1419</v>
      </c>
      <c r="V486" t="s">
        <v>1420</v>
      </c>
      <c r="W486">
        <v>-1.02</v>
      </c>
    </row>
    <row r="487" spans="1:23">
      <c r="A487" t="str">
        <f>"002021"</f>
        <v>002021</v>
      </c>
      <c r="B487" t="s">
        <v>1421</v>
      </c>
      <c r="C487" t="s">
        <v>3</v>
      </c>
      <c r="D487" t="s">
        <v>3</v>
      </c>
      <c r="E487" t="s">
        <v>3</v>
      </c>
      <c r="F487">
        <v>0</v>
      </c>
      <c r="G487">
        <v>0</v>
      </c>
      <c r="H487">
        <v>0</v>
      </c>
      <c r="I487">
        <v>0</v>
      </c>
      <c r="J487" t="s">
        <v>721</v>
      </c>
      <c r="K487" t="s">
        <v>229</v>
      </c>
      <c r="L487" t="s">
        <v>3</v>
      </c>
      <c r="M487">
        <v>7.01</v>
      </c>
      <c r="N487">
        <v>0</v>
      </c>
      <c r="O487">
        <v>0</v>
      </c>
      <c r="P487" t="s">
        <v>3</v>
      </c>
      <c r="Q487">
        <v>0</v>
      </c>
      <c r="R487">
        <v>0</v>
      </c>
      <c r="S487" t="s">
        <v>3</v>
      </c>
      <c r="T487">
        <v>56781.5</v>
      </c>
      <c r="U487" t="s">
        <v>1422</v>
      </c>
      <c r="V487" t="s">
        <v>1423</v>
      </c>
      <c r="W487">
        <v>0.16</v>
      </c>
    </row>
    <row r="488" spans="1:23">
      <c r="A488" t="str">
        <f>"002022"</f>
        <v>002022</v>
      </c>
      <c r="B488" t="s">
        <v>1424</v>
      </c>
      <c r="C488">
        <v>26.5</v>
      </c>
      <c r="D488">
        <v>27.62</v>
      </c>
      <c r="E488">
        <v>26.4</v>
      </c>
      <c r="F488">
        <v>27.23</v>
      </c>
      <c r="G488">
        <v>179823</v>
      </c>
      <c r="H488">
        <v>488623040</v>
      </c>
      <c r="I488">
        <v>2.37</v>
      </c>
      <c r="J488" t="s">
        <v>11</v>
      </c>
      <c r="K488" t="s">
        <v>727</v>
      </c>
      <c r="L488">
        <v>3.97</v>
      </c>
      <c r="M488">
        <v>27.17</v>
      </c>
      <c r="N488">
        <v>87134</v>
      </c>
      <c r="O488">
        <v>92688</v>
      </c>
      <c r="P488">
        <v>0.94</v>
      </c>
      <c r="Q488">
        <v>378</v>
      </c>
      <c r="R488">
        <v>509</v>
      </c>
      <c r="S488" t="s">
        <v>3</v>
      </c>
      <c r="T488">
        <v>38012.080000000002</v>
      </c>
      <c r="U488" t="s">
        <v>1425</v>
      </c>
      <c r="V488" t="s">
        <v>1426</v>
      </c>
      <c r="W488">
        <v>4.13</v>
      </c>
    </row>
    <row r="489" spans="1:23">
      <c r="A489" t="str">
        <f>"002023"</f>
        <v>002023</v>
      </c>
      <c r="B489" t="s">
        <v>1427</v>
      </c>
      <c r="C489">
        <v>20.02</v>
      </c>
      <c r="D489">
        <v>20.55</v>
      </c>
      <c r="E489">
        <v>19.84</v>
      </c>
      <c r="F489">
        <v>20.27</v>
      </c>
      <c r="G489">
        <v>78429</v>
      </c>
      <c r="H489">
        <v>158860624</v>
      </c>
      <c r="I489">
        <v>0.77</v>
      </c>
      <c r="J489" t="s">
        <v>892</v>
      </c>
      <c r="K489" t="s">
        <v>225</v>
      </c>
      <c r="L489">
        <v>1.6</v>
      </c>
      <c r="M489">
        <v>20.260000000000002</v>
      </c>
      <c r="N489">
        <v>34591</v>
      </c>
      <c r="O489">
        <v>43838</v>
      </c>
      <c r="P489">
        <v>0.79</v>
      </c>
      <c r="Q489">
        <v>390</v>
      </c>
      <c r="R489">
        <v>56</v>
      </c>
      <c r="S489" t="s">
        <v>3</v>
      </c>
      <c r="T489">
        <v>33093.89</v>
      </c>
      <c r="U489" t="s">
        <v>1428</v>
      </c>
      <c r="V489" t="s">
        <v>1429</v>
      </c>
      <c r="W489">
        <v>1.76</v>
      </c>
    </row>
    <row r="490" spans="1:23">
      <c r="A490" t="str">
        <f>"002024"</f>
        <v>002024</v>
      </c>
      <c r="B490" t="s">
        <v>1430</v>
      </c>
      <c r="C490">
        <v>7.91</v>
      </c>
      <c r="D490">
        <v>7.96</v>
      </c>
      <c r="E490">
        <v>7.7</v>
      </c>
      <c r="F490">
        <v>7.9</v>
      </c>
      <c r="G490">
        <v>1441252</v>
      </c>
      <c r="H490">
        <v>1130660224</v>
      </c>
      <c r="I490">
        <v>0.94</v>
      </c>
      <c r="J490" t="s">
        <v>1431</v>
      </c>
      <c r="K490" t="s">
        <v>244</v>
      </c>
      <c r="L490">
        <v>0.64</v>
      </c>
      <c r="M490">
        <v>7.84</v>
      </c>
      <c r="N490">
        <v>748781</v>
      </c>
      <c r="O490">
        <v>692470</v>
      </c>
      <c r="P490">
        <v>1.08</v>
      </c>
      <c r="Q490">
        <v>10226</v>
      </c>
      <c r="R490">
        <v>5263</v>
      </c>
      <c r="S490" t="s">
        <v>3</v>
      </c>
      <c r="T490">
        <v>494071.41</v>
      </c>
      <c r="U490" t="s">
        <v>1432</v>
      </c>
      <c r="V490" t="s">
        <v>1433</v>
      </c>
      <c r="W490">
        <v>0.8</v>
      </c>
    </row>
    <row r="491" spans="1:23">
      <c r="A491" t="str">
        <f>"002025"</f>
        <v>002025</v>
      </c>
      <c r="B491" t="s">
        <v>1434</v>
      </c>
      <c r="C491">
        <v>20</v>
      </c>
      <c r="D491">
        <v>20.190000000000001</v>
      </c>
      <c r="E491">
        <v>19.79</v>
      </c>
      <c r="F491">
        <v>19.899999999999999</v>
      </c>
      <c r="G491">
        <v>81005</v>
      </c>
      <c r="H491">
        <v>161670144</v>
      </c>
      <c r="I491">
        <v>0.54</v>
      </c>
      <c r="J491" t="s">
        <v>62</v>
      </c>
      <c r="K491" t="s">
        <v>452</v>
      </c>
      <c r="L491">
        <v>-0.75</v>
      </c>
      <c r="M491">
        <v>19.96</v>
      </c>
      <c r="N491">
        <v>44999</v>
      </c>
      <c r="O491">
        <v>36005</v>
      </c>
      <c r="P491">
        <v>1.25</v>
      </c>
      <c r="Q491">
        <v>179</v>
      </c>
      <c r="R491">
        <v>56</v>
      </c>
      <c r="S491" t="s">
        <v>3</v>
      </c>
      <c r="T491">
        <v>32984.53</v>
      </c>
      <c r="U491" t="s">
        <v>1435</v>
      </c>
      <c r="V491" t="s">
        <v>1436</v>
      </c>
      <c r="W491">
        <v>-0.59</v>
      </c>
    </row>
    <row r="492" spans="1:23">
      <c r="A492" t="str">
        <f>"002026"</f>
        <v>002026</v>
      </c>
      <c r="B492" t="s">
        <v>1437</v>
      </c>
      <c r="C492">
        <v>9.7100000000000009</v>
      </c>
      <c r="D492">
        <v>9.7100000000000009</v>
      </c>
      <c r="E492">
        <v>9.4499999999999993</v>
      </c>
      <c r="F492">
        <v>9.64</v>
      </c>
      <c r="G492">
        <v>30211</v>
      </c>
      <c r="H492">
        <v>29088220</v>
      </c>
      <c r="I492">
        <v>0.96</v>
      </c>
      <c r="J492" t="s">
        <v>398</v>
      </c>
      <c r="K492" t="s">
        <v>250</v>
      </c>
      <c r="L492">
        <v>0.21</v>
      </c>
      <c r="M492">
        <v>9.6300000000000008</v>
      </c>
      <c r="N492">
        <v>15368</v>
      </c>
      <c r="O492">
        <v>14843</v>
      </c>
      <c r="P492">
        <v>1.04</v>
      </c>
      <c r="Q492">
        <v>154</v>
      </c>
      <c r="R492">
        <v>1203</v>
      </c>
      <c r="S492" t="s">
        <v>3</v>
      </c>
      <c r="T492">
        <v>22815</v>
      </c>
      <c r="U492" t="s">
        <v>1438</v>
      </c>
      <c r="V492" t="s">
        <v>1439</v>
      </c>
      <c r="W492">
        <v>0.37</v>
      </c>
    </row>
    <row r="493" spans="1:23">
      <c r="A493" t="str">
        <f>"002027"</f>
        <v>002027</v>
      </c>
      <c r="B493" t="s">
        <v>1440</v>
      </c>
      <c r="C493">
        <v>8.34</v>
      </c>
      <c r="D493">
        <v>8.5</v>
      </c>
      <c r="E493">
        <v>8.3000000000000007</v>
      </c>
      <c r="F493">
        <v>8.41</v>
      </c>
      <c r="G493">
        <v>68159</v>
      </c>
      <c r="H493">
        <v>57121196</v>
      </c>
      <c r="I493">
        <v>0.79</v>
      </c>
      <c r="J493" t="s">
        <v>66</v>
      </c>
      <c r="K493" t="s">
        <v>211</v>
      </c>
      <c r="L493">
        <v>0.72</v>
      </c>
      <c r="M493">
        <v>8.3800000000000008</v>
      </c>
      <c r="N493">
        <v>35297</v>
      </c>
      <c r="O493">
        <v>32861</v>
      </c>
      <c r="P493">
        <v>1.07</v>
      </c>
      <c r="Q493">
        <v>407</v>
      </c>
      <c r="R493">
        <v>1640</v>
      </c>
      <c r="S493" t="s">
        <v>3</v>
      </c>
      <c r="T493">
        <v>20348.88</v>
      </c>
      <c r="U493" t="s">
        <v>1441</v>
      </c>
      <c r="V493" t="s">
        <v>1442</v>
      </c>
      <c r="W493">
        <v>0.88</v>
      </c>
    </row>
    <row r="494" spans="1:23">
      <c r="A494" t="str">
        <f>"002028"</f>
        <v>002028</v>
      </c>
      <c r="B494" t="s">
        <v>1443</v>
      </c>
      <c r="C494">
        <v>11.69</v>
      </c>
      <c r="D494">
        <v>11.72</v>
      </c>
      <c r="E494">
        <v>11.54</v>
      </c>
      <c r="F494">
        <v>11.64</v>
      </c>
      <c r="G494">
        <v>109829</v>
      </c>
      <c r="H494">
        <v>127413416</v>
      </c>
      <c r="I494">
        <v>0.65</v>
      </c>
      <c r="J494" t="s">
        <v>145</v>
      </c>
      <c r="K494" t="s">
        <v>727</v>
      </c>
      <c r="L494">
        <v>-0.43</v>
      </c>
      <c r="M494">
        <v>11.6</v>
      </c>
      <c r="N494">
        <v>68334</v>
      </c>
      <c r="O494">
        <v>41495</v>
      </c>
      <c r="P494">
        <v>1.65</v>
      </c>
      <c r="Q494">
        <v>268</v>
      </c>
      <c r="R494">
        <v>874</v>
      </c>
      <c r="S494" t="s">
        <v>3</v>
      </c>
      <c r="T494">
        <v>46646.76</v>
      </c>
      <c r="U494" t="s">
        <v>1000</v>
      </c>
      <c r="V494" t="s">
        <v>1444</v>
      </c>
      <c r="W494">
        <v>-0.27</v>
      </c>
    </row>
    <row r="495" spans="1:23">
      <c r="A495" t="str">
        <f>"002029"</f>
        <v>002029</v>
      </c>
      <c r="B495" t="s">
        <v>1445</v>
      </c>
      <c r="C495">
        <v>9.32</v>
      </c>
      <c r="D495">
        <v>9.73</v>
      </c>
      <c r="E495">
        <v>9.17</v>
      </c>
      <c r="F495">
        <v>9.65</v>
      </c>
      <c r="G495">
        <v>296278</v>
      </c>
      <c r="H495">
        <v>281720384</v>
      </c>
      <c r="I495">
        <v>2.4300000000000002</v>
      </c>
      <c r="J495" t="s">
        <v>1373</v>
      </c>
      <c r="K495" t="s">
        <v>414</v>
      </c>
      <c r="L495">
        <v>3.99</v>
      </c>
      <c r="M495">
        <v>9.51</v>
      </c>
      <c r="N495">
        <v>107536</v>
      </c>
      <c r="O495">
        <v>188742</v>
      </c>
      <c r="P495">
        <v>0.56999999999999995</v>
      </c>
      <c r="Q495">
        <v>190</v>
      </c>
      <c r="R495">
        <v>1182</v>
      </c>
      <c r="S495" t="s">
        <v>3</v>
      </c>
      <c r="T495">
        <v>75538.710000000006</v>
      </c>
      <c r="U495" t="s">
        <v>1446</v>
      </c>
      <c r="V495" t="s">
        <v>1447</v>
      </c>
      <c r="W495">
        <v>4.1500000000000004</v>
      </c>
    </row>
    <row r="496" spans="1:23">
      <c r="A496" t="str">
        <f>"002030"</f>
        <v>002030</v>
      </c>
      <c r="B496" t="s">
        <v>1448</v>
      </c>
      <c r="C496">
        <v>23.9</v>
      </c>
      <c r="D496">
        <v>24.24</v>
      </c>
      <c r="E496">
        <v>23.71</v>
      </c>
      <c r="F496">
        <v>23.99</v>
      </c>
      <c r="G496">
        <v>210261</v>
      </c>
      <c r="H496">
        <v>503849632</v>
      </c>
      <c r="I496">
        <v>1.1499999999999999</v>
      </c>
      <c r="J496" t="s">
        <v>11</v>
      </c>
      <c r="K496" t="s">
        <v>211</v>
      </c>
      <c r="L496">
        <v>0.28999999999999998</v>
      </c>
      <c r="M496">
        <v>23.96</v>
      </c>
      <c r="N496">
        <v>107112</v>
      </c>
      <c r="O496">
        <v>103149</v>
      </c>
      <c r="P496">
        <v>1.04</v>
      </c>
      <c r="Q496">
        <v>1028</v>
      </c>
      <c r="R496">
        <v>283</v>
      </c>
      <c r="S496" t="s">
        <v>3</v>
      </c>
      <c r="T496">
        <v>52603.53</v>
      </c>
      <c r="U496" t="s">
        <v>1449</v>
      </c>
      <c r="V496" t="s">
        <v>1450</v>
      </c>
      <c r="W496">
        <v>0.45</v>
      </c>
    </row>
    <row r="497" spans="1:23">
      <c r="A497" t="str">
        <f>"002031"</f>
        <v>002031</v>
      </c>
      <c r="B497" t="s">
        <v>1451</v>
      </c>
      <c r="C497">
        <v>8.91</v>
      </c>
      <c r="D497">
        <v>9.17</v>
      </c>
      <c r="E497">
        <v>8.85</v>
      </c>
      <c r="F497">
        <v>9.1</v>
      </c>
      <c r="G497">
        <v>150576</v>
      </c>
      <c r="H497">
        <v>136396800</v>
      </c>
      <c r="I497">
        <v>1.46</v>
      </c>
      <c r="J497" t="s">
        <v>98</v>
      </c>
      <c r="K497" t="s">
        <v>211</v>
      </c>
      <c r="L497">
        <v>1.9</v>
      </c>
      <c r="M497">
        <v>9.06</v>
      </c>
      <c r="N497">
        <v>66162</v>
      </c>
      <c r="O497">
        <v>84414</v>
      </c>
      <c r="P497">
        <v>0.78</v>
      </c>
      <c r="Q497">
        <v>359</v>
      </c>
      <c r="R497">
        <v>643</v>
      </c>
      <c r="S497" t="s">
        <v>3</v>
      </c>
      <c r="T497">
        <v>40972.19</v>
      </c>
      <c r="U497" t="s">
        <v>1452</v>
      </c>
      <c r="V497" t="s">
        <v>1453</v>
      </c>
      <c r="W497">
        <v>2.06</v>
      </c>
    </row>
    <row r="498" spans="1:23">
      <c r="A498" t="str">
        <f>"002032"</f>
        <v>002032</v>
      </c>
      <c r="B498" t="s">
        <v>1454</v>
      </c>
      <c r="C498">
        <v>15.95</v>
      </c>
      <c r="D498">
        <v>16.25</v>
      </c>
      <c r="E498">
        <v>15.7</v>
      </c>
      <c r="F498">
        <v>16.11</v>
      </c>
      <c r="G498">
        <v>18069</v>
      </c>
      <c r="H498">
        <v>28946678</v>
      </c>
      <c r="I498">
        <v>0.56999999999999995</v>
      </c>
      <c r="J498" t="s">
        <v>47</v>
      </c>
      <c r="K498" t="s">
        <v>229</v>
      </c>
      <c r="L498">
        <v>1.07</v>
      </c>
      <c r="M498">
        <v>16.02</v>
      </c>
      <c r="N498">
        <v>8989</v>
      </c>
      <c r="O498">
        <v>9079</v>
      </c>
      <c r="P498">
        <v>0.99</v>
      </c>
      <c r="Q498">
        <v>15</v>
      </c>
      <c r="R498">
        <v>1236</v>
      </c>
      <c r="S498" t="s">
        <v>3</v>
      </c>
      <c r="T498">
        <v>33906.17</v>
      </c>
      <c r="U498" t="s">
        <v>1455</v>
      </c>
      <c r="V498" t="s">
        <v>1456</v>
      </c>
      <c r="W498">
        <v>1.22</v>
      </c>
    </row>
    <row r="499" spans="1:23">
      <c r="A499" t="str">
        <f>"002033"</f>
        <v>002033</v>
      </c>
      <c r="B499" t="s">
        <v>1457</v>
      </c>
      <c r="C499">
        <v>14.24</v>
      </c>
      <c r="D499">
        <v>14.46</v>
      </c>
      <c r="E499">
        <v>14.17</v>
      </c>
      <c r="F499">
        <v>14.3</v>
      </c>
      <c r="G499">
        <v>59764</v>
      </c>
      <c r="H499">
        <v>85660080</v>
      </c>
      <c r="I499">
        <v>1.31</v>
      </c>
      <c r="J499" t="s">
        <v>185</v>
      </c>
      <c r="K499" t="s">
        <v>445</v>
      </c>
      <c r="L499">
        <v>0.49</v>
      </c>
      <c r="M499">
        <v>14.33</v>
      </c>
      <c r="N499">
        <v>26338</v>
      </c>
      <c r="O499">
        <v>33426</v>
      </c>
      <c r="P499">
        <v>0.79</v>
      </c>
      <c r="Q499">
        <v>631</v>
      </c>
      <c r="R499">
        <v>153</v>
      </c>
      <c r="S499" t="s">
        <v>3</v>
      </c>
      <c r="T499">
        <v>19658.59</v>
      </c>
      <c r="U499" t="s">
        <v>1458</v>
      </c>
      <c r="V499" t="s">
        <v>1459</v>
      </c>
      <c r="W499">
        <v>0.65</v>
      </c>
    </row>
    <row r="500" spans="1:23">
      <c r="A500" t="str">
        <f>"002034"</f>
        <v>002034</v>
      </c>
      <c r="B500" t="s">
        <v>1460</v>
      </c>
      <c r="C500">
        <v>19.399999999999999</v>
      </c>
      <c r="D500">
        <v>19.440000000000001</v>
      </c>
      <c r="E500">
        <v>18.78</v>
      </c>
      <c r="F500">
        <v>18.96</v>
      </c>
      <c r="G500">
        <v>15065</v>
      </c>
      <c r="H500">
        <v>28700930</v>
      </c>
      <c r="I500">
        <v>0.78</v>
      </c>
      <c r="J500" t="s">
        <v>55</v>
      </c>
      <c r="K500" t="s">
        <v>229</v>
      </c>
      <c r="L500">
        <v>-2.27</v>
      </c>
      <c r="M500">
        <v>19.05</v>
      </c>
      <c r="N500">
        <v>9061</v>
      </c>
      <c r="O500">
        <v>6003</v>
      </c>
      <c r="P500">
        <v>1.51</v>
      </c>
      <c r="Q500">
        <v>1</v>
      </c>
      <c r="R500">
        <v>30</v>
      </c>
      <c r="S500" t="s">
        <v>3</v>
      </c>
      <c r="T500">
        <v>6025.16</v>
      </c>
      <c r="U500" t="s">
        <v>1461</v>
      </c>
      <c r="V500" t="s">
        <v>1462</v>
      </c>
      <c r="W500">
        <v>-2.11</v>
      </c>
    </row>
    <row r="501" spans="1:23">
      <c r="A501" t="str">
        <f>"002035"</f>
        <v>002035</v>
      </c>
      <c r="B501" t="s">
        <v>1463</v>
      </c>
      <c r="C501">
        <v>11.83</v>
      </c>
      <c r="D501">
        <v>11.85</v>
      </c>
      <c r="E501">
        <v>11.64</v>
      </c>
      <c r="F501">
        <v>11.78</v>
      </c>
      <c r="G501">
        <v>54093</v>
      </c>
      <c r="H501">
        <v>63455372</v>
      </c>
      <c r="I501">
        <v>0.78</v>
      </c>
      <c r="J501" t="s">
        <v>47</v>
      </c>
      <c r="K501" t="s">
        <v>211</v>
      </c>
      <c r="L501">
        <v>-0.08</v>
      </c>
      <c r="M501">
        <v>11.73</v>
      </c>
      <c r="N501">
        <v>30945</v>
      </c>
      <c r="O501">
        <v>23147</v>
      </c>
      <c r="P501">
        <v>1.34</v>
      </c>
      <c r="Q501">
        <v>246</v>
      </c>
      <c r="R501">
        <v>144</v>
      </c>
      <c r="S501" t="s">
        <v>3</v>
      </c>
      <c r="T501">
        <v>28307.08</v>
      </c>
      <c r="U501" t="s">
        <v>1464</v>
      </c>
      <c r="V501" t="s">
        <v>1465</v>
      </c>
      <c r="W501">
        <v>7.0000000000000007E-2</v>
      </c>
    </row>
    <row r="502" spans="1:23">
      <c r="A502" t="str">
        <f>"002036"</f>
        <v>002036</v>
      </c>
      <c r="B502" t="s">
        <v>1466</v>
      </c>
      <c r="C502">
        <v>8.9600000000000009</v>
      </c>
      <c r="D502">
        <v>9.1999999999999993</v>
      </c>
      <c r="E502">
        <v>8.9</v>
      </c>
      <c r="F502">
        <v>9.15</v>
      </c>
      <c r="G502">
        <v>41049</v>
      </c>
      <c r="H502">
        <v>37303872</v>
      </c>
      <c r="I502">
        <v>0.91</v>
      </c>
      <c r="J502" t="s">
        <v>1373</v>
      </c>
      <c r="K502" t="s">
        <v>229</v>
      </c>
      <c r="L502">
        <v>2.0099999999999998</v>
      </c>
      <c r="M502">
        <v>9.09</v>
      </c>
      <c r="N502">
        <v>19031</v>
      </c>
      <c r="O502">
        <v>22017</v>
      </c>
      <c r="P502">
        <v>0.86</v>
      </c>
      <c r="Q502">
        <v>136</v>
      </c>
      <c r="R502">
        <v>75</v>
      </c>
      <c r="S502" t="s">
        <v>3</v>
      </c>
      <c r="T502">
        <v>19791.78</v>
      </c>
      <c r="U502" t="s">
        <v>1467</v>
      </c>
      <c r="V502" t="s">
        <v>1468</v>
      </c>
      <c r="W502">
        <v>2.17</v>
      </c>
    </row>
    <row r="503" spans="1:23">
      <c r="A503" t="str">
        <f>"002037"</f>
        <v>002037</v>
      </c>
      <c r="B503" t="s">
        <v>1469</v>
      </c>
      <c r="C503">
        <v>15.5</v>
      </c>
      <c r="D503">
        <v>15.5</v>
      </c>
      <c r="E503">
        <v>15.04</v>
      </c>
      <c r="F503">
        <v>15.13</v>
      </c>
      <c r="G503">
        <v>124365</v>
      </c>
      <c r="H503">
        <v>189619120</v>
      </c>
      <c r="I503">
        <v>0.86</v>
      </c>
      <c r="J503" t="s">
        <v>376</v>
      </c>
      <c r="K503" t="s">
        <v>452</v>
      </c>
      <c r="L503">
        <v>-2.83</v>
      </c>
      <c r="M503">
        <v>15.25</v>
      </c>
      <c r="N503">
        <v>73053</v>
      </c>
      <c r="O503">
        <v>51312</v>
      </c>
      <c r="P503">
        <v>1.42</v>
      </c>
      <c r="Q503">
        <v>532</v>
      </c>
      <c r="R503">
        <v>96</v>
      </c>
      <c r="S503" t="s">
        <v>3</v>
      </c>
      <c r="T503">
        <v>32736.82</v>
      </c>
      <c r="U503" t="s">
        <v>1470</v>
      </c>
      <c r="V503" t="s">
        <v>1470</v>
      </c>
      <c r="W503">
        <v>-2.67</v>
      </c>
    </row>
    <row r="504" spans="1:23">
      <c r="A504" t="str">
        <f>"002038"</f>
        <v>002038</v>
      </c>
      <c r="B504" t="s">
        <v>1471</v>
      </c>
      <c r="C504">
        <v>43.98</v>
      </c>
      <c r="D504">
        <v>43.98</v>
      </c>
      <c r="E504">
        <v>43.3</v>
      </c>
      <c r="F504">
        <v>43.62</v>
      </c>
      <c r="G504">
        <v>48518</v>
      </c>
      <c r="H504">
        <v>211392768</v>
      </c>
      <c r="I504">
        <v>0.74</v>
      </c>
      <c r="J504" t="s">
        <v>11</v>
      </c>
      <c r="K504" t="s">
        <v>34</v>
      </c>
      <c r="L504">
        <v>-0.5</v>
      </c>
      <c r="M504">
        <v>43.57</v>
      </c>
      <c r="N504">
        <v>26315</v>
      </c>
      <c r="O504">
        <v>22202</v>
      </c>
      <c r="P504">
        <v>1.19</v>
      </c>
      <c r="Q504">
        <v>266</v>
      </c>
      <c r="R504">
        <v>10</v>
      </c>
      <c r="S504" t="s">
        <v>3</v>
      </c>
      <c r="T504">
        <v>37746.550000000003</v>
      </c>
      <c r="U504" t="s">
        <v>1472</v>
      </c>
      <c r="V504" t="s">
        <v>1473</v>
      </c>
      <c r="W504">
        <v>-0.34</v>
      </c>
    </row>
    <row r="505" spans="1:23">
      <c r="A505" t="str">
        <f>"002039"</f>
        <v>002039</v>
      </c>
      <c r="B505" t="s">
        <v>1474</v>
      </c>
      <c r="C505">
        <v>11.11</v>
      </c>
      <c r="D505">
        <v>11.31</v>
      </c>
      <c r="E505">
        <v>11.02</v>
      </c>
      <c r="F505">
        <v>11.11</v>
      </c>
      <c r="G505">
        <v>34216</v>
      </c>
      <c r="H505">
        <v>38118232</v>
      </c>
      <c r="I505">
        <v>0.78</v>
      </c>
      <c r="J505" t="s">
        <v>852</v>
      </c>
      <c r="K505" t="s">
        <v>452</v>
      </c>
      <c r="L505">
        <v>0.18</v>
      </c>
      <c r="M505">
        <v>11.14</v>
      </c>
      <c r="N505">
        <v>18439</v>
      </c>
      <c r="O505">
        <v>15776</v>
      </c>
      <c r="P505">
        <v>1.17</v>
      </c>
      <c r="Q505">
        <v>212</v>
      </c>
      <c r="R505">
        <v>10</v>
      </c>
      <c r="S505" t="s">
        <v>3</v>
      </c>
      <c r="T505">
        <v>30537.52</v>
      </c>
      <c r="U505" t="s">
        <v>1475</v>
      </c>
      <c r="V505" t="s">
        <v>1475</v>
      </c>
      <c r="W505">
        <v>0.34</v>
      </c>
    </row>
    <row r="506" spans="1:23">
      <c r="A506" t="str">
        <f>"002040"</f>
        <v>002040</v>
      </c>
      <c r="B506" t="s">
        <v>1476</v>
      </c>
      <c r="C506">
        <v>9.0500000000000007</v>
      </c>
      <c r="D506">
        <v>9.58</v>
      </c>
      <c r="E506">
        <v>8.9700000000000006</v>
      </c>
      <c r="F506">
        <v>9.3000000000000007</v>
      </c>
      <c r="G506">
        <v>137876</v>
      </c>
      <c r="H506">
        <v>128510696</v>
      </c>
      <c r="I506">
        <v>1.19</v>
      </c>
      <c r="J506" t="s">
        <v>70</v>
      </c>
      <c r="K506" t="s">
        <v>244</v>
      </c>
      <c r="L506">
        <v>2.54</v>
      </c>
      <c r="M506">
        <v>9.32</v>
      </c>
      <c r="N506">
        <v>65171</v>
      </c>
      <c r="O506">
        <v>72705</v>
      </c>
      <c r="P506">
        <v>0.9</v>
      </c>
      <c r="Q506">
        <v>53</v>
      </c>
      <c r="R506">
        <v>613</v>
      </c>
      <c r="S506" t="s">
        <v>3</v>
      </c>
      <c r="T506">
        <v>24587.19</v>
      </c>
      <c r="U506" t="s">
        <v>1477</v>
      </c>
      <c r="V506" t="s">
        <v>1477</v>
      </c>
      <c r="W506">
        <v>2.69</v>
      </c>
    </row>
    <row r="507" spans="1:23">
      <c r="A507" t="str">
        <f>"002041"</f>
        <v>002041</v>
      </c>
      <c r="B507" t="s">
        <v>1478</v>
      </c>
      <c r="C507">
        <v>32.229999999999997</v>
      </c>
      <c r="D507">
        <v>32.369999999999997</v>
      </c>
      <c r="E507">
        <v>31.6</v>
      </c>
      <c r="F507">
        <v>31.88</v>
      </c>
      <c r="G507">
        <v>32209</v>
      </c>
      <c r="H507">
        <v>102616848</v>
      </c>
      <c r="I507">
        <v>1.05</v>
      </c>
      <c r="J507" t="s">
        <v>829</v>
      </c>
      <c r="K507" t="s">
        <v>250</v>
      </c>
      <c r="L507">
        <v>-1.06</v>
      </c>
      <c r="M507">
        <v>31.86</v>
      </c>
      <c r="N507">
        <v>16768</v>
      </c>
      <c r="O507">
        <v>15440</v>
      </c>
      <c r="P507">
        <v>1.0900000000000001</v>
      </c>
      <c r="Q507">
        <v>99</v>
      </c>
      <c r="R507">
        <v>72</v>
      </c>
      <c r="S507" t="s">
        <v>3</v>
      </c>
      <c r="T507">
        <v>32943.82</v>
      </c>
      <c r="U507" t="s">
        <v>1479</v>
      </c>
      <c r="V507" t="s">
        <v>1480</v>
      </c>
      <c r="W507">
        <v>-0.9</v>
      </c>
    </row>
    <row r="508" spans="1:23">
      <c r="A508" t="str">
        <f>"002042"</f>
        <v>002042</v>
      </c>
      <c r="B508" t="s">
        <v>1481</v>
      </c>
      <c r="C508">
        <v>4.4800000000000004</v>
      </c>
      <c r="D508">
        <v>4.54</v>
      </c>
      <c r="E508">
        <v>4.45</v>
      </c>
      <c r="F508">
        <v>4.54</v>
      </c>
      <c r="G508">
        <v>94411</v>
      </c>
      <c r="H508">
        <v>42434964</v>
      </c>
      <c r="I508">
        <v>1.03</v>
      </c>
      <c r="J508" t="s">
        <v>55</v>
      </c>
      <c r="K508" t="s">
        <v>220</v>
      </c>
      <c r="L508">
        <v>1.1100000000000001</v>
      </c>
      <c r="M508">
        <v>4.49</v>
      </c>
      <c r="N508">
        <v>40013</v>
      </c>
      <c r="O508">
        <v>54397</v>
      </c>
      <c r="P508">
        <v>0.74</v>
      </c>
      <c r="Q508">
        <v>2020</v>
      </c>
      <c r="R508">
        <v>3301</v>
      </c>
      <c r="S508" t="s">
        <v>3</v>
      </c>
      <c r="T508">
        <v>82998.720000000001</v>
      </c>
      <c r="U508" t="s">
        <v>1482</v>
      </c>
      <c r="V508" t="s">
        <v>1483</v>
      </c>
      <c r="W508">
        <v>1.27</v>
      </c>
    </row>
    <row r="509" spans="1:23">
      <c r="A509" t="str">
        <f>"002043"</f>
        <v>002043</v>
      </c>
      <c r="B509" t="s">
        <v>1484</v>
      </c>
      <c r="C509">
        <v>5.47</v>
      </c>
      <c r="D509">
        <v>5.57</v>
      </c>
      <c r="E509">
        <v>5.4</v>
      </c>
      <c r="F509">
        <v>5.52</v>
      </c>
      <c r="G509">
        <v>173577</v>
      </c>
      <c r="H509">
        <v>95454864</v>
      </c>
      <c r="I509">
        <v>0.68</v>
      </c>
      <c r="J509" t="s">
        <v>150</v>
      </c>
      <c r="K509" t="s">
        <v>229</v>
      </c>
      <c r="L509">
        <v>0.73</v>
      </c>
      <c r="M509">
        <v>5.5</v>
      </c>
      <c r="N509">
        <v>83717</v>
      </c>
      <c r="O509">
        <v>89860</v>
      </c>
      <c r="P509">
        <v>0.93</v>
      </c>
      <c r="Q509">
        <v>612</v>
      </c>
      <c r="R509">
        <v>2000</v>
      </c>
      <c r="S509" t="s">
        <v>3</v>
      </c>
      <c r="T509">
        <v>46568.1</v>
      </c>
      <c r="U509" t="s">
        <v>1485</v>
      </c>
      <c r="V509" t="s">
        <v>1486</v>
      </c>
      <c r="W509">
        <v>0.89</v>
      </c>
    </row>
    <row r="510" spans="1:23">
      <c r="A510" t="str">
        <f>"002044"</f>
        <v>002044</v>
      </c>
      <c r="B510" t="s">
        <v>1487</v>
      </c>
      <c r="C510">
        <v>8.51</v>
      </c>
      <c r="D510">
        <v>8.61</v>
      </c>
      <c r="E510">
        <v>8.2899999999999991</v>
      </c>
      <c r="F510">
        <v>8.39</v>
      </c>
      <c r="G510">
        <v>70631</v>
      </c>
      <c r="H510">
        <v>59569880</v>
      </c>
      <c r="I510">
        <v>0.68</v>
      </c>
      <c r="J510" t="s">
        <v>1373</v>
      </c>
      <c r="K510" t="s">
        <v>244</v>
      </c>
      <c r="L510">
        <v>-0.47</v>
      </c>
      <c r="M510">
        <v>8.43</v>
      </c>
      <c r="N510">
        <v>41291</v>
      </c>
      <c r="O510">
        <v>29340</v>
      </c>
      <c r="P510">
        <v>1.41</v>
      </c>
      <c r="Q510">
        <v>90</v>
      </c>
      <c r="R510">
        <v>267</v>
      </c>
      <c r="S510" t="s">
        <v>3</v>
      </c>
      <c r="T510">
        <v>22410</v>
      </c>
      <c r="U510" t="s">
        <v>1488</v>
      </c>
      <c r="V510" t="s">
        <v>1489</v>
      </c>
      <c r="W510">
        <v>-0.32</v>
      </c>
    </row>
    <row r="511" spans="1:23">
      <c r="A511" t="str">
        <f>"002045"</f>
        <v>002045</v>
      </c>
      <c r="B511" t="s">
        <v>1490</v>
      </c>
      <c r="C511">
        <v>6.73</v>
      </c>
      <c r="D511">
        <v>6.89</v>
      </c>
      <c r="E511">
        <v>6.71</v>
      </c>
      <c r="F511">
        <v>6.82</v>
      </c>
      <c r="G511">
        <v>98430</v>
      </c>
      <c r="H511">
        <v>67050596</v>
      </c>
      <c r="I511">
        <v>1.21</v>
      </c>
      <c r="J511" t="s">
        <v>62</v>
      </c>
      <c r="K511" t="s">
        <v>211</v>
      </c>
      <c r="L511">
        <v>1.19</v>
      </c>
      <c r="M511">
        <v>6.81</v>
      </c>
      <c r="N511">
        <v>48594</v>
      </c>
      <c r="O511">
        <v>49836</v>
      </c>
      <c r="P511">
        <v>0.98</v>
      </c>
      <c r="Q511">
        <v>784</v>
      </c>
      <c r="R511">
        <v>81</v>
      </c>
      <c r="S511" t="s">
        <v>3</v>
      </c>
      <c r="T511">
        <v>35962.26</v>
      </c>
      <c r="U511" t="s">
        <v>1491</v>
      </c>
      <c r="V511" t="s">
        <v>1492</v>
      </c>
      <c r="W511">
        <v>1.35</v>
      </c>
    </row>
    <row r="512" spans="1:23">
      <c r="A512" t="str">
        <f>"002046"</f>
        <v>002046</v>
      </c>
      <c r="B512" t="s">
        <v>1493</v>
      </c>
      <c r="C512">
        <v>9.11</v>
      </c>
      <c r="D512">
        <v>9.35</v>
      </c>
      <c r="E512">
        <v>8.93</v>
      </c>
      <c r="F512">
        <v>9.27</v>
      </c>
      <c r="G512">
        <v>168143</v>
      </c>
      <c r="H512">
        <v>154278832</v>
      </c>
      <c r="I512">
        <v>1.28</v>
      </c>
      <c r="J512" t="s">
        <v>398</v>
      </c>
      <c r="K512" t="s">
        <v>254</v>
      </c>
      <c r="L512">
        <v>2.3199999999999998</v>
      </c>
      <c r="M512">
        <v>9.18</v>
      </c>
      <c r="N512">
        <v>73919</v>
      </c>
      <c r="O512">
        <v>94223</v>
      </c>
      <c r="P512">
        <v>0.78</v>
      </c>
      <c r="Q512">
        <v>46</v>
      </c>
      <c r="R512">
        <v>612</v>
      </c>
      <c r="S512" t="s">
        <v>3</v>
      </c>
      <c r="T512">
        <v>34056.6</v>
      </c>
      <c r="U512" t="s">
        <v>1494</v>
      </c>
      <c r="V512" t="s">
        <v>1494</v>
      </c>
      <c r="W512">
        <v>2.48</v>
      </c>
    </row>
    <row r="513" spans="1:23">
      <c r="A513" t="str">
        <f>"002047"</f>
        <v>002047</v>
      </c>
      <c r="B513" t="s">
        <v>1495</v>
      </c>
      <c r="C513" t="s">
        <v>3</v>
      </c>
      <c r="D513" t="s">
        <v>3</v>
      </c>
      <c r="E513" t="s">
        <v>3</v>
      </c>
      <c r="F513">
        <v>0</v>
      </c>
      <c r="G513">
        <v>0</v>
      </c>
      <c r="H513">
        <v>0</v>
      </c>
      <c r="I513">
        <v>0</v>
      </c>
      <c r="J513" t="s">
        <v>1496</v>
      </c>
      <c r="K513" t="s">
        <v>2</v>
      </c>
      <c r="L513" t="s">
        <v>3</v>
      </c>
      <c r="M513">
        <v>4.97</v>
      </c>
      <c r="N513">
        <v>0</v>
      </c>
      <c r="O513">
        <v>0</v>
      </c>
      <c r="P513" t="s">
        <v>3</v>
      </c>
      <c r="Q513">
        <v>0</v>
      </c>
      <c r="R513">
        <v>0</v>
      </c>
      <c r="S513" t="s">
        <v>3</v>
      </c>
      <c r="T513">
        <v>34604.21</v>
      </c>
      <c r="U513" t="s">
        <v>629</v>
      </c>
      <c r="V513" t="s">
        <v>1497</v>
      </c>
      <c r="W513">
        <v>0.16</v>
      </c>
    </row>
    <row r="514" spans="1:23">
      <c r="A514" t="str">
        <f>"002048"</f>
        <v>002048</v>
      </c>
      <c r="B514" t="s">
        <v>1498</v>
      </c>
      <c r="C514">
        <v>16.72</v>
      </c>
      <c r="D514">
        <v>16.899999999999999</v>
      </c>
      <c r="E514">
        <v>16.55</v>
      </c>
      <c r="F514">
        <v>16.739999999999998</v>
      </c>
      <c r="G514">
        <v>46362</v>
      </c>
      <c r="H514">
        <v>77547376</v>
      </c>
      <c r="I514">
        <v>0.63</v>
      </c>
      <c r="J514" t="s">
        <v>98</v>
      </c>
      <c r="K514" t="s">
        <v>229</v>
      </c>
      <c r="L514">
        <v>0.24</v>
      </c>
      <c r="M514">
        <v>16.73</v>
      </c>
      <c r="N514">
        <v>21293</v>
      </c>
      <c r="O514">
        <v>25069</v>
      </c>
      <c r="P514">
        <v>0.85</v>
      </c>
      <c r="Q514">
        <v>44</v>
      </c>
      <c r="R514">
        <v>92</v>
      </c>
      <c r="S514" t="s">
        <v>3</v>
      </c>
      <c r="T514">
        <v>46002.080000000002</v>
      </c>
      <c r="U514" t="s">
        <v>1499</v>
      </c>
      <c r="V514" t="s">
        <v>1500</v>
      </c>
      <c r="W514">
        <v>0.4</v>
      </c>
    </row>
    <row r="515" spans="1:23">
      <c r="A515" t="str">
        <f>"002049"</f>
        <v>002049</v>
      </c>
      <c r="B515" t="s">
        <v>1501</v>
      </c>
      <c r="C515">
        <v>30.22</v>
      </c>
      <c r="D515">
        <v>30.67</v>
      </c>
      <c r="E515">
        <v>30.05</v>
      </c>
      <c r="F515">
        <v>30.54</v>
      </c>
      <c r="G515">
        <v>68860</v>
      </c>
      <c r="H515">
        <v>208584960</v>
      </c>
      <c r="I515">
        <v>0.74</v>
      </c>
      <c r="J515" t="s">
        <v>62</v>
      </c>
      <c r="K515" t="s">
        <v>238</v>
      </c>
      <c r="L515">
        <v>-0.49</v>
      </c>
      <c r="M515">
        <v>30.29</v>
      </c>
      <c r="N515">
        <v>38646</v>
      </c>
      <c r="O515">
        <v>30214</v>
      </c>
      <c r="P515">
        <v>1.28</v>
      </c>
      <c r="Q515">
        <v>83</v>
      </c>
      <c r="R515">
        <v>3</v>
      </c>
      <c r="S515" t="s">
        <v>3</v>
      </c>
      <c r="T515">
        <v>21275.39</v>
      </c>
      <c r="U515" t="s">
        <v>1502</v>
      </c>
      <c r="V515" t="s">
        <v>1503</v>
      </c>
      <c r="W515">
        <v>-0.33</v>
      </c>
    </row>
    <row r="516" spans="1:23">
      <c r="A516" t="str">
        <f>"002050"</f>
        <v>002050</v>
      </c>
      <c r="B516" t="s">
        <v>1504</v>
      </c>
      <c r="C516">
        <v>14.75</v>
      </c>
      <c r="D516">
        <v>14.85</v>
      </c>
      <c r="E516">
        <v>14.6</v>
      </c>
      <c r="F516">
        <v>14.76</v>
      </c>
      <c r="G516">
        <v>47758</v>
      </c>
      <c r="H516">
        <v>70274816</v>
      </c>
      <c r="I516">
        <v>0.83</v>
      </c>
      <c r="J516" t="s">
        <v>398</v>
      </c>
      <c r="K516" t="s">
        <v>229</v>
      </c>
      <c r="L516">
        <v>1.1000000000000001</v>
      </c>
      <c r="M516">
        <v>14.71</v>
      </c>
      <c r="N516">
        <v>27197</v>
      </c>
      <c r="O516">
        <v>20560</v>
      </c>
      <c r="P516">
        <v>1.32</v>
      </c>
      <c r="Q516">
        <v>148</v>
      </c>
      <c r="R516">
        <v>527</v>
      </c>
      <c r="S516" t="s">
        <v>3</v>
      </c>
      <c r="T516">
        <v>75871.92</v>
      </c>
      <c r="U516" t="s">
        <v>1505</v>
      </c>
      <c r="V516" t="s">
        <v>1506</v>
      </c>
      <c r="W516">
        <v>1.25</v>
      </c>
    </row>
    <row r="517" spans="1:23">
      <c r="A517" t="str">
        <f>"002051"</f>
        <v>002051</v>
      </c>
      <c r="B517" t="s">
        <v>1507</v>
      </c>
      <c r="C517">
        <v>18.48</v>
      </c>
      <c r="D517">
        <v>18.850000000000001</v>
      </c>
      <c r="E517">
        <v>18.399999999999999</v>
      </c>
      <c r="F517">
        <v>18.79</v>
      </c>
      <c r="G517">
        <v>75784</v>
      </c>
      <c r="H517">
        <v>141138048</v>
      </c>
      <c r="I517">
        <v>2</v>
      </c>
      <c r="J517" t="s">
        <v>33</v>
      </c>
      <c r="K517" t="s">
        <v>34</v>
      </c>
      <c r="L517">
        <v>1.9</v>
      </c>
      <c r="M517">
        <v>18.62</v>
      </c>
      <c r="N517">
        <v>24055</v>
      </c>
      <c r="O517">
        <v>51729</v>
      </c>
      <c r="P517">
        <v>0.47</v>
      </c>
      <c r="Q517">
        <v>262</v>
      </c>
      <c r="R517">
        <v>181</v>
      </c>
      <c r="S517" t="s">
        <v>3</v>
      </c>
      <c r="T517">
        <v>76414.59</v>
      </c>
      <c r="U517" t="s">
        <v>1508</v>
      </c>
      <c r="V517" t="s">
        <v>1509</v>
      </c>
      <c r="W517">
        <v>2.06</v>
      </c>
    </row>
    <row r="518" spans="1:23">
      <c r="A518" t="str">
        <f>"002052"</f>
        <v>002052</v>
      </c>
      <c r="B518" t="s">
        <v>1510</v>
      </c>
      <c r="C518">
        <v>10.45</v>
      </c>
      <c r="D518">
        <v>10.88</v>
      </c>
      <c r="E518">
        <v>10.24</v>
      </c>
      <c r="F518">
        <v>10.74</v>
      </c>
      <c r="G518">
        <v>499378</v>
      </c>
      <c r="H518">
        <v>528545504</v>
      </c>
      <c r="I518">
        <v>1.26</v>
      </c>
      <c r="J518" t="s">
        <v>112</v>
      </c>
      <c r="K518" t="s">
        <v>2</v>
      </c>
      <c r="L518">
        <v>1.1299999999999999</v>
      </c>
      <c r="M518">
        <v>10.58</v>
      </c>
      <c r="N518">
        <v>248571</v>
      </c>
      <c r="O518">
        <v>250806</v>
      </c>
      <c r="P518">
        <v>0.99</v>
      </c>
      <c r="Q518">
        <v>520</v>
      </c>
      <c r="R518">
        <v>394</v>
      </c>
      <c r="S518" t="s">
        <v>3</v>
      </c>
      <c r="T518">
        <v>51878.6</v>
      </c>
      <c r="U518" t="s">
        <v>1511</v>
      </c>
      <c r="V518" t="s">
        <v>1512</v>
      </c>
      <c r="W518">
        <v>1.29</v>
      </c>
    </row>
    <row r="519" spans="1:23">
      <c r="A519" t="str">
        <f>"002053"</f>
        <v>002053</v>
      </c>
      <c r="B519" t="s">
        <v>1513</v>
      </c>
      <c r="C519" t="s">
        <v>3</v>
      </c>
      <c r="D519" t="s">
        <v>3</v>
      </c>
      <c r="E519" t="s">
        <v>3</v>
      </c>
      <c r="F519">
        <v>0</v>
      </c>
      <c r="G519">
        <v>0</v>
      </c>
      <c r="H519">
        <v>0</v>
      </c>
      <c r="I519">
        <v>0</v>
      </c>
      <c r="J519" t="s">
        <v>376</v>
      </c>
      <c r="K519" t="s">
        <v>445</v>
      </c>
      <c r="L519" t="s">
        <v>3</v>
      </c>
      <c r="M519">
        <v>10.94</v>
      </c>
      <c r="N519">
        <v>0</v>
      </c>
      <c r="O519">
        <v>0</v>
      </c>
      <c r="P519" t="s">
        <v>3</v>
      </c>
      <c r="Q519">
        <v>0</v>
      </c>
      <c r="R519">
        <v>0</v>
      </c>
      <c r="S519" t="s">
        <v>3</v>
      </c>
      <c r="T519">
        <v>18585.099999999999</v>
      </c>
      <c r="U519" t="s">
        <v>523</v>
      </c>
      <c r="V519" t="s">
        <v>523</v>
      </c>
      <c r="W519">
        <v>0.16</v>
      </c>
    </row>
    <row r="520" spans="1:23">
      <c r="A520" t="str">
        <f>"002054"</f>
        <v>002054</v>
      </c>
      <c r="B520" t="s">
        <v>1514</v>
      </c>
      <c r="C520">
        <v>8.2799999999999994</v>
      </c>
      <c r="D520">
        <v>8.34</v>
      </c>
      <c r="E520">
        <v>8.2100000000000009</v>
      </c>
      <c r="F520">
        <v>8.26</v>
      </c>
      <c r="G520">
        <v>35274</v>
      </c>
      <c r="H520">
        <v>29162662</v>
      </c>
      <c r="I520">
        <v>0.97</v>
      </c>
      <c r="J520" t="s">
        <v>376</v>
      </c>
      <c r="K520" t="s">
        <v>211</v>
      </c>
      <c r="L520">
        <v>0.36</v>
      </c>
      <c r="M520">
        <v>8.27</v>
      </c>
      <c r="N520">
        <v>13866</v>
      </c>
      <c r="O520">
        <v>21407</v>
      </c>
      <c r="P520">
        <v>0.65</v>
      </c>
      <c r="Q520">
        <v>116</v>
      </c>
      <c r="R520">
        <v>240</v>
      </c>
      <c r="S520" t="s">
        <v>3</v>
      </c>
      <c r="T520">
        <v>24029.83</v>
      </c>
      <c r="U520" t="s">
        <v>1515</v>
      </c>
      <c r="V520" t="s">
        <v>1516</v>
      </c>
      <c r="W520">
        <v>0.52</v>
      </c>
    </row>
    <row r="521" spans="1:23">
      <c r="A521" t="str">
        <f>"002055"</f>
        <v>002055</v>
      </c>
      <c r="B521" t="s">
        <v>1517</v>
      </c>
      <c r="C521">
        <v>11.86</v>
      </c>
      <c r="D521">
        <v>12.2</v>
      </c>
      <c r="E521">
        <v>11.66</v>
      </c>
      <c r="F521">
        <v>12.05</v>
      </c>
      <c r="G521">
        <v>129982</v>
      </c>
      <c r="H521">
        <v>155022288</v>
      </c>
      <c r="I521">
        <v>0.76</v>
      </c>
      <c r="J521" t="s">
        <v>62</v>
      </c>
      <c r="K521" t="s">
        <v>2</v>
      </c>
      <c r="L521">
        <v>0.92</v>
      </c>
      <c r="M521">
        <v>11.93</v>
      </c>
      <c r="N521">
        <v>60839</v>
      </c>
      <c r="O521">
        <v>69143</v>
      </c>
      <c r="P521">
        <v>0.88</v>
      </c>
      <c r="Q521">
        <v>52</v>
      </c>
      <c r="R521">
        <v>429</v>
      </c>
      <c r="S521" t="s">
        <v>3</v>
      </c>
      <c r="T521">
        <v>40294.92</v>
      </c>
      <c r="U521" t="s">
        <v>1518</v>
      </c>
      <c r="V521" t="s">
        <v>1519</v>
      </c>
      <c r="W521">
        <v>1.08</v>
      </c>
    </row>
    <row r="522" spans="1:23">
      <c r="A522" t="str">
        <f>"002056"</f>
        <v>002056</v>
      </c>
      <c r="B522" t="s">
        <v>1520</v>
      </c>
      <c r="C522">
        <v>22.25</v>
      </c>
      <c r="D522">
        <v>22.48</v>
      </c>
      <c r="E522">
        <v>22.03</v>
      </c>
      <c r="F522">
        <v>22.24</v>
      </c>
      <c r="G522">
        <v>82539</v>
      </c>
      <c r="H522">
        <v>183841808</v>
      </c>
      <c r="I522">
        <v>0.77</v>
      </c>
      <c r="J522" t="s">
        <v>62</v>
      </c>
      <c r="K522" t="s">
        <v>229</v>
      </c>
      <c r="L522">
        <v>-0.18</v>
      </c>
      <c r="M522">
        <v>22.27</v>
      </c>
      <c r="N522">
        <v>43733</v>
      </c>
      <c r="O522">
        <v>38806</v>
      </c>
      <c r="P522">
        <v>1.1299999999999999</v>
      </c>
      <c r="Q522">
        <v>390</v>
      </c>
      <c r="R522">
        <v>33</v>
      </c>
      <c r="S522" t="s">
        <v>3</v>
      </c>
      <c r="T522">
        <v>41081.51</v>
      </c>
      <c r="U522" t="s">
        <v>1300</v>
      </c>
      <c r="V522" t="s">
        <v>1521</v>
      </c>
      <c r="W522">
        <v>-0.02</v>
      </c>
    </row>
    <row r="523" spans="1:23">
      <c r="A523" t="str">
        <f>"002057"</f>
        <v>002057</v>
      </c>
      <c r="B523" t="s">
        <v>1522</v>
      </c>
      <c r="C523">
        <v>11.3</v>
      </c>
      <c r="D523">
        <v>11.34</v>
      </c>
      <c r="E523">
        <v>10.98</v>
      </c>
      <c r="F523">
        <v>11.17</v>
      </c>
      <c r="G523">
        <v>101831</v>
      </c>
      <c r="H523">
        <v>112994064</v>
      </c>
      <c r="I523">
        <v>1.17</v>
      </c>
      <c r="J523" t="s">
        <v>62</v>
      </c>
      <c r="K523" t="s">
        <v>220</v>
      </c>
      <c r="L523">
        <v>-1.06</v>
      </c>
      <c r="M523">
        <v>11.1</v>
      </c>
      <c r="N523">
        <v>55055</v>
      </c>
      <c r="O523">
        <v>46776</v>
      </c>
      <c r="P523">
        <v>1.18</v>
      </c>
      <c r="Q523">
        <v>443</v>
      </c>
      <c r="R523">
        <v>87</v>
      </c>
      <c r="S523" t="s">
        <v>3</v>
      </c>
      <c r="T523">
        <v>18839.03</v>
      </c>
      <c r="U523" t="s">
        <v>1523</v>
      </c>
      <c r="V523" t="s">
        <v>1524</v>
      </c>
      <c r="W523">
        <v>-0.9</v>
      </c>
    </row>
    <row r="524" spans="1:23">
      <c r="A524" t="str">
        <f>"002058"</f>
        <v>002058</v>
      </c>
      <c r="B524" t="s">
        <v>1525</v>
      </c>
      <c r="C524">
        <v>12.13</v>
      </c>
      <c r="D524">
        <v>12.42</v>
      </c>
      <c r="E524">
        <v>11.93</v>
      </c>
      <c r="F524">
        <v>12.33</v>
      </c>
      <c r="G524">
        <v>42412</v>
      </c>
      <c r="H524">
        <v>51930824</v>
      </c>
      <c r="I524">
        <v>1.1499999999999999</v>
      </c>
      <c r="J524" t="s">
        <v>617</v>
      </c>
      <c r="K524" t="s">
        <v>727</v>
      </c>
      <c r="L524">
        <v>1.65</v>
      </c>
      <c r="M524">
        <v>12.24</v>
      </c>
      <c r="N524">
        <v>16982</v>
      </c>
      <c r="O524">
        <v>25430</v>
      </c>
      <c r="P524">
        <v>0.67</v>
      </c>
      <c r="Q524">
        <v>226</v>
      </c>
      <c r="R524">
        <v>396</v>
      </c>
      <c r="S524" t="s">
        <v>3</v>
      </c>
      <c r="T524">
        <v>14330.19</v>
      </c>
      <c r="U524" t="s">
        <v>1526</v>
      </c>
      <c r="V524" t="s">
        <v>1527</v>
      </c>
      <c r="W524">
        <v>1.81</v>
      </c>
    </row>
    <row r="525" spans="1:23">
      <c r="A525" t="str">
        <f>"002059"</f>
        <v>002059</v>
      </c>
      <c r="B525" t="s">
        <v>1528</v>
      </c>
      <c r="C525">
        <v>10</v>
      </c>
      <c r="D525">
        <v>10.15</v>
      </c>
      <c r="E525">
        <v>9.86</v>
      </c>
      <c r="F525">
        <v>10.050000000000001</v>
      </c>
      <c r="G525">
        <v>24519</v>
      </c>
      <c r="H525">
        <v>24557090</v>
      </c>
      <c r="I525">
        <v>0.97</v>
      </c>
      <c r="J525" t="s">
        <v>185</v>
      </c>
      <c r="K525" t="s">
        <v>445</v>
      </c>
      <c r="L525">
        <v>0.6</v>
      </c>
      <c r="M525">
        <v>10.02</v>
      </c>
      <c r="N525">
        <v>12966</v>
      </c>
      <c r="O525">
        <v>11553</v>
      </c>
      <c r="P525">
        <v>1.1200000000000001</v>
      </c>
      <c r="Q525">
        <v>412</v>
      </c>
      <c r="R525">
        <v>250</v>
      </c>
      <c r="S525" t="s">
        <v>3</v>
      </c>
      <c r="T525">
        <v>21500</v>
      </c>
      <c r="U525" t="s">
        <v>1529</v>
      </c>
      <c r="V525" t="s">
        <v>1530</v>
      </c>
      <c r="W525">
        <v>0.76</v>
      </c>
    </row>
    <row r="526" spans="1:23">
      <c r="A526" t="str">
        <f>"002060"</f>
        <v>002060</v>
      </c>
      <c r="B526" t="s">
        <v>1531</v>
      </c>
      <c r="C526">
        <v>6.7</v>
      </c>
      <c r="D526">
        <v>6.74</v>
      </c>
      <c r="E526">
        <v>6.63</v>
      </c>
      <c r="F526">
        <v>6.7</v>
      </c>
      <c r="G526">
        <v>108321</v>
      </c>
      <c r="H526">
        <v>72454568</v>
      </c>
      <c r="I526">
        <v>1.22</v>
      </c>
      <c r="J526" t="s">
        <v>33</v>
      </c>
      <c r="K526" t="s">
        <v>211</v>
      </c>
      <c r="L526">
        <v>0.45</v>
      </c>
      <c r="M526">
        <v>6.69</v>
      </c>
      <c r="N526">
        <v>54613</v>
      </c>
      <c r="O526">
        <v>53708</v>
      </c>
      <c r="P526">
        <v>1.02</v>
      </c>
      <c r="Q526">
        <v>944</v>
      </c>
      <c r="R526">
        <v>2630</v>
      </c>
      <c r="S526" t="s">
        <v>3</v>
      </c>
      <c r="T526">
        <v>60103.19</v>
      </c>
      <c r="U526" t="s">
        <v>1532</v>
      </c>
      <c r="V526" t="s">
        <v>1533</v>
      </c>
      <c r="W526">
        <v>0.61</v>
      </c>
    </row>
    <row r="527" spans="1:23">
      <c r="A527" t="str">
        <f>"002061"</f>
        <v>002061</v>
      </c>
      <c r="B527" t="s">
        <v>1534</v>
      </c>
      <c r="C527">
        <v>4.59</v>
      </c>
      <c r="D527">
        <v>4.6500000000000004</v>
      </c>
      <c r="E527">
        <v>4.47</v>
      </c>
      <c r="F527">
        <v>4.58</v>
      </c>
      <c r="G527">
        <v>88369</v>
      </c>
      <c r="H527">
        <v>40259096</v>
      </c>
      <c r="I527">
        <v>0.68</v>
      </c>
      <c r="J527" t="s">
        <v>376</v>
      </c>
      <c r="K527" t="s">
        <v>229</v>
      </c>
      <c r="L527">
        <v>-0.22</v>
      </c>
      <c r="M527">
        <v>4.5599999999999996</v>
      </c>
      <c r="N527">
        <v>46254</v>
      </c>
      <c r="O527">
        <v>42114</v>
      </c>
      <c r="P527">
        <v>1.1000000000000001</v>
      </c>
      <c r="Q527">
        <v>469</v>
      </c>
      <c r="R527">
        <v>821</v>
      </c>
      <c r="S527" t="s">
        <v>3</v>
      </c>
      <c r="T527">
        <v>40887.760000000002</v>
      </c>
      <c r="U527" t="s">
        <v>1535</v>
      </c>
      <c r="V527" t="s">
        <v>1536</v>
      </c>
      <c r="W527">
        <v>-0.06</v>
      </c>
    </row>
    <row r="528" spans="1:23">
      <c r="A528" t="str">
        <f>"002062"</f>
        <v>002062</v>
      </c>
      <c r="B528" t="s">
        <v>1537</v>
      </c>
      <c r="C528">
        <v>4.99</v>
      </c>
      <c r="D528">
        <v>4.99</v>
      </c>
      <c r="E528">
        <v>4.91</v>
      </c>
      <c r="F528">
        <v>4.96</v>
      </c>
      <c r="G528">
        <v>39680</v>
      </c>
      <c r="H528">
        <v>19630426</v>
      </c>
      <c r="I528">
        <v>0.61</v>
      </c>
      <c r="J528" t="s">
        <v>33</v>
      </c>
      <c r="K528" t="s">
        <v>229</v>
      </c>
      <c r="L528">
        <v>0.2</v>
      </c>
      <c r="M528">
        <v>4.95</v>
      </c>
      <c r="N528">
        <v>21538</v>
      </c>
      <c r="O528">
        <v>18141</v>
      </c>
      <c r="P528">
        <v>1.19</v>
      </c>
      <c r="Q528">
        <v>1220</v>
      </c>
      <c r="R528">
        <v>379</v>
      </c>
      <c r="S528" t="s">
        <v>3</v>
      </c>
      <c r="T528">
        <v>65617.600000000006</v>
      </c>
      <c r="U528" t="s">
        <v>1538</v>
      </c>
      <c r="V528" t="s">
        <v>1539</v>
      </c>
      <c r="W528">
        <v>0.36</v>
      </c>
    </row>
    <row r="529" spans="1:23">
      <c r="A529" t="str">
        <f>"002063"</f>
        <v>002063</v>
      </c>
      <c r="B529" t="s">
        <v>1540</v>
      </c>
      <c r="C529">
        <v>19.55</v>
      </c>
      <c r="D529">
        <v>19.57</v>
      </c>
      <c r="E529">
        <v>19.079999999999998</v>
      </c>
      <c r="F529">
        <v>19.25</v>
      </c>
      <c r="G529">
        <v>126699</v>
      </c>
      <c r="H529">
        <v>243991280</v>
      </c>
      <c r="I529">
        <v>1.36</v>
      </c>
      <c r="J529" t="s">
        <v>758</v>
      </c>
      <c r="K529" t="s">
        <v>211</v>
      </c>
      <c r="L529">
        <v>-1.53</v>
      </c>
      <c r="M529">
        <v>19.260000000000002</v>
      </c>
      <c r="N529">
        <v>66761</v>
      </c>
      <c r="O529">
        <v>59937</v>
      </c>
      <c r="P529">
        <v>1.1100000000000001</v>
      </c>
      <c r="Q529">
        <v>2420</v>
      </c>
      <c r="R529">
        <v>158</v>
      </c>
      <c r="S529" t="s">
        <v>3</v>
      </c>
      <c r="T529">
        <v>39144.1</v>
      </c>
      <c r="U529" t="s">
        <v>1541</v>
      </c>
      <c r="V529" t="s">
        <v>1542</v>
      </c>
      <c r="W529">
        <v>-1.38</v>
      </c>
    </row>
    <row r="530" spans="1:23">
      <c r="A530" t="str">
        <f>"002064"</f>
        <v>002064</v>
      </c>
      <c r="B530" t="s">
        <v>1543</v>
      </c>
      <c r="C530">
        <v>10.4</v>
      </c>
      <c r="D530">
        <v>10.64</v>
      </c>
      <c r="E530">
        <v>10.32</v>
      </c>
      <c r="F530">
        <v>10.36</v>
      </c>
      <c r="G530">
        <v>198177</v>
      </c>
      <c r="H530">
        <v>207284048</v>
      </c>
      <c r="I530">
        <v>0.88</v>
      </c>
      <c r="J530" t="s">
        <v>310</v>
      </c>
      <c r="K530" t="s">
        <v>229</v>
      </c>
      <c r="L530">
        <v>-0.19</v>
      </c>
      <c r="M530">
        <v>10.46</v>
      </c>
      <c r="N530">
        <v>116874</v>
      </c>
      <c r="O530">
        <v>81302</v>
      </c>
      <c r="P530">
        <v>1.44</v>
      </c>
      <c r="Q530">
        <v>1943</v>
      </c>
      <c r="R530">
        <v>85</v>
      </c>
      <c r="S530" t="s">
        <v>3</v>
      </c>
      <c r="T530">
        <v>66669.710000000006</v>
      </c>
      <c r="U530" t="s">
        <v>1544</v>
      </c>
      <c r="V530" t="s">
        <v>1545</v>
      </c>
      <c r="W530">
        <v>-0.03</v>
      </c>
    </row>
    <row r="531" spans="1:23">
      <c r="A531" t="str">
        <f>"002065"</f>
        <v>002065</v>
      </c>
      <c r="B531" t="s">
        <v>1546</v>
      </c>
      <c r="C531" t="s">
        <v>3</v>
      </c>
      <c r="D531" t="s">
        <v>3</v>
      </c>
      <c r="E531" t="s">
        <v>3</v>
      </c>
      <c r="F531">
        <v>0</v>
      </c>
      <c r="G531">
        <v>0</v>
      </c>
      <c r="H531">
        <v>0</v>
      </c>
      <c r="I531">
        <v>0</v>
      </c>
      <c r="J531" t="s">
        <v>758</v>
      </c>
      <c r="K531" t="s">
        <v>34</v>
      </c>
      <c r="L531" t="s">
        <v>3</v>
      </c>
      <c r="M531">
        <v>17.14</v>
      </c>
      <c r="N531">
        <v>0</v>
      </c>
      <c r="O531">
        <v>0</v>
      </c>
      <c r="P531" t="s">
        <v>3</v>
      </c>
      <c r="Q531">
        <v>0</v>
      </c>
      <c r="R531">
        <v>0</v>
      </c>
      <c r="S531" t="s">
        <v>3</v>
      </c>
      <c r="T531">
        <v>132105.23000000001</v>
      </c>
      <c r="U531" t="s">
        <v>1547</v>
      </c>
      <c r="V531" t="s">
        <v>1548</v>
      </c>
      <c r="W531">
        <v>0.16</v>
      </c>
    </row>
    <row r="532" spans="1:23">
      <c r="A532" t="str">
        <f>"002066"</f>
        <v>002066</v>
      </c>
      <c r="B532" t="s">
        <v>1549</v>
      </c>
      <c r="C532">
        <v>9.16</v>
      </c>
      <c r="D532">
        <v>9.2799999999999994</v>
      </c>
      <c r="E532">
        <v>9.07</v>
      </c>
      <c r="F532">
        <v>9.1999999999999993</v>
      </c>
      <c r="G532">
        <v>63223</v>
      </c>
      <c r="H532">
        <v>57969492</v>
      </c>
      <c r="I532">
        <v>0.84</v>
      </c>
      <c r="J532" t="s">
        <v>150</v>
      </c>
      <c r="K532" t="s">
        <v>34</v>
      </c>
      <c r="L532">
        <v>0.66</v>
      </c>
      <c r="M532">
        <v>9.17</v>
      </c>
      <c r="N532">
        <v>33259</v>
      </c>
      <c r="O532">
        <v>29964</v>
      </c>
      <c r="P532">
        <v>1.1100000000000001</v>
      </c>
      <c r="Q532">
        <v>701</v>
      </c>
      <c r="R532">
        <v>179</v>
      </c>
      <c r="S532" t="s">
        <v>3</v>
      </c>
      <c r="T532">
        <v>23100</v>
      </c>
      <c r="U532" t="s">
        <v>1550</v>
      </c>
      <c r="V532" t="s">
        <v>1550</v>
      </c>
      <c r="W532">
        <v>0.81</v>
      </c>
    </row>
    <row r="533" spans="1:23">
      <c r="A533" t="str">
        <f>"002067"</f>
        <v>002067</v>
      </c>
      <c r="B533" t="s">
        <v>1551</v>
      </c>
      <c r="C533">
        <v>3.93</v>
      </c>
      <c r="D533">
        <v>3.96</v>
      </c>
      <c r="E533">
        <v>3.85</v>
      </c>
      <c r="F533">
        <v>3.96</v>
      </c>
      <c r="G533">
        <v>839341</v>
      </c>
      <c r="H533">
        <v>327395936</v>
      </c>
      <c r="I533">
        <v>0.85</v>
      </c>
      <c r="J533" t="s">
        <v>343</v>
      </c>
      <c r="K533" t="s">
        <v>229</v>
      </c>
      <c r="L533">
        <v>0.76</v>
      </c>
      <c r="M533">
        <v>3.9</v>
      </c>
      <c r="N533">
        <v>464065</v>
      </c>
      <c r="O533">
        <v>375276</v>
      </c>
      <c r="P533">
        <v>1.24</v>
      </c>
      <c r="Q533">
        <v>12628</v>
      </c>
      <c r="R533">
        <v>22364</v>
      </c>
      <c r="S533" t="s">
        <v>3</v>
      </c>
      <c r="T533">
        <v>96052.6</v>
      </c>
      <c r="U533" t="s">
        <v>500</v>
      </c>
      <c r="V533" t="s">
        <v>1552</v>
      </c>
      <c r="W533">
        <v>0.92</v>
      </c>
    </row>
    <row r="534" spans="1:23">
      <c r="A534" t="str">
        <f>"002068"</f>
        <v>002068</v>
      </c>
      <c r="B534" t="s">
        <v>1553</v>
      </c>
      <c r="C534">
        <v>6.19</v>
      </c>
      <c r="D534">
        <v>6.19</v>
      </c>
      <c r="E534">
        <v>6.09</v>
      </c>
      <c r="F534">
        <v>6.18</v>
      </c>
      <c r="G534">
        <v>63529</v>
      </c>
      <c r="H534">
        <v>39064040</v>
      </c>
      <c r="I534">
        <v>0.79</v>
      </c>
      <c r="J534" t="s">
        <v>376</v>
      </c>
      <c r="K534" t="s">
        <v>265</v>
      </c>
      <c r="L534">
        <v>0</v>
      </c>
      <c r="M534">
        <v>6.15</v>
      </c>
      <c r="N534">
        <v>33578</v>
      </c>
      <c r="O534">
        <v>29951</v>
      </c>
      <c r="P534">
        <v>1.1200000000000001</v>
      </c>
      <c r="Q534">
        <v>588</v>
      </c>
      <c r="R534">
        <v>1478</v>
      </c>
      <c r="S534" t="s">
        <v>3</v>
      </c>
      <c r="T534">
        <v>47969.919999999998</v>
      </c>
      <c r="U534" t="s">
        <v>1554</v>
      </c>
      <c r="V534" t="s">
        <v>1554</v>
      </c>
      <c r="W534">
        <v>0.16</v>
      </c>
    </row>
    <row r="535" spans="1:23">
      <c r="A535" t="str">
        <f>"002069"</f>
        <v>002069</v>
      </c>
      <c r="B535" t="s">
        <v>1555</v>
      </c>
      <c r="C535">
        <v>15.4</v>
      </c>
      <c r="D535">
        <v>15.5</v>
      </c>
      <c r="E535">
        <v>15.3</v>
      </c>
      <c r="F535">
        <v>15.5</v>
      </c>
      <c r="G535">
        <v>43657</v>
      </c>
      <c r="H535">
        <v>67345624</v>
      </c>
      <c r="I535">
        <v>1.42</v>
      </c>
      <c r="J535" t="s">
        <v>988</v>
      </c>
      <c r="K535" t="s">
        <v>162</v>
      </c>
      <c r="L535">
        <v>0.71</v>
      </c>
      <c r="M535">
        <v>15.43</v>
      </c>
      <c r="N535">
        <v>20306</v>
      </c>
      <c r="O535">
        <v>23351</v>
      </c>
      <c r="P535">
        <v>0.87</v>
      </c>
      <c r="Q535">
        <v>979</v>
      </c>
      <c r="R535">
        <v>286</v>
      </c>
      <c r="S535" t="s">
        <v>3</v>
      </c>
      <c r="T535">
        <v>68235.38</v>
      </c>
      <c r="U535" t="s">
        <v>1556</v>
      </c>
      <c r="V535" t="s">
        <v>1557</v>
      </c>
      <c r="W535">
        <v>0.87</v>
      </c>
    </row>
    <row r="536" spans="1:23">
      <c r="A536" t="str">
        <f>"002070"</f>
        <v>002070</v>
      </c>
      <c r="B536" t="s">
        <v>1558</v>
      </c>
      <c r="C536" t="s">
        <v>3</v>
      </c>
      <c r="D536" t="s">
        <v>3</v>
      </c>
      <c r="E536" t="s">
        <v>3</v>
      </c>
      <c r="F536">
        <v>0</v>
      </c>
      <c r="G536">
        <v>0</v>
      </c>
      <c r="H536">
        <v>0</v>
      </c>
      <c r="I536">
        <v>0</v>
      </c>
      <c r="J536" t="s">
        <v>55</v>
      </c>
      <c r="K536" t="s">
        <v>414</v>
      </c>
      <c r="L536" t="s">
        <v>3</v>
      </c>
      <c r="M536">
        <v>9.49</v>
      </c>
      <c r="N536">
        <v>0</v>
      </c>
      <c r="O536">
        <v>0</v>
      </c>
      <c r="P536" t="s">
        <v>3</v>
      </c>
      <c r="Q536">
        <v>0</v>
      </c>
      <c r="R536">
        <v>0</v>
      </c>
      <c r="S536" t="s">
        <v>3</v>
      </c>
      <c r="T536">
        <v>56606.83</v>
      </c>
      <c r="U536" t="s">
        <v>1559</v>
      </c>
      <c r="V536" t="s">
        <v>884</v>
      </c>
      <c r="W536">
        <v>0.16</v>
      </c>
    </row>
    <row r="537" spans="1:23">
      <c r="A537" t="str">
        <f>"002071"</f>
        <v>002071</v>
      </c>
      <c r="B537" t="s">
        <v>1560</v>
      </c>
      <c r="C537">
        <v>20.91</v>
      </c>
      <c r="D537">
        <v>21.2</v>
      </c>
      <c r="E537">
        <v>20.58</v>
      </c>
      <c r="F537">
        <v>21.17</v>
      </c>
      <c r="G537">
        <v>48479</v>
      </c>
      <c r="H537">
        <v>101432856</v>
      </c>
      <c r="I537">
        <v>0.9</v>
      </c>
      <c r="J537" t="s">
        <v>228</v>
      </c>
      <c r="K537" t="s">
        <v>244</v>
      </c>
      <c r="L537">
        <v>1.24</v>
      </c>
      <c r="M537">
        <v>20.92</v>
      </c>
      <c r="N537">
        <v>23720</v>
      </c>
      <c r="O537">
        <v>24758</v>
      </c>
      <c r="P537">
        <v>0.96</v>
      </c>
      <c r="Q537">
        <v>1006</v>
      </c>
      <c r="R537">
        <v>53</v>
      </c>
      <c r="S537" t="s">
        <v>3</v>
      </c>
      <c r="T537">
        <v>17915.71</v>
      </c>
      <c r="U537" t="s">
        <v>1561</v>
      </c>
      <c r="V537" t="s">
        <v>1562</v>
      </c>
      <c r="W537">
        <v>1.4</v>
      </c>
    </row>
    <row r="538" spans="1:23">
      <c r="A538" t="str">
        <f>"002072"</f>
        <v>002072</v>
      </c>
      <c r="B538" t="s">
        <v>1563</v>
      </c>
      <c r="C538">
        <v>10.029999999999999</v>
      </c>
      <c r="D538">
        <v>10.88</v>
      </c>
      <c r="E538">
        <v>10</v>
      </c>
      <c r="F538">
        <v>10.69</v>
      </c>
      <c r="G538">
        <v>80667</v>
      </c>
      <c r="H538">
        <v>84083368</v>
      </c>
      <c r="I538">
        <v>1.41</v>
      </c>
      <c r="J538" t="s">
        <v>55</v>
      </c>
      <c r="K538" t="s">
        <v>250</v>
      </c>
      <c r="L538">
        <v>6.79</v>
      </c>
      <c r="M538">
        <v>10.42</v>
      </c>
      <c r="N538">
        <v>38964</v>
      </c>
      <c r="O538">
        <v>41703</v>
      </c>
      <c r="P538">
        <v>0.93</v>
      </c>
      <c r="Q538">
        <v>309</v>
      </c>
      <c r="R538">
        <v>6</v>
      </c>
      <c r="S538" t="s">
        <v>3</v>
      </c>
      <c r="T538">
        <v>17596.650000000001</v>
      </c>
      <c r="U538" t="s">
        <v>1489</v>
      </c>
      <c r="V538" t="s">
        <v>1489</v>
      </c>
      <c r="W538">
        <v>6.95</v>
      </c>
    </row>
    <row r="539" spans="1:23">
      <c r="A539" t="str">
        <f>"002073"</f>
        <v>002073</v>
      </c>
      <c r="B539" t="s">
        <v>1564</v>
      </c>
      <c r="C539" t="s">
        <v>3</v>
      </c>
      <c r="D539" t="s">
        <v>3</v>
      </c>
      <c r="E539" t="s">
        <v>3</v>
      </c>
      <c r="F539">
        <v>0</v>
      </c>
      <c r="G539">
        <v>0</v>
      </c>
      <c r="H539">
        <v>0</v>
      </c>
      <c r="I539">
        <v>0</v>
      </c>
      <c r="J539" t="s">
        <v>758</v>
      </c>
      <c r="K539" t="s">
        <v>250</v>
      </c>
      <c r="L539" t="s">
        <v>3</v>
      </c>
      <c r="M539">
        <v>10.23</v>
      </c>
      <c r="N539">
        <v>0</v>
      </c>
      <c r="O539">
        <v>0</v>
      </c>
      <c r="P539" t="s">
        <v>3</v>
      </c>
      <c r="Q539">
        <v>0</v>
      </c>
      <c r="R539">
        <v>0</v>
      </c>
      <c r="S539" t="s">
        <v>3</v>
      </c>
      <c r="T539">
        <v>61879.48</v>
      </c>
      <c r="U539" t="s">
        <v>1565</v>
      </c>
      <c r="V539" t="s">
        <v>1566</v>
      </c>
      <c r="W539">
        <v>0.16</v>
      </c>
    </row>
    <row r="540" spans="1:23">
      <c r="A540" t="str">
        <f>"002074"</f>
        <v>002074</v>
      </c>
      <c r="B540" t="s">
        <v>1567</v>
      </c>
      <c r="C540" t="s">
        <v>3</v>
      </c>
      <c r="D540" t="s">
        <v>3</v>
      </c>
      <c r="E540" t="s">
        <v>3</v>
      </c>
      <c r="F540">
        <v>0</v>
      </c>
      <c r="G540">
        <v>0</v>
      </c>
      <c r="H540">
        <v>0</v>
      </c>
      <c r="I540">
        <v>0</v>
      </c>
      <c r="J540" t="s">
        <v>145</v>
      </c>
      <c r="K540" t="s">
        <v>244</v>
      </c>
      <c r="L540" t="s">
        <v>3</v>
      </c>
      <c r="M540">
        <v>7.28</v>
      </c>
      <c r="N540">
        <v>0</v>
      </c>
      <c r="O540">
        <v>0</v>
      </c>
      <c r="P540" t="s">
        <v>3</v>
      </c>
      <c r="Q540">
        <v>0</v>
      </c>
      <c r="R540">
        <v>0</v>
      </c>
      <c r="S540" t="s">
        <v>3</v>
      </c>
      <c r="T540">
        <v>22316.65</v>
      </c>
      <c r="U540" t="s">
        <v>1568</v>
      </c>
      <c r="V540" t="s">
        <v>1569</v>
      </c>
      <c r="W540">
        <v>0.16</v>
      </c>
    </row>
    <row r="541" spans="1:23">
      <c r="A541" t="str">
        <f>"002075"</f>
        <v>002075</v>
      </c>
      <c r="B541" t="s">
        <v>1570</v>
      </c>
      <c r="C541">
        <v>4</v>
      </c>
      <c r="D541">
        <v>4.1500000000000004</v>
      </c>
      <c r="E541">
        <v>3.97</v>
      </c>
      <c r="F541">
        <v>4.1399999999999997</v>
      </c>
      <c r="G541">
        <v>236622</v>
      </c>
      <c r="H541">
        <v>96291624</v>
      </c>
      <c r="I541">
        <v>2.19</v>
      </c>
      <c r="J541" t="s">
        <v>815</v>
      </c>
      <c r="K541" t="s">
        <v>244</v>
      </c>
      <c r="L541">
        <v>3.5</v>
      </c>
      <c r="M541">
        <v>4.07</v>
      </c>
      <c r="N541">
        <v>85981</v>
      </c>
      <c r="O541">
        <v>150641</v>
      </c>
      <c r="P541">
        <v>0.56999999999999995</v>
      </c>
      <c r="Q541">
        <v>3341</v>
      </c>
      <c r="R541">
        <v>3127</v>
      </c>
      <c r="S541" t="s">
        <v>3</v>
      </c>
      <c r="T541">
        <v>157626.48000000001</v>
      </c>
      <c r="U541" t="s">
        <v>1571</v>
      </c>
      <c r="V541" t="s">
        <v>1571</v>
      </c>
      <c r="W541">
        <v>3.66</v>
      </c>
    </row>
    <row r="542" spans="1:23">
      <c r="A542" t="str">
        <f>"002076"</f>
        <v>002076</v>
      </c>
      <c r="B542" t="s">
        <v>1572</v>
      </c>
      <c r="C542" t="s">
        <v>3</v>
      </c>
      <c r="D542" t="s">
        <v>3</v>
      </c>
      <c r="E542" t="s">
        <v>3</v>
      </c>
      <c r="F542">
        <v>0</v>
      </c>
      <c r="G542">
        <v>0</v>
      </c>
      <c r="H542">
        <v>0</v>
      </c>
      <c r="I542">
        <v>0</v>
      </c>
      <c r="J542" t="s">
        <v>47</v>
      </c>
      <c r="K542" t="s">
        <v>211</v>
      </c>
      <c r="L542" t="s">
        <v>3</v>
      </c>
      <c r="M542">
        <v>10.02</v>
      </c>
      <c r="N542">
        <v>0</v>
      </c>
      <c r="O542">
        <v>0</v>
      </c>
      <c r="P542" t="s">
        <v>3</v>
      </c>
      <c r="Q542">
        <v>0</v>
      </c>
      <c r="R542">
        <v>0</v>
      </c>
      <c r="S542" t="s">
        <v>3</v>
      </c>
      <c r="T542">
        <v>12042</v>
      </c>
      <c r="U542" t="s">
        <v>1573</v>
      </c>
      <c r="V542" t="s">
        <v>1574</v>
      </c>
      <c r="W542">
        <v>0.16</v>
      </c>
    </row>
    <row r="543" spans="1:23">
      <c r="A543" t="str">
        <f>"002077"</f>
        <v>002077</v>
      </c>
      <c r="B543" t="s">
        <v>1575</v>
      </c>
      <c r="C543">
        <v>8.57</v>
      </c>
      <c r="D543">
        <v>8.65</v>
      </c>
      <c r="E543">
        <v>8.4</v>
      </c>
      <c r="F543">
        <v>8.6300000000000008</v>
      </c>
      <c r="G543">
        <v>69726</v>
      </c>
      <c r="H543">
        <v>59325376</v>
      </c>
      <c r="I543">
        <v>1.06</v>
      </c>
      <c r="J543" t="s">
        <v>15</v>
      </c>
      <c r="K543" t="s">
        <v>244</v>
      </c>
      <c r="L543">
        <v>1.05</v>
      </c>
      <c r="M543">
        <v>8.51</v>
      </c>
      <c r="N543">
        <v>37443</v>
      </c>
      <c r="O543">
        <v>32282</v>
      </c>
      <c r="P543">
        <v>1.1599999999999999</v>
      </c>
      <c r="Q543">
        <v>1097</v>
      </c>
      <c r="R543">
        <v>461</v>
      </c>
      <c r="S543" t="s">
        <v>3</v>
      </c>
      <c r="T543">
        <v>25200</v>
      </c>
      <c r="U543" t="s">
        <v>1576</v>
      </c>
      <c r="V543" t="s">
        <v>1576</v>
      </c>
      <c r="W543">
        <v>1.21</v>
      </c>
    </row>
    <row r="544" spans="1:23">
      <c r="A544" t="str">
        <f>"002078"</f>
        <v>002078</v>
      </c>
      <c r="B544" t="s">
        <v>1577</v>
      </c>
      <c r="C544">
        <v>4.01</v>
      </c>
      <c r="D544">
        <v>4.03</v>
      </c>
      <c r="E544">
        <v>3.97</v>
      </c>
      <c r="F544">
        <v>4</v>
      </c>
      <c r="G544">
        <v>357411</v>
      </c>
      <c r="H544">
        <v>142905744</v>
      </c>
      <c r="I544">
        <v>0.74</v>
      </c>
      <c r="J544" t="s">
        <v>343</v>
      </c>
      <c r="K544" t="s">
        <v>250</v>
      </c>
      <c r="L544">
        <v>-0.25</v>
      </c>
      <c r="M544">
        <v>4</v>
      </c>
      <c r="N544">
        <v>177174</v>
      </c>
      <c r="O544">
        <v>180237</v>
      </c>
      <c r="P544">
        <v>0.98</v>
      </c>
      <c r="Q544">
        <v>5641</v>
      </c>
      <c r="R544">
        <v>11307</v>
      </c>
      <c r="S544" t="s">
        <v>3</v>
      </c>
      <c r="T544">
        <v>197669.13</v>
      </c>
      <c r="U544" t="s">
        <v>1578</v>
      </c>
      <c r="V544" t="s">
        <v>1579</v>
      </c>
      <c r="W544">
        <v>-0.09</v>
      </c>
    </row>
    <row r="545" spans="1:23">
      <c r="A545" t="str">
        <f>"002079"</f>
        <v>002079</v>
      </c>
      <c r="B545" t="s">
        <v>1580</v>
      </c>
      <c r="C545">
        <v>8</v>
      </c>
      <c r="D545">
        <v>8.2899999999999991</v>
      </c>
      <c r="E545">
        <v>7.89</v>
      </c>
      <c r="F545">
        <v>8.15</v>
      </c>
      <c r="G545">
        <v>327071</v>
      </c>
      <c r="H545">
        <v>266139536</v>
      </c>
      <c r="I545">
        <v>0.97</v>
      </c>
      <c r="J545" t="s">
        <v>1581</v>
      </c>
      <c r="K545" t="s">
        <v>244</v>
      </c>
      <c r="L545">
        <v>2.52</v>
      </c>
      <c r="M545">
        <v>8.14</v>
      </c>
      <c r="N545">
        <v>158032</v>
      </c>
      <c r="O545">
        <v>169038</v>
      </c>
      <c r="P545">
        <v>0.93</v>
      </c>
      <c r="Q545">
        <v>184</v>
      </c>
      <c r="R545">
        <v>1799</v>
      </c>
      <c r="S545" t="s">
        <v>3</v>
      </c>
      <c r="T545">
        <v>72077.09</v>
      </c>
      <c r="U545" t="s">
        <v>1582</v>
      </c>
      <c r="V545" t="s">
        <v>1583</v>
      </c>
      <c r="W545">
        <v>2.67</v>
      </c>
    </row>
    <row r="546" spans="1:23">
      <c r="A546" t="str">
        <f>"002080"</f>
        <v>002080</v>
      </c>
      <c r="B546" t="s">
        <v>1584</v>
      </c>
      <c r="C546">
        <v>13.5</v>
      </c>
      <c r="D546">
        <v>13.56</v>
      </c>
      <c r="E546">
        <v>13.28</v>
      </c>
      <c r="F546">
        <v>13.38</v>
      </c>
      <c r="G546">
        <v>39024</v>
      </c>
      <c r="H546">
        <v>52275156</v>
      </c>
      <c r="I546">
        <v>0.68</v>
      </c>
      <c r="J546" t="s">
        <v>310</v>
      </c>
      <c r="K546" t="s">
        <v>244</v>
      </c>
      <c r="L546">
        <v>-0.45</v>
      </c>
      <c r="M546">
        <v>13.4</v>
      </c>
      <c r="N546">
        <v>22773</v>
      </c>
      <c r="O546">
        <v>16250</v>
      </c>
      <c r="P546">
        <v>1.4</v>
      </c>
      <c r="Q546">
        <v>20</v>
      </c>
      <c r="R546">
        <v>51</v>
      </c>
      <c r="S546" t="s">
        <v>3</v>
      </c>
      <c r="T546">
        <v>40000</v>
      </c>
      <c r="U546" t="s">
        <v>1585</v>
      </c>
      <c r="V546" t="s">
        <v>1585</v>
      </c>
      <c r="W546">
        <v>-0.28999999999999998</v>
      </c>
    </row>
    <row r="547" spans="1:23">
      <c r="A547" t="str">
        <f>"002081"</f>
        <v>002081</v>
      </c>
      <c r="B547" t="s">
        <v>1586</v>
      </c>
      <c r="C547">
        <v>18.8</v>
      </c>
      <c r="D547">
        <v>19.239999999999998</v>
      </c>
      <c r="E547">
        <v>18.600000000000001</v>
      </c>
      <c r="F547">
        <v>18.97</v>
      </c>
      <c r="G547">
        <v>108012</v>
      </c>
      <c r="H547">
        <v>204421904</v>
      </c>
      <c r="I547">
        <v>0.69</v>
      </c>
      <c r="J547" t="s">
        <v>1496</v>
      </c>
      <c r="K547" t="s">
        <v>244</v>
      </c>
      <c r="L547">
        <v>0.85</v>
      </c>
      <c r="M547">
        <v>18.93</v>
      </c>
      <c r="N547">
        <v>48735</v>
      </c>
      <c r="O547">
        <v>59276</v>
      </c>
      <c r="P547">
        <v>0.82</v>
      </c>
      <c r="Q547">
        <v>254</v>
      </c>
      <c r="R547">
        <v>169</v>
      </c>
      <c r="S547" t="s">
        <v>3</v>
      </c>
      <c r="T547">
        <v>165806.23000000001</v>
      </c>
      <c r="U547" t="s">
        <v>1587</v>
      </c>
      <c r="V547" t="s">
        <v>1588</v>
      </c>
      <c r="W547">
        <v>1.01</v>
      </c>
    </row>
    <row r="548" spans="1:23">
      <c r="A548" t="str">
        <f>"002082"</f>
        <v>002082</v>
      </c>
      <c r="B548" t="s">
        <v>1589</v>
      </c>
      <c r="C548">
        <v>8.8000000000000007</v>
      </c>
      <c r="D548">
        <v>8.85</v>
      </c>
      <c r="E548">
        <v>8.69</v>
      </c>
      <c r="F548">
        <v>8.7799999999999994</v>
      </c>
      <c r="G548">
        <v>34897</v>
      </c>
      <c r="H548">
        <v>30608052</v>
      </c>
      <c r="I548">
        <v>0.76</v>
      </c>
      <c r="J548" t="s">
        <v>632</v>
      </c>
      <c r="K548" t="s">
        <v>229</v>
      </c>
      <c r="L548">
        <v>-0.11</v>
      </c>
      <c r="M548">
        <v>8.77</v>
      </c>
      <c r="N548">
        <v>19737</v>
      </c>
      <c r="O548">
        <v>15160</v>
      </c>
      <c r="P548">
        <v>1.3</v>
      </c>
      <c r="Q548">
        <v>64</v>
      </c>
      <c r="R548">
        <v>170</v>
      </c>
      <c r="S548" t="s">
        <v>3</v>
      </c>
      <c r="T548">
        <v>18605.09</v>
      </c>
      <c r="U548" t="s">
        <v>1590</v>
      </c>
      <c r="V548" t="s">
        <v>1591</v>
      </c>
      <c r="W548">
        <v>0.04</v>
      </c>
    </row>
    <row r="549" spans="1:23">
      <c r="A549" t="str">
        <f>"002083"</f>
        <v>002083</v>
      </c>
      <c r="B549" t="s">
        <v>1592</v>
      </c>
      <c r="C549">
        <v>4.66</v>
      </c>
      <c r="D549">
        <v>4.8</v>
      </c>
      <c r="E549">
        <v>4.6100000000000003</v>
      </c>
      <c r="F549">
        <v>4.7699999999999996</v>
      </c>
      <c r="G549">
        <v>217779</v>
      </c>
      <c r="H549">
        <v>102915648</v>
      </c>
      <c r="I549">
        <v>1.92</v>
      </c>
      <c r="J549" t="s">
        <v>55</v>
      </c>
      <c r="K549" t="s">
        <v>250</v>
      </c>
      <c r="L549">
        <v>2.14</v>
      </c>
      <c r="M549">
        <v>4.7300000000000004</v>
      </c>
      <c r="N549">
        <v>85073</v>
      </c>
      <c r="O549">
        <v>132705</v>
      </c>
      <c r="P549">
        <v>0.64</v>
      </c>
      <c r="Q549">
        <v>2760</v>
      </c>
      <c r="R549">
        <v>181</v>
      </c>
      <c r="S549" t="s">
        <v>3</v>
      </c>
      <c r="T549">
        <v>82370.27</v>
      </c>
      <c r="U549" t="s">
        <v>1593</v>
      </c>
      <c r="V549" t="s">
        <v>1594</v>
      </c>
      <c r="W549">
        <v>2.2999999999999998</v>
      </c>
    </row>
    <row r="550" spans="1:23">
      <c r="A550" t="str">
        <f>"002084"</f>
        <v>002084</v>
      </c>
      <c r="B550" t="s">
        <v>1595</v>
      </c>
      <c r="C550">
        <v>6.02</v>
      </c>
      <c r="D550">
        <v>6.07</v>
      </c>
      <c r="E550">
        <v>5.93</v>
      </c>
      <c r="F550">
        <v>6.04</v>
      </c>
      <c r="G550">
        <v>46274</v>
      </c>
      <c r="H550">
        <v>27825594</v>
      </c>
      <c r="I550">
        <v>0.6</v>
      </c>
      <c r="J550" t="s">
        <v>1183</v>
      </c>
      <c r="K550" t="s">
        <v>211</v>
      </c>
      <c r="L550">
        <v>0.33</v>
      </c>
      <c r="M550">
        <v>6.01</v>
      </c>
      <c r="N550">
        <v>22345</v>
      </c>
      <c r="O550">
        <v>23928</v>
      </c>
      <c r="P550">
        <v>0.93</v>
      </c>
      <c r="Q550">
        <v>560</v>
      </c>
      <c r="R550">
        <v>546</v>
      </c>
      <c r="S550" t="s">
        <v>3</v>
      </c>
      <c r="T550">
        <v>40605.57</v>
      </c>
      <c r="U550" t="s">
        <v>1491</v>
      </c>
      <c r="V550" t="s">
        <v>1491</v>
      </c>
      <c r="W550">
        <v>0.49</v>
      </c>
    </row>
    <row r="551" spans="1:23">
      <c r="A551" t="str">
        <f>"002085"</f>
        <v>002085</v>
      </c>
      <c r="B551" t="s">
        <v>1596</v>
      </c>
      <c r="C551">
        <v>24.7</v>
      </c>
      <c r="D551">
        <v>24.7</v>
      </c>
      <c r="E551">
        <v>24.15</v>
      </c>
      <c r="F551">
        <v>24.46</v>
      </c>
      <c r="G551">
        <v>21765</v>
      </c>
      <c r="H551">
        <v>53025380</v>
      </c>
      <c r="I551">
        <v>0.81</v>
      </c>
      <c r="J551" t="s">
        <v>98</v>
      </c>
      <c r="K551" t="s">
        <v>229</v>
      </c>
      <c r="L551">
        <v>-0.93</v>
      </c>
      <c r="M551">
        <v>24.36</v>
      </c>
      <c r="N551">
        <v>11641</v>
      </c>
      <c r="O551">
        <v>10124</v>
      </c>
      <c r="P551">
        <v>1.1499999999999999</v>
      </c>
      <c r="Q551">
        <v>1</v>
      </c>
      <c r="R551">
        <v>123</v>
      </c>
      <c r="S551" t="s">
        <v>3</v>
      </c>
      <c r="T551">
        <v>36813.279999999999</v>
      </c>
      <c r="U551" t="s">
        <v>1597</v>
      </c>
      <c r="V551" t="s">
        <v>1598</v>
      </c>
      <c r="W551">
        <v>-0.77</v>
      </c>
    </row>
    <row r="552" spans="1:23">
      <c r="A552" t="str">
        <f>"002086"</f>
        <v>002086</v>
      </c>
      <c r="B552" t="s">
        <v>1599</v>
      </c>
      <c r="C552" t="s">
        <v>3</v>
      </c>
      <c r="D552" t="s">
        <v>3</v>
      </c>
      <c r="E552" t="s">
        <v>3</v>
      </c>
      <c r="F552">
        <v>0</v>
      </c>
      <c r="G552">
        <v>0</v>
      </c>
      <c r="H552">
        <v>0</v>
      </c>
      <c r="I552">
        <v>0</v>
      </c>
      <c r="J552" t="s">
        <v>988</v>
      </c>
      <c r="K552" t="s">
        <v>250</v>
      </c>
      <c r="L552" t="s">
        <v>3</v>
      </c>
      <c r="M552">
        <v>9.57</v>
      </c>
      <c r="N552">
        <v>0</v>
      </c>
      <c r="O552">
        <v>0</v>
      </c>
      <c r="P552" t="s">
        <v>3</v>
      </c>
      <c r="Q552">
        <v>0</v>
      </c>
      <c r="R552">
        <v>0</v>
      </c>
      <c r="S552" t="s">
        <v>3</v>
      </c>
      <c r="T552">
        <v>23780.85</v>
      </c>
      <c r="U552" t="s">
        <v>1600</v>
      </c>
      <c r="V552" t="s">
        <v>1601</v>
      </c>
      <c r="W552">
        <v>0.16</v>
      </c>
    </row>
    <row r="553" spans="1:23">
      <c r="A553" t="str">
        <f>"002087"</f>
        <v>002087</v>
      </c>
      <c r="B553" t="s">
        <v>1602</v>
      </c>
      <c r="C553">
        <v>4.3899999999999997</v>
      </c>
      <c r="D553">
        <v>4.43</v>
      </c>
      <c r="E553">
        <v>4.3099999999999996</v>
      </c>
      <c r="F553">
        <v>4.3899999999999997</v>
      </c>
      <c r="G553">
        <v>84226</v>
      </c>
      <c r="H553">
        <v>36806420</v>
      </c>
      <c r="I553">
        <v>0.91</v>
      </c>
      <c r="J553" t="s">
        <v>55</v>
      </c>
      <c r="K553" t="s">
        <v>254</v>
      </c>
      <c r="L553">
        <v>0</v>
      </c>
      <c r="M553">
        <v>4.37</v>
      </c>
      <c r="N553">
        <v>41642</v>
      </c>
      <c r="O553">
        <v>42583</v>
      </c>
      <c r="P553">
        <v>0.98</v>
      </c>
      <c r="Q553">
        <v>775</v>
      </c>
      <c r="R553">
        <v>576</v>
      </c>
      <c r="S553" t="s">
        <v>3</v>
      </c>
      <c r="T553">
        <v>51961.51</v>
      </c>
      <c r="U553" t="s">
        <v>1603</v>
      </c>
      <c r="V553" t="s">
        <v>1604</v>
      </c>
      <c r="W553">
        <v>0.16</v>
      </c>
    </row>
    <row r="554" spans="1:23">
      <c r="A554" t="str">
        <f>"002088"</f>
        <v>002088</v>
      </c>
      <c r="B554" t="s">
        <v>1605</v>
      </c>
      <c r="C554">
        <v>11.67</v>
      </c>
      <c r="D554">
        <v>11.8</v>
      </c>
      <c r="E554">
        <v>11.55</v>
      </c>
      <c r="F554">
        <v>11.59</v>
      </c>
      <c r="G554">
        <v>26784</v>
      </c>
      <c r="H554">
        <v>31146192</v>
      </c>
      <c r="I554">
        <v>1</v>
      </c>
      <c r="J554" t="s">
        <v>380</v>
      </c>
      <c r="K554" t="s">
        <v>250</v>
      </c>
      <c r="L554">
        <v>-0.77</v>
      </c>
      <c r="M554">
        <v>11.63</v>
      </c>
      <c r="N554">
        <v>16881</v>
      </c>
      <c r="O554">
        <v>9902</v>
      </c>
      <c r="P554">
        <v>1.7</v>
      </c>
      <c r="Q554">
        <v>330</v>
      </c>
      <c r="R554">
        <v>177</v>
      </c>
      <c r="S554" t="s">
        <v>3</v>
      </c>
      <c r="T554">
        <v>20144.38</v>
      </c>
      <c r="U554" t="s">
        <v>1606</v>
      </c>
      <c r="V554" t="s">
        <v>1607</v>
      </c>
      <c r="W554">
        <v>-0.61</v>
      </c>
    </row>
    <row r="555" spans="1:23">
      <c r="A555" t="str">
        <f>"002089"</f>
        <v>002089</v>
      </c>
      <c r="B555" t="s">
        <v>1608</v>
      </c>
      <c r="C555">
        <v>10.94</v>
      </c>
      <c r="D555">
        <v>10.94</v>
      </c>
      <c r="E555">
        <v>10.7</v>
      </c>
      <c r="F555">
        <v>10.73</v>
      </c>
      <c r="G555">
        <v>106845</v>
      </c>
      <c r="H555">
        <v>115238848</v>
      </c>
      <c r="I555">
        <v>0.77</v>
      </c>
      <c r="J555" t="s">
        <v>112</v>
      </c>
      <c r="K555" t="s">
        <v>244</v>
      </c>
      <c r="L555">
        <v>-1.92</v>
      </c>
      <c r="M555">
        <v>10.79</v>
      </c>
      <c r="N555">
        <v>68090</v>
      </c>
      <c r="O555">
        <v>38755</v>
      </c>
      <c r="P555">
        <v>1.76</v>
      </c>
      <c r="Q555">
        <v>813</v>
      </c>
      <c r="R555">
        <v>56</v>
      </c>
      <c r="S555" t="s">
        <v>3</v>
      </c>
      <c r="T555">
        <v>39702.480000000003</v>
      </c>
      <c r="U555" t="s">
        <v>116</v>
      </c>
      <c r="V555" t="s">
        <v>1609</v>
      </c>
      <c r="W555">
        <v>-1.76</v>
      </c>
    </row>
    <row r="556" spans="1:23">
      <c r="A556" t="str">
        <f>"002090"</f>
        <v>002090</v>
      </c>
      <c r="B556" t="s">
        <v>1610</v>
      </c>
      <c r="C556">
        <v>14.85</v>
      </c>
      <c r="D556">
        <v>15.07</v>
      </c>
      <c r="E556">
        <v>14.7</v>
      </c>
      <c r="F556">
        <v>14.98</v>
      </c>
      <c r="G556">
        <v>31515</v>
      </c>
      <c r="H556">
        <v>46946980</v>
      </c>
      <c r="I556">
        <v>0.9</v>
      </c>
      <c r="J556" t="s">
        <v>758</v>
      </c>
      <c r="K556" t="s">
        <v>244</v>
      </c>
      <c r="L556">
        <v>1.35</v>
      </c>
      <c r="M556">
        <v>14.9</v>
      </c>
      <c r="N556">
        <v>14549</v>
      </c>
      <c r="O556">
        <v>16965</v>
      </c>
      <c r="P556">
        <v>0.86</v>
      </c>
      <c r="Q556">
        <v>409</v>
      </c>
      <c r="R556">
        <v>192</v>
      </c>
      <c r="S556" t="s">
        <v>3</v>
      </c>
      <c r="T556">
        <v>18666.93</v>
      </c>
      <c r="U556" t="s">
        <v>1611</v>
      </c>
      <c r="V556" t="s">
        <v>1612</v>
      </c>
      <c r="W556">
        <v>1.51</v>
      </c>
    </row>
    <row r="557" spans="1:23">
      <c r="A557" t="str">
        <f>"002091"</f>
        <v>002091</v>
      </c>
      <c r="B557" t="s">
        <v>1613</v>
      </c>
      <c r="C557">
        <v>16.32</v>
      </c>
      <c r="D557">
        <v>16.559999999999999</v>
      </c>
      <c r="E557">
        <v>16.170000000000002</v>
      </c>
      <c r="F557">
        <v>16.46</v>
      </c>
      <c r="G557">
        <v>98657</v>
      </c>
      <c r="H557">
        <v>161459376</v>
      </c>
      <c r="I557">
        <v>1.71</v>
      </c>
      <c r="J557" t="s">
        <v>173</v>
      </c>
      <c r="K557" t="s">
        <v>244</v>
      </c>
      <c r="L557">
        <v>1.23</v>
      </c>
      <c r="M557">
        <v>16.37</v>
      </c>
      <c r="N557">
        <v>51043</v>
      </c>
      <c r="O557">
        <v>47614</v>
      </c>
      <c r="P557">
        <v>1.07</v>
      </c>
      <c r="Q557">
        <v>679</v>
      </c>
      <c r="R557">
        <v>489</v>
      </c>
      <c r="S557" t="s">
        <v>3</v>
      </c>
      <c r="T557">
        <v>34734.660000000003</v>
      </c>
      <c r="U557" t="s">
        <v>1614</v>
      </c>
      <c r="V557" t="s">
        <v>1615</v>
      </c>
      <c r="W557">
        <v>1.39</v>
      </c>
    </row>
    <row r="558" spans="1:23">
      <c r="A558" t="str">
        <f>"002092"</f>
        <v>002092</v>
      </c>
      <c r="B558" t="s">
        <v>1616</v>
      </c>
      <c r="C558">
        <v>8.1300000000000008</v>
      </c>
      <c r="D558">
        <v>8.36</v>
      </c>
      <c r="E558">
        <v>8.08</v>
      </c>
      <c r="F558">
        <v>8.27</v>
      </c>
      <c r="G558">
        <v>370185</v>
      </c>
      <c r="H558">
        <v>304688640</v>
      </c>
      <c r="I558">
        <v>1.3</v>
      </c>
      <c r="J558" t="s">
        <v>376</v>
      </c>
      <c r="K558" t="s">
        <v>241</v>
      </c>
      <c r="L558">
        <v>2.61</v>
      </c>
      <c r="M558">
        <v>8.23</v>
      </c>
      <c r="N558">
        <v>166687</v>
      </c>
      <c r="O558">
        <v>203498</v>
      </c>
      <c r="P558">
        <v>0.82</v>
      </c>
      <c r="Q558">
        <v>1455</v>
      </c>
      <c r="R558">
        <v>2428</v>
      </c>
      <c r="S558" t="s">
        <v>3</v>
      </c>
      <c r="T558">
        <v>115396.17</v>
      </c>
      <c r="U558" t="s">
        <v>1617</v>
      </c>
      <c r="V558" t="s">
        <v>1618</v>
      </c>
      <c r="W558">
        <v>2.76</v>
      </c>
    </row>
    <row r="559" spans="1:23">
      <c r="A559" t="str">
        <f>"002093"</f>
        <v>002093</v>
      </c>
      <c r="B559" t="s">
        <v>1619</v>
      </c>
      <c r="C559">
        <v>6.11</v>
      </c>
      <c r="D559">
        <v>6.15</v>
      </c>
      <c r="E559">
        <v>6.04</v>
      </c>
      <c r="F559">
        <v>6.11</v>
      </c>
      <c r="G559">
        <v>126506</v>
      </c>
      <c r="H559">
        <v>77140944</v>
      </c>
      <c r="I559">
        <v>0.8</v>
      </c>
      <c r="J559" t="s">
        <v>1620</v>
      </c>
      <c r="K559" t="s">
        <v>414</v>
      </c>
      <c r="L559">
        <v>-0.49</v>
      </c>
      <c r="M559">
        <v>6.1</v>
      </c>
      <c r="N559">
        <v>69044</v>
      </c>
      <c r="O559">
        <v>57462</v>
      </c>
      <c r="P559">
        <v>1.2</v>
      </c>
      <c r="Q559">
        <v>169</v>
      </c>
      <c r="R559">
        <v>1981</v>
      </c>
      <c r="S559" t="s">
        <v>3</v>
      </c>
      <c r="T559">
        <v>85291.22</v>
      </c>
      <c r="U559" t="s">
        <v>1621</v>
      </c>
      <c r="V559" t="s">
        <v>1622</v>
      </c>
      <c r="W559">
        <v>-0.33</v>
      </c>
    </row>
    <row r="560" spans="1:23">
      <c r="A560" t="str">
        <f>"002094"</f>
        <v>002094</v>
      </c>
      <c r="B560" t="s">
        <v>1623</v>
      </c>
      <c r="C560">
        <v>15.05</v>
      </c>
      <c r="D560">
        <v>15.29</v>
      </c>
      <c r="E560">
        <v>14.65</v>
      </c>
      <c r="F560">
        <v>15.28</v>
      </c>
      <c r="G560">
        <v>80367</v>
      </c>
      <c r="H560">
        <v>120376944</v>
      </c>
      <c r="I560">
        <v>1.0900000000000001</v>
      </c>
      <c r="J560" t="s">
        <v>405</v>
      </c>
      <c r="K560" t="s">
        <v>250</v>
      </c>
      <c r="L560">
        <v>1.87</v>
      </c>
      <c r="M560">
        <v>14.98</v>
      </c>
      <c r="N560">
        <v>42888</v>
      </c>
      <c r="O560">
        <v>37478</v>
      </c>
      <c r="P560">
        <v>1.1399999999999999</v>
      </c>
      <c r="Q560">
        <v>1426</v>
      </c>
      <c r="R560">
        <v>525</v>
      </c>
      <c r="S560" t="s">
        <v>3</v>
      </c>
      <c r="T560">
        <v>32184.16</v>
      </c>
      <c r="U560" t="s">
        <v>973</v>
      </c>
      <c r="V560" t="s">
        <v>1624</v>
      </c>
      <c r="W560">
        <v>2.0299999999999998</v>
      </c>
    </row>
    <row r="561" spans="1:23">
      <c r="A561" t="str">
        <f>"002095"</f>
        <v>002095</v>
      </c>
      <c r="B561" t="s">
        <v>1625</v>
      </c>
      <c r="C561">
        <v>29.99</v>
      </c>
      <c r="D561">
        <v>30.64</v>
      </c>
      <c r="E561">
        <v>29.72</v>
      </c>
      <c r="F561">
        <v>29.98</v>
      </c>
      <c r="G561">
        <v>56132</v>
      </c>
      <c r="H561">
        <v>168749632</v>
      </c>
      <c r="I561">
        <v>0.78</v>
      </c>
      <c r="J561" t="s">
        <v>355</v>
      </c>
      <c r="K561" t="s">
        <v>229</v>
      </c>
      <c r="L561">
        <v>0.67</v>
      </c>
      <c r="M561">
        <v>30.06</v>
      </c>
      <c r="N561">
        <v>28673</v>
      </c>
      <c r="O561">
        <v>27458</v>
      </c>
      <c r="P561">
        <v>1.04</v>
      </c>
      <c r="Q561">
        <v>119</v>
      </c>
      <c r="R561">
        <v>231</v>
      </c>
      <c r="S561" t="s">
        <v>3</v>
      </c>
      <c r="T561">
        <v>20914.5</v>
      </c>
      <c r="U561" t="s">
        <v>1626</v>
      </c>
      <c r="V561" t="s">
        <v>1627</v>
      </c>
      <c r="W561">
        <v>0.83</v>
      </c>
    </row>
    <row r="562" spans="1:23">
      <c r="A562" t="str">
        <f>"002096"</f>
        <v>002096</v>
      </c>
      <c r="B562" t="s">
        <v>1628</v>
      </c>
      <c r="C562">
        <v>11.13</v>
      </c>
      <c r="D562">
        <v>11.16</v>
      </c>
      <c r="E562">
        <v>10.87</v>
      </c>
      <c r="F562">
        <v>11.02</v>
      </c>
      <c r="G562">
        <v>27449</v>
      </c>
      <c r="H562">
        <v>30185420</v>
      </c>
      <c r="I562">
        <v>0.68</v>
      </c>
      <c r="J562" t="s">
        <v>376</v>
      </c>
      <c r="K562" t="s">
        <v>234</v>
      </c>
      <c r="L562">
        <v>-0.72</v>
      </c>
      <c r="M562">
        <v>11</v>
      </c>
      <c r="N562">
        <v>16594</v>
      </c>
      <c r="O562">
        <v>10855</v>
      </c>
      <c r="P562">
        <v>1.53</v>
      </c>
      <c r="Q562">
        <v>143</v>
      </c>
      <c r="R562">
        <v>30</v>
      </c>
      <c r="S562" t="s">
        <v>3</v>
      </c>
      <c r="T562">
        <v>26386.01</v>
      </c>
      <c r="U562" t="s">
        <v>799</v>
      </c>
      <c r="V562" t="s">
        <v>1629</v>
      </c>
      <c r="W562">
        <v>-0.56000000000000005</v>
      </c>
    </row>
    <row r="563" spans="1:23">
      <c r="A563" t="str">
        <f>"002097"</f>
        <v>002097</v>
      </c>
      <c r="B563" t="s">
        <v>1630</v>
      </c>
      <c r="C563">
        <v>9.76</v>
      </c>
      <c r="D563">
        <v>10.050000000000001</v>
      </c>
      <c r="E563">
        <v>9.6</v>
      </c>
      <c r="F563">
        <v>10.02</v>
      </c>
      <c r="G563">
        <v>215895</v>
      </c>
      <c r="H563">
        <v>212485072</v>
      </c>
      <c r="I563">
        <v>1.05</v>
      </c>
      <c r="J563" t="s">
        <v>233</v>
      </c>
      <c r="K563" t="s">
        <v>234</v>
      </c>
      <c r="L563">
        <v>2.2400000000000002</v>
      </c>
      <c r="M563">
        <v>9.84</v>
      </c>
      <c r="N563">
        <v>113450</v>
      </c>
      <c r="O563">
        <v>102444</v>
      </c>
      <c r="P563">
        <v>1.1100000000000001</v>
      </c>
      <c r="Q563">
        <v>2054</v>
      </c>
      <c r="R563">
        <v>500</v>
      </c>
      <c r="S563" t="s">
        <v>3</v>
      </c>
      <c r="T563">
        <v>32744.49</v>
      </c>
      <c r="U563" t="s">
        <v>1631</v>
      </c>
      <c r="V563" t="s">
        <v>1632</v>
      </c>
      <c r="W563">
        <v>2.4</v>
      </c>
    </row>
    <row r="564" spans="1:23">
      <c r="A564" t="str">
        <f>"002098"</f>
        <v>002098</v>
      </c>
      <c r="B564" t="s">
        <v>1633</v>
      </c>
      <c r="C564">
        <v>13.81</v>
      </c>
      <c r="D564">
        <v>13.81</v>
      </c>
      <c r="E564">
        <v>13.5</v>
      </c>
      <c r="F564">
        <v>13.68</v>
      </c>
      <c r="G564">
        <v>21482</v>
      </c>
      <c r="H564">
        <v>29271894</v>
      </c>
      <c r="I564">
        <v>0.52</v>
      </c>
      <c r="J564" t="s">
        <v>1373</v>
      </c>
      <c r="K564" t="s">
        <v>414</v>
      </c>
      <c r="L564">
        <v>-0.28999999999999998</v>
      </c>
      <c r="M564">
        <v>13.63</v>
      </c>
      <c r="N564">
        <v>10777</v>
      </c>
      <c r="O564">
        <v>10704</v>
      </c>
      <c r="P564">
        <v>1.01</v>
      </c>
      <c r="Q564">
        <v>57</v>
      </c>
      <c r="R564">
        <v>643</v>
      </c>
      <c r="S564" t="s">
        <v>3</v>
      </c>
      <c r="T564">
        <v>15500</v>
      </c>
      <c r="U564" t="s">
        <v>1634</v>
      </c>
      <c r="V564" t="s">
        <v>1634</v>
      </c>
      <c r="W564">
        <v>-0.13</v>
      </c>
    </row>
    <row r="565" spans="1:23">
      <c r="A565" t="str">
        <f>"002099"</f>
        <v>002099</v>
      </c>
      <c r="B565" t="s">
        <v>1635</v>
      </c>
      <c r="C565">
        <v>9.8699999999999992</v>
      </c>
      <c r="D565">
        <v>10.01</v>
      </c>
      <c r="E565">
        <v>9.74</v>
      </c>
      <c r="F565">
        <v>10</v>
      </c>
      <c r="G565">
        <v>112762</v>
      </c>
      <c r="H565">
        <v>111018664</v>
      </c>
      <c r="I565">
        <v>0.6</v>
      </c>
      <c r="J565" t="s">
        <v>219</v>
      </c>
      <c r="K565" t="s">
        <v>229</v>
      </c>
      <c r="L565">
        <v>0.5</v>
      </c>
      <c r="M565">
        <v>9.85</v>
      </c>
      <c r="N565">
        <v>62795</v>
      </c>
      <c r="O565">
        <v>49966</v>
      </c>
      <c r="P565">
        <v>1.26</v>
      </c>
      <c r="Q565">
        <v>928</v>
      </c>
      <c r="R565">
        <v>272</v>
      </c>
      <c r="S565" t="s">
        <v>3</v>
      </c>
      <c r="T565">
        <v>25946.09</v>
      </c>
      <c r="U565" t="s">
        <v>889</v>
      </c>
      <c r="V565" t="s">
        <v>1636</v>
      </c>
      <c r="W565">
        <v>0.66</v>
      </c>
    </row>
    <row r="566" spans="1:23">
      <c r="A566" t="str">
        <f>"002100"</f>
        <v>002100</v>
      </c>
      <c r="B566" t="s">
        <v>1637</v>
      </c>
      <c r="C566">
        <v>13.62</v>
      </c>
      <c r="D566">
        <v>14.14</v>
      </c>
      <c r="E566">
        <v>13.46</v>
      </c>
      <c r="F566">
        <v>13.97</v>
      </c>
      <c r="G566">
        <v>89254</v>
      </c>
      <c r="H566">
        <v>123728336</v>
      </c>
      <c r="I566">
        <v>0.75</v>
      </c>
      <c r="J566" t="s">
        <v>141</v>
      </c>
      <c r="K566" t="s">
        <v>241</v>
      </c>
      <c r="L566">
        <v>2.12</v>
      </c>
      <c r="M566">
        <v>13.86</v>
      </c>
      <c r="N566">
        <v>37347</v>
      </c>
      <c r="O566">
        <v>51907</v>
      </c>
      <c r="P566">
        <v>0.72</v>
      </c>
      <c r="Q566">
        <v>233</v>
      </c>
      <c r="R566">
        <v>155</v>
      </c>
      <c r="S566" t="s">
        <v>3</v>
      </c>
      <c r="T566">
        <v>38318.53</v>
      </c>
      <c r="U566" t="s">
        <v>1638</v>
      </c>
      <c r="V566" t="s">
        <v>1639</v>
      </c>
      <c r="W566">
        <v>2.2799999999999998</v>
      </c>
    </row>
    <row r="567" spans="1:23">
      <c r="A567" t="str">
        <f>"002101"</f>
        <v>002101</v>
      </c>
      <c r="B567" t="s">
        <v>1640</v>
      </c>
      <c r="C567">
        <v>18.05</v>
      </c>
      <c r="D567">
        <v>18.18</v>
      </c>
      <c r="E567">
        <v>17.600000000000001</v>
      </c>
      <c r="F567">
        <v>18.18</v>
      </c>
      <c r="G567">
        <v>23941</v>
      </c>
      <c r="H567">
        <v>42961388</v>
      </c>
      <c r="I567">
        <v>0.49</v>
      </c>
      <c r="J567" t="s">
        <v>398</v>
      </c>
      <c r="K567" t="s">
        <v>211</v>
      </c>
      <c r="L567">
        <v>1.1100000000000001</v>
      </c>
      <c r="M567">
        <v>17.940000000000001</v>
      </c>
      <c r="N567">
        <v>12349</v>
      </c>
      <c r="O567">
        <v>11592</v>
      </c>
      <c r="P567">
        <v>1.07</v>
      </c>
      <c r="Q567">
        <v>193</v>
      </c>
      <c r="R567">
        <v>1314</v>
      </c>
      <c r="S567" t="s">
        <v>3</v>
      </c>
      <c r="T567">
        <v>19169.25</v>
      </c>
      <c r="U567" t="s">
        <v>1641</v>
      </c>
      <c r="V567" t="s">
        <v>1641</v>
      </c>
      <c r="W567">
        <v>1.27</v>
      </c>
    </row>
    <row r="568" spans="1:23">
      <c r="A568" t="str">
        <f>"002102"</f>
        <v>002102</v>
      </c>
      <c r="B568" t="s">
        <v>1642</v>
      </c>
      <c r="C568">
        <v>8.86</v>
      </c>
      <c r="D568">
        <v>9.1999999999999993</v>
      </c>
      <c r="E568">
        <v>8.81</v>
      </c>
      <c r="F568">
        <v>9.1</v>
      </c>
      <c r="G568">
        <v>295748</v>
      </c>
      <c r="H568">
        <v>267488464</v>
      </c>
      <c r="I568">
        <v>0.78</v>
      </c>
      <c r="J568" t="s">
        <v>1643</v>
      </c>
      <c r="K568" t="s">
        <v>414</v>
      </c>
      <c r="L568">
        <v>2.13</v>
      </c>
      <c r="M568">
        <v>9.0399999999999991</v>
      </c>
      <c r="N568">
        <v>162394</v>
      </c>
      <c r="O568">
        <v>133354</v>
      </c>
      <c r="P568">
        <v>1.22</v>
      </c>
      <c r="Q568">
        <v>277</v>
      </c>
      <c r="R568">
        <v>395</v>
      </c>
      <c r="S568" t="s">
        <v>3</v>
      </c>
      <c r="T568">
        <v>34501.279999999999</v>
      </c>
      <c r="U568" t="s">
        <v>222</v>
      </c>
      <c r="V568" t="s">
        <v>1644</v>
      </c>
      <c r="W568">
        <v>2.29</v>
      </c>
    </row>
    <row r="569" spans="1:23">
      <c r="A569" t="str">
        <f>"002103"</f>
        <v>002103</v>
      </c>
      <c r="B569" t="s">
        <v>1645</v>
      </c>
      <c r="C569" t="s">
        <v>3</v>
      </c>
      <c r="D569" t="s">
        <v>3</v>
      </c>
      <c r="E569" t="s">
        <v>3</v>
      </c>
      <c r="F569">
        <v>0</v>
      </c>
      <c r="G569">
        <v>0</v>
      </c>
      <c r="H569">
        <v>0</v>
      </c>
      <c r="I569">
        <v>0</v>
      </c>
      <c r="J569" t="s">
        <v>51</v>
      </c>
      <c r="K569" t="s">
        <v>229</v>
      </c>
      <c r="L569" t="s">
        <v>3</v>
      </c>
      <c r="M569">
        <v>10.18</v>
      </c>
      <c r="N569">
        <v>0</v>
      </c>
      <c r="O569">
        <v>0</v>
      </c>
      <c r="P569" t="s">
        <v>3</v>
      </c>
      <c r="Q569">
        <v>0</v>
      </c>
      <c r="R569">
        <v>0</v>
      </c>
      <c r="S569" t="s">
        <v>3</v>
      </c>
      <c r="T569">
        <v>17095.439999999999</v>
      </c>
      <c r="U569" t="s">
        <v>1646</v>
      </c>
      <c r="V569" t="s">
        <v>1647</v>
      </c>
      <c r="W569">
        <v>0.16</v>
      </c>
    </row>
    <row r="570" spans="1:23">
      <c r="A570" t="str">
        <f>"002104"</f>
        <v>002104</v>
      </c>
      <c r="B570" t="s">
        <v>1648</v>
      </c>
      <c r="C570">
        <v>14.75</v>
      </c>
      <c r="D570">
        <v>15.3</v>
      </c>
      <c r="E570">
        <v>14.52</v>
      </c>
      <c r="F570">
        <v>15.09</v>
      </c>
      <c r="G570">
        <v>178359</v>
      </c>
      <c r="H570">
        <v>268725984</v>
      </c>
      <c r="I570">
        <v>1.04</v>
      </c>
      <c r="J570" t="s">
        <v>62</v>
      </c>
      <c r="K570" t="s">
        <v>244</v>
      </c>
      <c r="L570">
        <v>2.5099999999999998</v>
      </c>
      <c r="M570">
        <v>15.07</v>
      </c>
      <c r="N570">
        <v>82385</v>
      </c>
      <c r="O570">
        <v>95974</v>
      </c>
      <c r="P570">
        <v>0.86</v>
      </c>
      <c r="Q570">
        <v>636</v>
      </c>
      <c r="R570">
        <v>92</v>
      </c>
      <c r="S570" t="s">
        <v>3</v>
      </c>
      <c r="T570">
        <v>54443.62</v>
      </c>
      <c r="U570" t="s">
        <v>1649</v>
      </c>
      <c r="V570" t="s">
        <v>1650</v>
      </c>
      <c r="W570">
        <v>2.67</v>
      </c>
    </row>
    <row r="571" spans="1:23">
      <c r="A571" t="str">
        <f>"002105"</f>
        <v>002105</v>
      </c>
      <c r="B571" t="s">
        <v>1651</v>
      </c>
      <c r="C571">
        <v>8.06</v>
      </c>
      <c r="D571">
        <v>8.5299999999999994</v>
      </c>
      <c r="E571">
        <v>7.8</v>
      </c>
      <c r="F571">
        <v>8.4</v>
      </c>
      <c r="G571">
        <v>399844</v>
      </c>
      <c r="H571">
        <v>327166080</v>
      </c>
      <c r="I571">
        <v>1.38</v>
      </c>
      <c r="J571" t="s">
        <v>51</v>
      </c>
      <c r="K571" t="s">
        <v>2</v>
      </c>
      <c r="L571">
        <v>3.07</v>
      </c>
      <c r="M571">
        <v>8.18</v>
      </c>
      <c r="N571">
        <v>186421</v>
      </c>
      <c r="O571">
        <v>213423</v>
      </c>
      <c r="P571">
        <v>0.87</v>
      </c>
      <c r="Q571">
        <v>535</v>
      </c>
      <c r="R571">
        <v>1506</v>
      </c>
      <c r="S571" t="s">
        <v>3</v>
      </c>
      <c r="T571">
        <v>33500</v>
      </c>
      <c r="U571" t="s">
        <v>1261</v>
      </c>
      <c r="V571" t="s">
        <v>1261</v>
      </c>
      <c r="W571">
        <v>3.23</v>
      </c>
    </row>
    <row r="572" spans="1:23">
      <c r="A572" t="str">
        <f>"002106"</f>
        <v>002106</v>
      </c>
      <c r="B572" t="s">
        <v>1652</v>
      </c>
      <c r="C572">
        <v>13.31</v>
      </c>
      <c r="D572">
        <v>13.77</v>
      </c>
      <c r="E572">
        <v>13.31</v>
      </c>
      <c r="F572">
        <v>13.58</v>
      </c>
      <c r="G572">
        <v>421184</v>
      </c>
      <c r="H572">
        <v>569525824</v>
      </c>
      <c r="I572">
        <v>1.91</v>
      </c>
      <c r="J572" t="s">
        <v>62</v>
      </c>
      <c r="K572" t="s">
        <v>2</v>
      </c>
      <c r="L572">
        <v>3.66</v>
      </c>
      <c r="M572">
        <v>13.52</v>
      </c>
      <c r="N572">
        <v>191452</v>
      </c>
      <c r="O572">
        <v>229731</v>
      </c>
      <c r="P572">
        <v>0.83</v>
      </c>
      <c r="Q572">
        <v>408</v>
      </c>
      <c r="R572">
        <v>769</v>
      </c>
      <c r="S572" t="s">
        <v>3</v>
      </c>
      <c r="T572">
        <v>67306.63</v>
      </c>
      <c r="U572" t="s">
        <v>1653</v>
      </c>
      <c r="V572" t="s">
        <v>1654</v>
      </c>
      <c r="W572">
        <v>3.82</v>
      </c>
    </row>
    <row r="573" spans="1:23">
      <c r="A573" t="str">
        <f>"002107"</f>
        <v>002107</v>
      </c>
      <c r="B573" t="s">
        <v>1655</v>
      </c>
      <c r="C573">
        <v>16.350000000000001</v>
      </c>
      <c r="D573">
        <v>17.28</v>
      </c>
      <c r="E573">
        <v>16.32</v>
      </c>
      <c r="F573">
        <v>17.16</v>
      </c>
      <c r="G573">
        <v>31783</v>
      </c>
      <c r="H573">
        <v>53818036</v>
      </c>
      <c r="I573">
        <v>2.1</v>
      </c>
      <c r="J573" t="s">
        <v>321</v>
      </c>
      <c r="K573" t="s">
        <v>250</v>
      </c>
      <c r="L573">
        <v>4.57</v>
      </c>
      <c r="M573">
        <v>16.93</v>
      </c>
      <c r="N573">
        <v>8984</v>
      </c>
      <c r="O573">
        <v>22798</v>
      </c>
      <c r="P573">
        <v>0.39</v>
      </c>
      <c r="Q573">
        <v>183</v>
      </c>
      <c r="R573">
        <v>64</v>
      </c>
      <c r="S573" t="s">
        <v>3</v>
      </c>
      <c r="T573">
        <v>7511.04</v>
      </c>
      <c r="U573" t="s">
        <v>739</v>
      </c>
      <c r="V573" t="s">
        <v>1261</v>
      </c>
      <c r="W573">
        <v>4.7300000000000004</v>
      </c>
    </row>
    <row r="574" spans="1:23">
      <c r="A574" t="str">
        <f>"002108"</f>
        <v>002108</v>
      </c>
      <c r="B574" t="s">
        <v>1656</v>
      </c>
      <c r="C574">
        <v>16.77</v>
      </c>
      <c r="D574">
        <v>17.5</v>
      </c>
      <c r="E574">
        <v>16.760000000000002</v>
      </c>
      <c r="F574">
        <v>17.41</v>
      </c>
      <c r="G574">
        <v>135300</v>
      </c>
      <c r="H574">
        <v>233209872</v>
      </c>
      <c r="I574">
        <v>1.55</v>
      </c>
      <c r="J574" t="s">
        <v>273</v>
      </c>
      <c r="K574" t="s">
        <v>238</v>
      </c>
      <c r="L574">
        <v>3.94</v>
      </c>
      <c r="M574">
        <v>17.239999999999998</v>
      </c>
      <c r="N574">
        <v>54290</v>
      </c>
      <c r="O574">
        <v>81010</v>
      </c>
      <c r="P574">
        <v>0.67</v>
      </c>
      <c r="Q574">
        <v>285</v>
      </c>
      <c r="R574">
        <v>184</v>
      </c>
      <c r="S574" t="s">
        <v>3</v>
      </c>
      <c r="T574">
        <v>33627.42</v>
      </c>
      <c r="U574" t="s">
        <v>1657</v>
      </c>
      <c r="V574" t="s">
        <v>1658</v>
      </c>
      <c r="W574">
        <v>4.0999999999999996</v>
      </c>
    </row>
    <row r="575" spans="1:23">
      <c r="A575" t="str">
        <f>"002109"</f>
        <v>002109</v>
      </c>
      <c r="B575" t="s">
        <v>1659</v>
      </c>
      <c r="C575">
        <v>5.53</v>
      </c>
      <c r="D575">
        <v>5.62</v>
      </c>
      <c r="E575">
        <v>5.5</v>
      </c>
      <c r="F575">
        <v>5.59</v>
      </c>
      <c r="G575">
        <v>71518</v>
      </c>
      <c r="H575">
        <v>39857380</v>
      </c>
      <c r="I575">
        <v>0.79</v>
      </c>
      <c r="J575" t="s">
        <v>376</v>
      </c>
      <c r="K575" t="s">
        <v>389</v>
      </c>
      <c r="L575">
        <v>1.08</v>
      </c>
      <c r="M575">
        <v>5.57</v>
      </c>
      <c r="N575">
        <v>31283</v>
      </c>
      <c r="O575">
        <v>40235</v>
      </c>
      <c r="P575">
        <v>0.78</v>
      </c>
      <c r="Q575">
        <v>616</v>
      </c>
      <c r="R575">
        <v>200</v>
      </c>
      <c r="S575" t="s">
        <v>3</v>
      </c>
      <c r="T575">
        <v>35840</v>
      </c>
      <c r="U575" t="s">
        <v>1660</v>
      </c>
      <c r="V575" t="s">
        <v>1660</v>
      </c>
      <c r="W575">
        <v>1.24</v>
      </c>
    </row>
    <row r="576" spans="1:23">
      <c r="A576" t="str">
        <f>"002110"</f>
        <v>002110</v>
      </c>
      <c r="B576" t="s">
        <v>1661</v>
      </c>
      <c r="C576">
        <v>5.09</v>
      </c>
      <c r="D576">
        <v>5.18</v>
      </c>
      <c r="E576">
        <v>5.05</v>
      </c>
      <c r="F576">
        <v>5.13</v>
      </c>
      <c r="G576">
        <v>62274</v>
      </c>
      <c r="H576">
        <v>31936636</v>
      </c>
      <c r="I576">
        <v>1.43</v>
      </c>
      <c r="J576" t="s">
        <v>279</v>
      </c>
      <c r="K576" t="s">
        <v>414</v>
      </c>
      <c r="L576">
        <v>0.79</v>
      </c>
      <c r="M576">
        <v>5.13</v>
      </c>
      <c r="N576">
        <v>34083</v>
      </c>
      <c r="O576">
        <v>28191</v>
      </c>
      <c r="P576">
        <v>1.21</v>
      </c>
      <c r="Q576">
        <v>437</v>
      </c>
      <c r="R576">
        <v>426</v>
      </c>
      <c r="S576" t="s">
        <v>3</v>
      </c>
      <c r="T576">
        <v>53470</v>
      </c>
      <c r="U576" t="s">
        <v>1662</v>
      </c>
      <c r="V576" t="s">
        <v>1662</v>
      </c>
      <c r="W576">
        <v>0.94</v>
      </c>
    </row>
    <row r="577" spans="1:23">
      <c r="A577" t="str">
        <f>"002111"</f>
        <v>002111</v>
      </c>
      <c r="B577" t="s">
        <v>1663</v>
      </c>
      <c r="C577">
        <v>15.44</v>
      </c>
      <c r="D577">
        <v>15.59</v>
      </c>
      <c r="E577">
        <v>15.3</v>
      </c>
      <c r="F577">
        <v>15.55</v>
      </c>
      <c r="G577">
        <v>39895</v>
      </c>
      <c r="H577">
        <v>61793828</v>
      </c>
      <c r="I577">
        <v>0.75</v>
      </c>
      <c r="J577" t="s">
        <v>892</v>
      </c>
      <c r="K577" t="s">
        <v>250</v>
      </c>
      <c r="L577">
        <v>0.78</v>
      </c>
      <c r="M577">
        <v>15.49</v>
      </c>
      <c r="N577">
        <v>20777</v>
      </c>
      <c r="O577">
        <v>19118</v>
      </c>
      <c r="P577">
        <v>1.0900000000000001</v>
      </c>
      <c r="Q577">
        <v>381</v>
      </c>
      <c r="R577">
        <v>428</v>
      </c>
      <c r="S577" t="s">
        <v>3</v>
      </c>
      <c r="T577">
        <v>26366.33</v>
      </c>
      <c r="U577" t="s">
        <v>1664</v>
      </c>
      <c r="V577" t="s">
        <v>1665</v>
      </c>
      <c r="W577">
        <v>0.94</v>
      </c>
    </row>
    <row r="578" spans="1:23">
      <c r="A578" t="str">
        <f>"002112"</f>
        <v>002112</v>
      </c>
      <c r="B578" t="s">
        <v>1666</v>
      </c>
      <c r="C578">
        <v>9.58</v>
      </c>
      <c r="D578">
        <v>9.84</v>
      </c>
      <c r="E578">
        <v>9.58</v>
      </c>
      <c r="F578">
        <v>9.7799999999999994</v>
      </c>
      <c r="G578">
        <v>39824</v>
      </c>
      <c r="H578">
        <v>38826720</v>
      </c>
      <c r="I578">
        <v>1.05</v>
      </c>
      <c r="J578" t="s">
        <v>145</v>
      </c>
      <c r="K578" t="s">
        <v>229</v>
      </c>
      <c r="L578">
        <v>2.09</v>
      </c>
      <c r="M578">
        <v>9.75</v>
      </c>
      <c r="N578">
        <v>18465</v>
      </c>
      <c r="O578">
        <v>21358</v>
      </c>
      <c r="P578">
        <v>0.86</v>
      </c>
      <c r="Q578">
        <v>96</v>
      </c>
      <c r="R578">
        <v>520</v>
      </c>
      <c r="S578" t="s">
        <v>3</v>
      </c>
      <c r="T578">
        <v>18706.900000000001</v>
      </c>
      <c r="U578" t="s">
        <v>1667</v>
      </c>
      <c r="V578" t="s">
        <v>586</v>
      </c>
      <c r="W578">
        <v>2.25</v>
      </c>
    </row>
    <row r="579" spans="1:23">
      <c r="A579" t="str">
        <f>"002113"</f>
        <v>002113</v>
      </c>
      <c r="B579" t="s">
        <v>1668</v>
      </c>
      <c r="C579" t="s">
        <v>3</v>
      </c>
      <c r="D579" t="s">
        <v>3</v>
      </c>
      <c r="E579" t="s">
        <v>3</v>
      </c>
      <c r="F579">
        <v>0</v>
      </c>
      <c r="G579">
        <v>0</v>
      </c>
      <c r="H579">
        <v>0</v>
      </c>
      <c r="I579">
        <v>0</v>
      </c>
      <c r="J579" t="s">
        <v>224</v>
      </c>
      <c r="K579" t="s">
        <v>234</v>
      </c>
      <c r="L579" t="s">
        <v>3</v>
      </c>
      <c r="M579">
        <v>16.760000000000002</v>
      </c>
      <c r="N579">
        <v>0</v>
      </c>
      <c r="O579">
        <v>0</v>
      </c>
      <c r="P579" t="s">
        <v>3</v>
      </c>
      <c r="Q579">
        <v>0</v>
      </c>
      <c r="R579">
        <v>0</v>
      </c>
      <c r="S579" t="s">
        <v>3</v>
      </c>
      <c r="T579">
        <v>11839.71</v>
      </c>
      <c r="U579" t="s">
        <v>1669</v>
      </c>
      <c r="V579" t="s">
        <v>1669</v>
      </c>
      <c r="W579">
        <v>0.16</v>
      </c>
    </row>
    <row r="580" spans="1:23">
      <c r="A580" t="str">
        <f>"002114"</f>
        <v>002114</v>
      </c>
      <c r="B580" t="s">
        <v>1670</v>
      </c>
      <c r="C580">
        <v>19.100000000000001</v>
      </c>
      <c r="D580">
        <v>19.260000000000002</v>
      </c>
      <c r="E580">
        <v>18.53</v>
      </c>
      <c r="F580">
        <v>18.89</v>
      </c>
      <c r="G580">
        <v>121574</v>
      </c>
      <c r="H580">
        <v>229191456</v>
      </c>
      <c r="I580">
        <v>0.96</v>
      </c>
      <c r="J580" t="s">
        <v>165</v>
      </c>
      <c r="K580" t="s">
        <v>445</v>
      </c>
      <c r="L580">
        <v>-2.83</v>
      </c>
      <c r="M580">
        <v>18.850000000000001</v>
      </c>
      <c r="N580">
        <v>69812</v>
      </c>
      <c r="O580">
        <v>51762</v>
      </c>
      <c r="P580">
        <v>1.35</v>
      </c>
      <c r="Q580">
        <v>190</v>
      </c>
      <c r="R580">
        <v>729</v>
      </c>
      <c r="S580" t="s">
        <v>3</v>
      </c>
      <c r="T580">
        <v>8625.33</v>
      </c>
      <c r="U580" t="s">
        <v>1671</v>
      </c>
      <c r="V580" t="s">
        <v>1672</v>
      </c>
      <c r="W580">
        <v>-2.67</v>
      </c>
    </row>
    <row r="581" spans="1:23">
      <c r="A581" t="str">
        <f>"002115"</f>
        <v>002115</v>
      </c>
      <c r="B581" t="s">
        <v>1673</v>
      </c>
      <c r="C581">
        <v>7.69</v>
      </c>
      <c r="D581">
        <v>7.76</v>
      </c>
      <c r="E581">
        <v>7.5</v>
      </c>
      <c r="F581">
        <v>7.76</v>
      </c>
      <c r="G581">
        <v>102053</v>
      </c>
      <c r="H581">
        <v>78039840</v>
      </c>
      <c r="I581">
        <v>0.83</v>
      </c>
      <c r="J581" t="s">
        <v>112</v>
      </c>
      <c r="K581" t="s">
        <v>229</v>
      </c>
      <c r="L581">
        <v>0.91</v>
      </c>
      <c r="M581">
        <v>7.65</v>
      </c>
      <c r="N581">
        <v>52727</v>
      </c>
      <c r="O581">
        <v>49326</v>
      </c>
      <c r="P581">
        <v>1.07</v>
      </c>
      <c r="Q581">
        <v>1581</v>
      </c>
      <c r="R581">
        <v>544</v>
      </c>
      <c r="S581" t="s">
        <v>3</v>
      </c>
      <c r="T581">
        <v>33887.599999999999</v>
      </c>
      <c r="U581" t="s">
        <v>1674</v>
      </c>
      <c r="V581" t="s">
        <v>1675</v>
      </c>
      <c r="W581">
        <v>1.07</v>
      </c>
    </row>
    <row r="582" spans="1:23">
      <c r="A582" t="str">
        <f>"002116"</f>
        <v>002116</v>
      </c>
      <c r="B582" t="s">
        <v>1676</v>
      </c>
      <c r="C582">
        <v>13.15</v>
      </c>
      <c r="D582">
        <v>13.2</v>
      </c>
      <c r="E582">
        <v>12.85</v>
      </c>
      <c r="F582">
        <v>13.11</v>
      </c>
      <c r="G582">
        <v>64801</v>
      </c>
      <c r="H582">
        <v>84340200</v>
      </c>
      <c r="I582">
        <v>1.25</v>
      </c>
      <c r="J582" t="s">
        <v>33</v>
      </c>
      <c r="K582" t="s">
        <v>727</v>
      </c>
      <c r="L582">
        <v>-0.08</v>
      </c>
      <c r="M582">
        <v>13.02</v>
      </c>
      <c r="N582">
        <v>33517</v>
      </c>
      <c r="O582">
        <v>31283</v>
      </c>
      <c r="P582">
        <v>1.07</v>
      </c>
      <c r="Q582">
        <v>310</v>
      </c>
      <c r="R582">
        <v>304</v>
      </c>
      <c r="S582" t="s">
        <v>3</v>
      </c>
      <c r="T582">
        <v>30746.82</v>
      </c>
      <c r="U582" t="s">
        <v>1677</v>
      </c>
      <c r="V582" t="s">
        <v>1678</v>
      </c>
      <c r="W582">
        <v>0.08</v>
      </c>
    </row>
    <row r="583" spans="1:23">
      <c r="A583" t="str">
        <f>"002117"</f>
        <v>002117</v>
      </c>
      <c r="B583" t="s">
        <v>1679</v>
      </c>
      <c r="C583">
        <v>17.149999999999999</v>
      </c>
      <c r="D583">
        <v>17.16</v>
      </c>
      <c r="E583">
        <v>16.86</v>
      </c>
      <c r="F583">
        <v>16.97</v>
      </c>
      <c r="G583">
        <v>50433</v>
      </c>
      <c r="H583">
        <v>85781536</v>
      </c>
      <c r="I583">
        <v>0.86</v>
      </c>
      <c r="J583" t="s">
        <v>707</v>
      </c>
      <c r="K583" t="s">
        <v>250</v>
      </c>
      <c r="L583">
        <v>-0.53</v>
      </c>
      <c r="M583">
        <v>17.010000000000002</v>
      </c>
      <c r="N583">
        <v>30951</v>
      </c>
      <c r="O583">
        <v>19482</v>
      </c>
      <c r="P583">
        <v>1.59</v>
      </c>
      <c r="Q583">
        <v>13</v>
      </c>
      <c r="R583">
        <v>132</v>
      </c>
      <c r="S583" t="s">
        <v>3</v>
      </c>
      <c r="T583">
        <v>36067.89</v>
      </c>
      <c r="U583" t="s">
        <v>1680</v>
      </c>
      <c r="V583" t="s">
        <v>1681</v>
      </c>
      <c r="W583">
        <v>-0.37</v>
      </c>
    </row>
    <row r="584" spans="1:23">
      <c r="A584" t="str">
        <f>"002118"</f>
        <v>002118</v>
      </c>
      <c r="B584" t="s">
        <v>1682</v>
      </c>
      <c r="C584">
        <v>16.53</v>
      </c>
      <c r="D584">
        <v>17.600000000000001</v>
      </c>
      <c r="E584">
        <v>16.45</v>
      </c>
      <c r="F584">
        <v>17.11</v>
      </c>
      <c r="G584">
        <v>138277</v>
      </c>
      <c r="H584">
        <v>237955360</v>
      </c>
      <c r="I584">
        <v>1.0900000000000001</v>
      </c>
      <c r="J584" t="s">
        <v>321</v>
      </c>
      <c r="K584" t="s">
        <v>99</v>
      </c>
      <c r="L584">
        <v>2.52</v>
      </c>
      <c r="M584">
        <v>17.21</v>
      </c>
      <c r="N584">
        <v>68158</v>
      </c>
      <c r="O584">
        <v>70119</v>
      </c>
      <c r="P584">
        <v>0.97</v>
      </c>
      <c r="Q584">
        <v>1212</v>
      </c>
      <c r="R584">
        <v>231</v>
      </c>
      <c r="S584" t="s">
        <v>3</v>
      </c>
      <c r="T584">
        <v>51248.37</v>
      </c>
      <c r="U584" t="s">
        <v>1683</v>
      </c>
      <c r="V584" t="s">
        <v>1684</v>
      </c>
      <c r="W584">
        <v>2.67</v>
      </c>
    </row>
    <row r="585" spans="1:23">
      <c r="A585" t="str">
        <f>"002119"</f>
        <v>002119</v>
      </c>
      <c r="B585" t="s">
        <v>1685</v>
      </c>
      <c r="C585">
        <v>11.35</v>
      </c>
      <c r="D585">
        <v>11.43</v>
      </c>
      <c r="E585">
        <v>11.15</v>
      </c>
      <c r="F585">
        <v>11.16</v>
      </c>
      <c r="G585">
        <v>31277</v>
      </c>
      <c r="H585">
        <v>35167060</v>
      </c>
      <c r="I585">
        <v>0.59</v>
      </c>
      <c r="J585" t="s">
        <v>1581</v>
      </c>
      <c r="K585" t="s">
        <v>229</v>
      </c>
      <c r="L585">
        <v>-1.41</v>
      </c>
      <c r="M585">
        <v>11.24</v>
      </c>
      <c r="N585">
        <v>21713</v>
      </c>
      <c r="O585">
        <v>9563</v>
      </c>
      <c r="P585">
        <v>2.27</v>
      </c>
      <c r="Q585">
        <v>296</v>
      </c>
      <c r="R585">
        <v>3</v>
      </c>
      <c r="S585" t="s">
        <v>3</v>
      </c>
      <c r="T585">
        <v>19420</v>
      </c>
      <c r="U585" t="s">
        <v>1686</v>
      </c>
      <c r="V585" t="s">
        <v>1687</v>
      </c>
      <c r="W585">
        <v>-1.25</v>
      </c>
    </row>
    <row r="586" spans="1:23">
      <c r="A586" t="str">
        <f>"002120"</f>
        <v>002120</v>
      </c>
      <c r="B586" t="s">
        <v>1688</v>
      </c>
      <c r="C586">
        <v>14.57</v>
      </c>
      <c r="D586">
        <v>15.75</v>
      </c>
      <c r="E586">
        <v>14.51</v>
      </c>
      <c r="F586">
        <v>15.57</v>
      </c>
      <c r="G586">
        <v>98332</v>
      </c>
      <c r="H586">
        <v>149348144</v>
      </c>
      <c r="I586">
        <v>1.82</v>
      </c>
      <c r="J586" t="s">
        <v>1183</v>
      </c>
      <c r="K586" t="s">
        <v>229</v>
      </c>
      <c r="L586">
        <v>7.23</v>
      </c>
      <c r="M586">
        <v>15.19</v>
      </c>
      <c r="N586">
        <v>36784</v>
      </c>
      <c r="O586">
        <v>61547</v>
      </c>
      <c r="P586">
        <v>0.6</v>
      </c>
      <c r="Q586">
        <v>745</v>
      </c>
      <c r="R586">
        <v>50</v>
      </c>
      <c r="S586" t="s">
        <v>3</v>
      </c>
      <c r="T586">
        <v>9770.6200000000008</v>
      </c>
      <c r="U586" t="s">
        <v>1689</v>
      </c>
      <c r="V586" t="s">
        <v>1690</v>
      </c>
      <c r="W586">
        <v>7.39</v>
      </c>
    </row>
    <row r="587" spans="1:23">
      <c r="A587" t="str">
        <f>"002121"</f>
        <v>002121</v>
      </c>
      <c r="B587" t="s">
        <v>1691</v>
      </c>
      <c r="C587">
        <v>12.89</v>
      </c>
      <c r="D587">
        <v>13.07</v>
      </c>
      <c r="E587">
        <v>12.84</v>
      </c>
      <c r="F587">
        <v>12.9</v>
      </c>
      <c r="G587">
        <v>74333</v>
      </c>
      <c r="H587">
        <v>96136416</v>
      </c>
      <c r="I587">
        <v>0.78</v>
      </c>
      <c r="J587" t="s">
        <v>617</v>
      </c>
      <c r="K587" t="s">
        <v>2</v>
      </c>
      <c r="L587">
        <v>-0.31</v>
      </c>
      <c r="M587">
        <v>12.93</v>
      </c>
      <c r="N587">
        <v>45695</v>
      </c>
      <c r="O587">
        <v>28638</v>
      </c>
      <c r="P587">
        <v>1.6</v>
      </c>
      <c r="Q587">
        <v>204</v>
      </c>
      <c r="R587">
        <v>661</v>
      </c>
      <c r="S587" t="s">
        <v>3</v>
      </c>
      <c r="T587">
        <v>26732.69</v>
      </c>
      <c r="U587" t="s">
        <v>1692</v>
      </c>
      <c r="V587" t="s">
        <v>267</v>
      </c>
      <c r="W587">
        <v>-0.15</v>
      </c>
    </row>
    <row r="588" spans="1:23">
      <c r="A588" t="str">
        <f>"002122"</f>
        <v>002122</v>
      </c>
      <c r="B588" t="s">
        <v>1693</v>
      </c>
      <c r="C588">
        <v>5.46</v>
      </c>
      <c r="D588">
        <v>5.58</v>
      </c>
      <c r="E588">
        <v>5.36</v>
      </c>
      <c r="F588">
        <v>5.58</v>
      </c>
      <c r="G588">
        <v>208367</v>
      </c>
      <c r="H588">
        <v>114502832</v>
      </c>
      <c r="I588">
        <v>1.89</v>
      </c>
      <c r="J588" t="s">
        <v>398</v>
      </c>
      <c r="K588" t="s">
        <v>229</v>
      </c>
      <c r="L588">
        <v>2.57</v>
      </c>
      <c r="M588">
        <v>5.5</v>
      </c>
      <c r="N588">
        <v>80772</v>
      </c>
      <c r="O588">
        <v>127595</v>
      </c>
      <c r="P588">
        <v>0.63</v>
      </c>
      <c r="Q588">
        <v>1687</v>
      </c>
      <c r="R588">
        <v>2339</v>
      </c>
      <c r="S588" t="s">
        <v>3</v>
      </c>
      <c r="T588">
        <v>105146.97</v>
      </c>
      <c r="U588" t="s">
        <v>1694</v>
      </c>
      <c r="V588" t="s">
        <v>1695</v>
      </c>
      <c r="W588">
        <v>2.73</v>
      </c>
    </row>
    <row r="589" spans="1:23">
      <c r="A589" t="str">
        <f>"002123"</f>
        <v>002123</v>
      </c>
      <c r="B589" t="s">
        <v>1696</v>
      </c>
      <c r="C589">
        <v>9.01</v>
      </c>
      <c r="D589">
        <v>9.0399999999999991</v>
      </c>
      <c r="E589">
        <v>8.89</v>
      </c>
      <c r="F589">
        <v>8.99</v>
      </c>
      <c r="G589">
        <v>174350</v>
      </c>
      <c r="H589">
        <v>156374176</v>
      </c>
      <c r="I589">
        <v>0.94</v>
      </c>
      <c r="J589" t="s">
        <v>145</v>
      </c>
      <c r="K589" t="s">
        <v>162</v>
      </c>
      <c r="L589">
        <v>-0.33</v>
      </c>
      <c r="M589">
        <v>8.9700000000000006</v>
      </c>
      <c r="N589">
        <v>94908</v>
      </c>
      <c r="O589">
        <v>79442</v>
      </c>
      <c r="P589">
        <v>1.19</v>
      </c>
      <c r="Q589">
        <v>703</v>
      </c>
      <c r="R589">
        <v>1031</v>
      </c>
      <c r="S589" t="s">
        <v>3</v>
      </c>
      <c r="T589">
        <v>45291.5</v>
      </c>
      <c r="U589" t="s">
        <v>1697</v>
      </c>
      <c r="V589" t="s">
        <v>1698</v>
      </c>
      <c r="W589">
        <v>-0.17</v>
      </c>
    </row>
    <row r="590" spans="1:23">
      <c r="A590" t="str">
        <f>"002124"</f>
        <v>002124</v>
      </c>
      <c r="B590" t="s">
        <v>1699</v>
      </c>
      <c r="C590">
        <v>11.52</v>
      </c>
      <c r="D590">
        <v>11.99</v>
      </c>
      <c r="E590">
        <v>11.35</v>
      </c>
      <c r="F590">
        <v>11.92</v>
      </c>
      <c r="G590">
        <v>45618</v>
      </c>
      <c r="H590">
        <v>53700492</v>
      </c>
      <c r="I590">
        <v>1.42</v>
      </c>
      <c r="J590" t="s">
        <v>141</v>
      </c>
      <c r="K590" t="s">
        <v>229</v>
      </c>
      <c r="L590">
        <v>3.65</v>
      </c>
      <c r="M590">
        <v>11.77</v>
      </c>
      <c r="N590">
        <v>20974</v>
      </c>
      <c r="O590">
        <v>24643</v>
      </c>
      <c r="P590">
        <v>0.85</v>
      </c>
      <c r="Q590">
        <v>90</v>
      </c>
      <c r="R590">
        <v>523</v>
      </c>
      <c r="S590" t="s">
        <v>3</v>
      </c>
      <c r="T590">
        <v>14460.16</v>
      </c>
      <c r="U590" t="s">
        <v>1700</v>
      </c>
      <c r="V590" t="s">
        <v>1701</v>
      </c>
      <c r="W590">
        <v>3.81</v>
      </c>
    </row>
    <row r="591" spans="1:23">
      <c r="A591" t="str">
        <f>"002125"</f>
        <v>002125</v>
      </c>
      <c r="B591" t="s">
        <v>1702</v>
      </c>
      <c r="C591">
        <v>12.66</v>
      </c>
      <c r="D591">
        <v>12.9</v>
      </c>
      <c r="E591">
        <v>12.45</v>
      </c>
      <c r="F591">
        <v>12.84</v>
      </c>
      <c r="G591">
        <v>73512</v>
      </c>
      <c r="H591">
        <v>93405792</v>
      </c>
      <c r="I591">
        <v>0.95</v>
      </c>
      <c r="J591" t="s">
        <v>376</v>
      </c>
      <c r="K591" t="s">
        <v>234</v>
      </c>
      <c r="L591">
        <v>1.42</v>
      </c>
      <c r="M591">
        <v>12.71</v>
      </c>
      <c r="N591">
        <v>35200</v>
      </c>
      <c r="O591">
        <v>38311</v>
      </c>
      <c r="P591">
        <v>0.92</v>
      </c>
      <c r="Q591">
        <v>579</v>
      </c>
      <c r="R591">
        <v>606</v>
      </c>
      <c r="S591" t="s">
        <v>3</v>
      </c>
      <c r="T591">
        <v>13912.8</v>
      </c>
      <c r="U591" t="s">
        <v>1703</v>
      </c>
      <c r="V591" t="s">
        <v>1703</v>
      </c>
      <c r="W591">
        <v>1.58</v>
      </c>
    </row>
    <row r="592" spans="1:23">
      <c r="A592" t="str">
        <f>"002126"</f>
        <v>002126</v>
      </c>
      <c r="B592" t="s">
        <v>1704</v>
      </c>
      <c r="C592">
        <v>14.24</v>
      </c>
      <c r="D592">
        <v>14.49</v>
      </c>
      <c r="E592">
        <v>14.07</v>
      </c>
      <c r="F592">
        <v>14.17</v>
      </c>
      <c r="G592">
        <v>157058</v>
      </c>
      <c r="H592">
        <v>223373472</v>
      </c>
      <c r="I592">
        <v>0.73</v>
      </c>
      <c r="J592" t="s">
        <v>98</v>
      </c>
      <c r="K592" t="s">
        <v>229</v>
      </c>
      <c r="L592">
        <v>-0.56000000000000005</v>
      </c>
      <c r="M592">
        <v>14.22</v>
      </c>
      <c r="N592">
        <v>68682</v>
      </c>
      <c r="O592">
        <v>88376</v>
      </c>
      <c r="P592">
        <v>0.78</v>
      </c>
      <c r="Q592">
        <v>86</v>
      </c>
      <c r="R592">
        <v>335</v>
      </c>
      <c r="S592" t="s">
        <v>3</v>
      </c>
      <c r="T592">
        <v>29591.32</v>
      </c>
      <c r="U592" t="s">
        <v>1705</v>
      </c>
      <c r="V592" t="s">
        <v>1706</v>
      </c>
      <c r="W592">
        <v>-0.4</v>
      </c>
    </row>
    <row r="593" spans="1:23">
      <c r="A593" t="str">
        <f>"002127"</f>
        <v>002127</v>
      </c>
      <c r="B593" t="s">
        <v>1707</v>
      </c>
      <c r="C593">
        <v>6.73</v>
      </c>
      <c r="D593">
        <v>6.88</v>
      </c>
      <c r="E593">
        <v>6.67</v>
      </c>
      <c r="F593">
        <v>6.88</v>
      </c>
      <c r="G593">
        <v>39950</v>
      </c>
      <c r="H593">
        <v>27194578</v>
      </c>
      <c r="I593">
        <v>0.65</v>
      </c>
      <c r="J593" t="s">
        <v>55</v>
      </c>
      <c r="K593" t="s">
        <v>244</v>
      </c>
      <c r="L593">
        <v>2.23</v>
      </c>
      <c r="M593">
        <v>6.81</v>
      </c>
      <c r="N593">
        <v>17323</v>
      </c>
      <c r="O593">
        <v>22627</v>
      </c>
      <c r="P593">
        <v>0.77</v>
      </c>
      <c r="Q593">
        <v>200</v>
      </c>
      <c r="R593">
        <v>831</v>
      </c>
      <c r="S593" t="s">
        <v>3</v>
      </c>
      <c r="T593">
        <v>32468.32</v>
      </c>
      <c r="U593" t="s">
        <v>1708</v>
      </c>
      <c r="V593" t="s">
        <v>1709</v>
      </c>
      <c r="W593">
        <v>2.39</v>
      </c>
    </row>
    <row r="594" spans="1:23">
      <c r="A594" t="str">
        <f>"002128"</f>
        <v>002128</v>
      </c>
      <c r="B594" t="s">
        <v>1710</v>
      </c>
      <c r="C594">
        <v>7.72</v>
      </c>
      <c r="D594">
        <v>7.82</v>
      </c>
      <c r="E594">
        <v>7.66</v>
      </c>
      <c r="F594">
        <v>7.77</v>
      </c>
      <c r="G594">
        <v>84493</v>
      </c>
      <c r="H594">
        <v>65405492</v>
      </c>
      <c r="I594">
        <v>1.1499999999999999</v>
      </c>
      <c r="J594" t="s">
        <v>482</v>
      </c>
      <c r="K594" t="s">
        <v>329</v>
      </c>
      <c r="L594">
        <v>0.39</v>
      </c>
      <c r="M594">
        <v>7.74</v>
      </c>
      <c r="N594">
        <v>41822</v>
      </c>
      <c r="O594">
        <v>42671</v>
      </c>
      <c r="P594">
        <v>0.98</v>
      </c>
      <c r="Q594">
        <v>278</v>
      </c>
      <c r="R594">
        <v>1475</v>
      </c>
      <c r="S594" t="s">
        <v>3</v>
      </c>
      <c r="T594">
        <v>132668.17000000001</v>
      </c>
      <c r="U594" t="s">
        <v>1711</v>
      </c>
      <c r="V594" t="s">
        <v>1711</v>
      </c>
      <c r="W594">
        <v>0.55000000000000004</v>
      </c>
    </row>
    <row r="595" spans="1:23">
      <c r="A595" t="str">
        <f>"002129"</f>
        <v>002129</v>
      </c>
      <c r="B595" t="s">
        <v>1712</v>
      </c>
      <c r="C595">
        <v>23.99</v>
      </c>
      <c r="D595">
        <v>24.15</v>
      </c>
      <c r="E595">
        <v>23.4</v>
      </c>
      <c r="F595">
        <v>23.69</v>
      </c>
      <c r="G595">
        <v>91930</v>
      </c>
      <c r="H595">
        <v>217484960</v>
      </c>
      <c r="I595">
        <v>0.86</v>
      </c>
      <c r="J595" t="s">
        <v>1581</v>
      </c>
      <c r="K595" t="s">
        <v>442</v>
      </c>
      <c r="L595">
        <v>-1.04</v>
      </c>
      <c r="M595">
        <v>23.66</v>
      </c>
      <c r="N595">
        <v>55518</v>
      </c>
      <c r="O595">
        <v>36412</v>
      </c>
      <c r="P595">
        <v>1.52</v>
      </c>
      <c r="Q595">
        <v>136</v>
      </c>
      <c r="R595">
        <v>78</v>
      </c>
      <c r="S595" t="s">
        <v>3</v>
      </c>
      <c r="T595">
        <v>72335.17</v>
      </c>
      <c r="U595" t="s">
        <v>1713</v>
      </c>
      <c r="V595" t="s">
        <v>1714</v>
      </c>
      <c r="W595">
        <v>-0.89</v>
      </c>
    </row>
    <row r="596" spans="1:23">
      <c r="A596" t="str">
        <f>"002130"</f>
        <v>002130</v>
      </c>
      <c r="B596" t="s">
        <v>1715</v>
      </c>
      <c r="C596">
        <v>11.47</v>
      </c>
      <c r="D596">
        <v>11.99</v>
      </c>
      <c r="E596">
        <v>11.31</v>
      </c>
      <c r="F596">
        <v>11.64</v>
      </c>
      <c r="G596">
        <v>562137</v>
      </c>
      <c r="H596">
        <v>651121344</v>
      </c>
      <c r="I596">
        <v>2.77</v>
      </c>
      <c r="J596" t="s">
        <v>145</v>
      </c>
      <c r="K596" t="s">
        <v>2</v>
      </c>
      <c r="L596">
        <v>5.91</v>
      </c>
      <c r="M596">
        <v>11.58</v>
      </c>
      <c r="N596">
        <v>260742</v>
      </c>
      <c r="O596">
        <v>301394</v>
      </c>
      <c r="P596">
        <v>0.87</v>
      </c>
      <c r="Q596">
        <v>3740</v>
      </c>
      <c r="R596">
        <v>3250</v>
      </c>
      <c r="S596" t="s">
        <v>3</v>
      </c>
      <c r="T596">
        <v>34725.69</v>
      </c>
      <c r="U596" t="s">
        <v>1716</v>
      </c>
      <c r="V596" t="s">
        <v>1717</v>
      </c>
      <c r="W596">
        <v>6.07</v>
      </c>
    </row>
    <row r="597" spans="1:23">
      <c r="A597" t="str">
        <f>"002131"</f>
        <v>002131</v>
      </c>
      <c r="B597" t="s">
        <v>1718</v>
      </c>
      <c r="C597">
        <v>21.22</v>
      </c>
      <c r="D597">
        <v>21.7</v>
      </c>
      <c r="E597">
        <v>21.2</v>
      </c>
      <c r="F597">
        <v>21.55</v>
      </c>
      <c r="G597">
        <v>40851</v>
      </c>
      <c r="H597">
        <v>87676056</v>
      </c>
      <c r="I597">
        <v>0.89</v>
      </c>
      <c r="J597" t="s">
        <v>535</v>
      </c>
      <c r="K597" t="s">
        <v>229</v>
      </c>
      <c r="L597">
        <v>1.6</v>
      </c>
      <c r="M597">
        <v>21.46</v>
      </c>
      <c r="N597">
        <v>20578</v>
      </c>
      <c r="O597">
        <v>20273</v>
      </c>
      <c r="P597">
        <v>1.02</v>
      </c>
      <c r="Q597">
        <v>152</v>
      </c>
      <c r="R597">
        <v>38</v>
      </c>
      <c r="S597" t="s">
        <v>3</v>
      </c>
      <c r="T597">
        <v>18060.080000000002</v>
      </c>
      <c r="U597" t="s">
        <v>1719</v>
      </c>
      <c r="V597" t="s">
        <v>1720</v>
      </c>
      <c r="W597">
        <v>1.76</v>
      </c>
    </row>
    <row r="598" spans="1:23">
      <c r="A598" t="str">
        <f>"002132"</f>
        <v>002132</v>
      </c>
      <c r="B598" t="s">
        <v>1721</v>
      </c>
      <c r="C598">
        <v>5.91</v>
      </c>
      <c r="D598">
        <v>5.93</v>
      </c>
      <c r="E598">
        <v>5.83</v>
      </c>
      <c r="F598">
        <v>5.87</v>
      </c>
      <c r="G598">
        <v>76211</v>
      </c>
      <c r="H598">
        <v>44776112</v>
      </c>
      <c r="I598">
        <v>1.08</v>
      </c>
      <c r="J598" t="s">
        <v>838</v>
      </c>
      <c r="K598" t="s">
        <v>254</v>
      </c>
      <c r="L598">
        <v>-1.01</v>
      </c>
      <c r="M598">
        <v>5.88</v>
      </c>
      <c r="N598">
        <v>40579</v>
      </c>
      <c r="O598">
        <v>35631</v>
      </c>
      <c r="P598">
        <v>1.1399999999999999</v>
      </c>
      <c r="Q598">
        <v>2504</v>
      </c>
      <c r="R598">
        <v>1245</v>
      </c>
      <c r="S598" t="s">
        <v>3</v>
      </c>
      <c r="T598">
        <v>34733.300000000003</v>
      </c>
      <c r="U598" t="s">
        <v>1722</v>
      </c>
      <c r="V598" t="s">
        <v>1723</v>
      </c>
      <c r="W598">
        <v>-0.85</v>
      </c>
    </row>
    <row r="599" spans="1:23">
      <c r="A599" t="str">
        <f>"002133"</f>
        <v>002133</v>
      </c>
      <c r="B599" t="s">
        <v>1724</v>
      </c>
      <c r="C599">
        <v>4.6399999999999997</v>
      </c>
      <c r="D599">
        <v>4.67</v>
      </c>
      <c r="E599">
        <v>4.55</v>
      </c>
      <c r="F599">
        <v>4.6500000000000004</v>
      </c>
      <c r="G599">
        <v>115030</v>
      </c>
      <c r="H599">
        <v>53205136</v>
      </c>
      <c r="I599">
        <v>0.62</v>
      </c>
      <c r="J599" t="s">
        <v>7</v>
      </c>
      <c r="K599" t="s">
        <v>229</v>
      </c>
      <c r="L599">
        <v>1.31</v>
      </c>
      <c r="M599">
        <v>4.63</v>
      </c>
      <c r="N599">
        <v>52670</v>
      </c>
      <c r="O599">
        <v>62359</v>
      </c>
      <c r="P599">
        <v>0.84</v>
      </c>
      <c r="Q599">
        <v>3185</v>
      </c>
      <c r="R599">
        <v>559</v>
      </c>
      <c r="S599" t="s">
        <v>3</v>
      </c>
      <c r="T599">
        <v>45524.98</v>
      </c>
      <c r="U599" t="s">
        <v>1725</v>
      </c>
      <c r="V599" t="s">
        <v>1726</v>
      </c>
      <c r="W599">
        <v>1.47</v>
      </c>
    </row>
    <row r="600" spans="1:23">
      <c r="A600" t="str">
        <f>"002134"</f>
        <v>002134</v>
      </c>
      <c r="B600" t="s">
        <v>1727</v>
      </c>
      <c r="C600">
        <v>8.6300000000000008</v>
      </c>
      <c r="D600">
        <v>8.74</v>
      </c>
      <c r="E600">
        <v>8.61</v>
      </c>
      <c r="F600">
        <v>8.68</v>
      </c>
      <c r="G600">
        <v>23052</v>
      </c>
      <c r="H600">
        <v>20021328</v>
      </c>
      <c r="I600">
        <v>0.65</v>
      </c>
      <c r="J600" t="s">
        <v>62</v>
      </c>
      <c r="K600" t="s">
        <v>442</v>
      </c>
      <c r="L600">
        <v>0.57999999999999996</v>
      </c>
      <c r="M600">
        <v>8.69</v>
      </c>
      <c r="N600">
        <v>11202</v>
      </c>
      <c r="O600">
        <v>11850</v>
      </c>
      <c r="P600">
        <v>0.95</v>
      </c>
      <c r="Q600">
        <v>72</v>
      </c>
      <c r="R600">
        <v>726</v>
      </c>
      <c r="S600" t="s">
        <v>3</v>
      </c>
      <c r="T600">
        <v>24584.98</v>
      </c>
      <c r="U600" t="s">
        <v>784</v>
      </c>
      <c r="V600" t="s">
        <v>784</v>
      </c>
      <c r="W600">
        <v>0.74</v>
      </c>
    </row>
    <row r="601" spans="1:23">
      <c r="A601" t="str">
        <f>"002135"</f>
        <v>002135</v>
      </c>
      <c r="B601" t="s">
        <v>1728</v>
      </c>
      <c r="C601">
        <v>4.51</v>
      </c>
      <c r="D601">
        <v>4.58</v>
      </c>
      <c r="E601">
        <v>4.46</v>
      </c>
      <c r="F601">
        <v>4.5599999999999996</v>
      </c>
      <c r="G601">
        <v>144018</v>
      </c>
      <c r="H601">
        <v>65056584</v>
      </c>
      <c r="I601">
        <v>1.18</v>
      </c>
      <c r="J601" t="s">
        <v>33</v>
      </c>
      <c r="K601" t="s">
        <v>229</v>
      </c>
      <c r="L601">
        <v>1.1100000000000001</v>
      </c>
      <c r="M601">
        <v>4.5199999999999996</v>
      </c>
      <c r="N601">
        <v>74034</v>
      </c>
      <c r="O601">
        <v>69984</v>
      </c>
      <c r="P601">
        <v>1.06</v>
      </c>
      <c r="Q601">
        <v>1233</v>
      </c>
      <c r="R601">
        <v>3959</v>
      </c>
      <c r="S601" t="s">
        <v>3</v>
      </c>
      <c r="T601">
        <v>67119.45</v>
      </c>
      <c r="U601" t="s">
        <v>1729</v>
      </c>
      <c r="V601" t="s">
        <v>1439</v>
      </c>
      <c r="W601">
        <v>1.27</v>
      </c>
    </row>
    <row r="602" spans="1:23">
      <c r="A602" t="str">
        <f>"002136"</f>
        <v>002136</v>
      </c>
      <c r="B602" t="s">
        <v>1730</v>
      </c>
      <c r="C602">
        <v>8.3800000000000008</v>
      </c>
      <c r="D602">
        <v>8.44</v>
      </c>
      <c r="E602">
        <v>8.31</v>
      </c>
      <c r="F602">
        <v>8.3699999999999992</v>
      </c>
      <c r="G602">
        <v>41429</v>
      </c>
      <c r="H602">
        <v>34593344</v>
      </c>
      <c r="I602">
        <v>0.66</v>
      </c>
      <c r="J602" t="s">
        <v>376</v>
      </c>
      <c r="K602" t="s">
        <v>220</v>
      </c>
      <c r="L602">
        <v>-0.36</v>
      </c>
      <c r="M602">
        <v>8.35</v>
      </c>
      <c r="N602">
        <v>24143</v>
      </c>
      <c r="O602">
        <v>17286</v>
      </c>
      <c r="P602">
        <v>1.4</v>
      </c>
      <c r="Q602">
        <v>1</v>
      </c>
      <c r="R602">
        <v>167</v>
      </c>
      <c r="S602" t="s">
        <v>3</v>
      </c>
      <c r="T602">
        <v>21328.78</v>
      </c>
      <c r="U602" t="s">
        <v>750</v>
      </c>
      <c r="V602" t="s">
        <v>1731</v>
      </c>
      <c r="W602">
        <v>-0.2</v>
      </c>
    </row>
    <row r="603" spans="1:23">
      <c r="A603" t="str">
        <f>"002137"</f>
        <v>002137</v>
      </c>
      <c r="B603" t="s">
        <v>1732</v>
      </c>
      <c r="C603">
        <v>6.9</v>
      </c>
      <c r="D603">
        <v>7.47</v>
      </c>
      <c r="E603">
        <v>6.8</v>
      </c>
      <c r="F603">
        <v>7.32</v>
      </c>
      <c r="G603">
        <v>130899</v>
      </c>
      <c r="H603">
        <v>94714752</v>
      </c>
      <c r="I603">
        <v>1.19</v>
      </c>
      <c r="J603" t="s">
        <v>62</v>
      </c>
      <c r="K603" t="s">
        <v>2</v>
      </c>
      <c r="L603">
        <v>6.71</v>
      </c>
      <c r="M603">
        <v>7.24</v>
      </c>
      <c r="N603">
        <v>55694</v>
      </c>
      <c r="O603">
        <v>75204</v>
      </c>
      <c r="P603">
        <v>0.74</v>
      </c>
      <c r="Q603">
        <v>325</v>
      </c>
      <c r="R603">
        <v>1612</v>
      </c>
      <c r="S603" t="s">
        <v>3</v>
      </c>
      <c r="T603">
        <v>45384.67</v>
      </c>
      <c r="U603" t="s">
        <v>1733</v>
      </c>
      <c r="V603" t="s">
        <v>1734</v>
      </c>
      <c r="W603">
        <v>6.86</v>
      </c>
    </row>
    <row r="604" spans="1:23">
      <c r="A604" t="str">
        <f>"002138"</f>
        <v>002138</v>
      </c>
      <c r="B604" t="s">
        <v>1735</v>
      </c>
      <c r="C604">
        <v>22.24</v>
      </c>
      <c r="D604">
        <v>22.3</v>
      </c>
      <c r="E604">
        <v>21.69</v>
      </c>
      <c r="F604">
        <v>21.98</v>
      </c>
      <c r="G604">
        <v>121408</v>
      </c>
      <c r="H604">
        <v>265680096</v>
      </c>
      <c r="I604">
        <v>0.97</v>
      </c>
      <c r="J604" t="s">
        <v>62</v>
      </c>
      <c r="K604" t="s">
        <v>2</v>
      </c>
      <c r="L604">
        <v>-0.95</v>
      </c>
      <c r="M604">
        <v>21.88</v>
      </c>
      <c r="N604">
        <v>79958</v>
      </c>
      <c r="O604">
        <v>41450</v>
      </c>
      <c r="P604">
        <v>1.93</v>
      </c>
      <c r="Q604">
        <v>57</v>
      </c>
      <c r="R604">
        <v>2</v>
      </c>
      <c r="S604" t="s">
        <v>3</v>
      </c>
      <c r="T604">
        <v>31793.08</v>
      </c>
      <c r="U604" t="s">
        <v>1736</v>
      </c>
      <c r="V604" t="s">
        <v>1737</v>
      </c>
      <c r="W604">
        <v>-0.79</v>
      </c>
    </row>
    <row r="605" spans="1:23">
      <c r="A605" t="str">
        <f>"002139"</f>
        <v>002139</v>
      </c>
      <c r="B605" t="s">
        <v>1738</v>
      </c>
      <c r="C605">
        <v>16.079999999999998</v>
      </c>
      <c r="D605">
        <v>16.59</v>
      </c>
      <c r="E605">
        <v>15.72</v>
      </c>
      <c r="F605">
        <v>16.309999999999999</v>
      </c>
      <c r="G605">
        <v>96784</v>
      </c>
      <c r="H605">
        <v>156213872</v>
      </c>
      <c r="I605">
        <v>0.69</v>
      </c>
      <c r="J605" t="s">
        <v>62</v>
      </c>
      <c r="K605" t="s">
        <v>2</v>
      </c>
      <c r="L605">
        <v>1.37</v>
      </c>
      <c r="M605">
        <v>16.14</v>
      </c>
      <c r="N605">
        <v>43384</v>
      </c>
      <c r="O605">
        <v>53399</v>
      </c>
      <c r="P605">
        <v>0.81</v>
      </c>
      <c r="Q605">
        <v>180</v>
      </c>
      <c r="R605">
        <v>267</v>
      </c>
      <c r="S605" t="s">
        <v>3</v>
      </c>
      <c r="T605">
        <v>15873.95</v>
      </c>
      <c r="U605" t="s">
        <v>1739</v>
      </c>
      <c r="V605" t="s">
        <v>1740</v>
      </c>
      <c r="W605">
        <v>1.53</v>
      </c>
    </row>
    <row r="606" spans="1:23">
      <c r="A606" t="str">
        <f>"002140"</f>
        <v>002140</v>
      </c>
      <c r="B606" t="s">
        <v>1741</v>
      </c>
      <c r="C606">
        <v>18.5</v>
      </c>
      <c r="D606">
        <v>18.5</v>
      </c>
      <c r="E606">
        <v>18.22</v>
      </c>
      <c r="F606">
        <v>18.3</v>
      </c>
      <c r="G606">
        <v>34433</v>
      </c>
      <c r="H606">
        <v>63078264</v>
      </c>
      <c r="I606">
        <v>0.8</v>
      </c>
      <c r="J606" t="s">
        <v>33</v>
      </c>
      <c r="K606" t="s">
        <v>220</v>
      </c>
      <c r="L606">
        <v>-0.71</v>
      </c>
      <c r="M606">
        <v>18.32</v>
      </c>
      <c r="N606">
        <v>22540</v>
      </c>
      <c r="O606">
        <v>11893</v>
      </c>
      <c r="P606">
        <v>1.9</v>
      </c>
      <c r="Q606">
        <v>470</v>
      </c>
      <c r="R606">
        <v>100</v>
      </c>
      <c r="S606" t="s">
        <v>3</v>
      </c>
      <c r="T606">
        <v>43580.87</v>
      </c>
      <c r="U606" t="s">
        <v>1742</v>
      </c>
      <c r="V606" t="s">
        <v>1743</v>
      </c>
      <c r="W606">
        <v>-0.55000000000000004</v>
      </c>
    </row>
    <row r="607" spans="1:23">
      <c r="A607" t="str">
        <f>"002141"</f>
        <v>002141</v>
      </c>
      <c r="B607" t="s">
        <v>1744</v>
      </c>
      <c r="C607">
        <v>12.01</v>
      </c>
      <c r="D607">
        <v>12.45</v>
      </c>
      <c r="E607">
        <v>11.5</v>
      </c>
      <c r="F607">
        <v>12.25</v>
      </c>
      <c r="G607">
        <v>44325</v>
      </c>
      <c r="H607">
        <v>53594100</v>
      </c>
      <c r="I607">
        <v>1.22</v>
      </c>
      <c r="J607" t="s">
        <v>62</v>
      </c>
      <c r="K607" t="s">
        <v>211</v>
      </c>
      <c r="L607">
        <v>2.34</v>
      </c>
      <c r="M607">
        <v>12.09</v>
      </c>
      <c r="N607">
        <v>22455</v>
      </c>
      <c r="O607">
        <v>21869</v>
      </c>
      <c r="P607">
        <v>1.03</v>
      </c>
      <c r="Q607">
        <v>107</v>
      </c>
      <c r="R607">
        <v>176</v>
      </c>
      <c r="S607" t="s">
        <v>3</v>
      </c>
      <c r="T607">
        <v>18188.8</v>
      </c>
      <c r="U607" t="s">
        <v>1745</v>
      </c>
      <c r="V607" t="s">
        <v>1745</v>
      </c>
      <c r="W607">
        <v>2.5</v>
      </c>
    </row>
    <row r="608" spans="1:23">
      <c r="A608" t="str">
        <f>"002142"</f>
        <v>002142</v>
      </c>
      <c r="B608" t="s">
        <v>1746</v>
      </c>
      <c r="C608">
        <v>9.9</v>
      </c>
      <c r="D608">
        <v>9.91</v>
      </c>
      <c r="E608">
        <v>9.81</v>
      </c>
      <c r="F608">
        <v>9.84</v>
      </c>
      <c r="G608">
        <v>133918</v>
      </c>
      <c r="H608">
        <v>132059248</v>
      </c>
      <c r="I608">
        <v>0.87</v>
      </c>
      <c r="J608" t="s">
        <v>1</v>
      </c>
      <c r="K608" t="s">
        <v>229</v>
      </c>
      <c r="L608">
        <v>-0.4</v>
      </c>
      <c r="M608">
        <v>9.86</v>
      </c>
      <c r="N608">
        <v>67264</v>
      </c>
      <c r="O608">
        <v>66653</v>
      </c>
      <c r="P608">
        <v>1.01</v>
      </c>
      <c r="Q608">
        <v>50</v>
      </c>
      <c r="R608">
        <v>1051</v>
      </c>
      <c r="S608" t="s">
        <v>3</v>
      </c>
      <c r="T608">
        <v>287241.59000000003</v>
      </c>
      <c r="U608" t="s">
        <v>1747</v>
      </c>
      <c r="V608" t="s">
        <v>1748</v>
      </c>
      <c r="W608">
        <v>-0.25</v>
      </c>
    </row>
    <row r="609" spans="1:23">
      <c r="A609" t="str">
        <f>"002143"</f>
        <v>002143</v>
      </c>
      <c r="B609" t="s">
        <v>1749</v>
      </c>
      <c r="C609" t="s">
        <v>3</v>
      </c>
      <c r="D609" t="s">
        <v>3</v>
      </c>
      <c r="E609" t="s">
        <v>3</v>
      </c>
      <c r="F609">
        <v>0</v>
      </c>
      <c r="G609">
        <v>0</v>
      </c>
      <c r="H609">
        <v>0</v>
      </c>
      <c r="I609">
        <v>0</v>
      </c>
      <c r="J609" t="s">
        <v>421</v>
      </c>
      <c r="K609" t="s">
        <v>225</v>
      </c>
      <c r="L609" t="s">
        <v>3</v>
      </c>
      <c r="M609">
        <v>23.38</v>
      </c>
      <c r="N609">
        <v>0</v>
      </c>
      <c r="O609">
        <v>0</v>
      </c>
      <c r="P609" t="s">
        <v>3</v>
      </c>
      <c r="Q609">
        <v>0</v>
      </c>
      <c r="R609">
        <v>0</v>
      </c>
      <c r="S609" t="s">
        <v>3</v>
      </c>
      <c r="T609">
        <v>8997.9500000000007</v>
      </c>
      <c r="U609" t="s">
        <v>1523</v>
      </c>
      <c r="V609" t="s">
        <v>1750</v>
      </c>
      <c r="W609">
        <v>0.16</v>
      </c>
    </row>
    <row r="610" spans="1:23">
      <c r="A610" t="str">
        <f>"002144"</f>
        <v>002144</v>
      </c>
      <c r="B610" t="s">
        <v>1751</v>
      </c>
      <c r="C610">
        <v>18.47</v>
      </c>
      <c r="D610">
        <v>18.5</v>
      </c>
      <c r="E610">
        <v>18.14</v>
      </c>
      <c r="F610">
        <v>18.28</v>
      </c>
      <c r="G610">
        <v>51124</v>
      </c>
      <c r="H610">
        <v>93401208</v>
      </c>
      <c r="I610">
        <v>0.91</v>
      </c>
      <c r="J610" t="s">
        <v>55</v>
      </c>
      <c r="K610" t="s">
        <v>229</v>
      </c>
      <c r="L610">
        <v>-0.87</v>
      </c>
      <c r="M610">
        <v>18.27</v>
      </c>
      <c r="N610">
        <v>30144</v>
      </c>
      <c r="O610">
        <v>20979</v>
      </c>
      <c r="P610">
        <v>1.44</v>
      </c>
      <c r="Q610">
        <v>445</v>
      </c>
      <c r="R610">
        <v>214</v>
      </c>
      <c r="S610" t="s">
        <v>3</v>
      </c>
      <c r="T610">
        <v>13679.36</v>
      </c>
      <c r="U610" t="s">
        <v>1752</v>
      </c>
      <c r="V610" t="s">
        <v>1753</v>
      </c>
      <c r="W610">
        <v>-0.71</v>
      </c>
    </row>
    <row r="611" spans="1:23">
      <c r="A611" t="str">
        <f>"002145"</f>
        <v>002145</v>
      </c>
      <c r="B611" t="s">
        <v>1754</v>
      </c>
      <c r="C611">
        <v>10.35</v>
      </c>
      <c r="D611">
        <v>10.38</v>
      </c>
      <c r="E611">
        <v>10.19</v>
      </c>
      <c r="F611">
        <v>10.28</v>
      </c>
      <c r="G611">
        <v>100374</v>
      </c>
      <c r="H611">
        <v>102988352</v>
      </c>
      <c r="I611">
        <v>0.89</v>
      </c>
      <c r="J611" t="s">
        <v>376</v>
      </c>
      <c r="K611" t="s">
        <v>483</v>
      </c>
      <c r="L611">
        <v>-0.28999999999999998</v>
      </c>
      <c r="M611">
        <v>10.26</v>
      </c>
      <c r="N611">
        <v>59530</v>
      </c>
      <c r="O611">
        <v>40844</v>
      </c>
      <c r="P611">
        <v>1.46</v>
      </c>
      <c r="Q611">
        <v>385</v>
      </c>
      <c r="R611">
        <v>392</v>
      </c>
      <c r="S611" t="s">
        <v>3</v>
      </c>
      <c r="T611">
        <v>18630.73</v>
      </c>
      <c r="U611" t="s">
        <v>1148</v>
      </c>
      <c r="V611" t="s">
        <v>1755</v>
      </c>
      <c r="W611">
        <v>-0.13</v>
      </c>
    </row>
    <row r="612" spans="1:23">
      <c r="A612" t="str">
        <f>"002146"</f>
        <v>002146</v>
      </c>
      <c r="B612" t="s">
        <v>1756</v>
      </c>
      <c r="C612">
        <v>10.81</v>
      </c>
      <c r="D612">
        <v>10.81</v>
      </c>
      <c r="E612">
        <v>10.52</v>
      </c>
      <c r="F612">
        <v>10.58</v>
      </c>
      <c r="G612">
        <v>227444</v>
      </c>
      <c r="H612">
        <v>241293104</v>
      </c>
      <c r="I612">
        <v>0.9</v>
      </c>
      <c r="J612" t="s">
        <v>7</v>
      </c>
      <c r="K612" t="s">
        <v>238</v>
      </c>
      <c r="L612">
        <v>-1.76</v>
      </c>
      <c r="M612">
        <v>10.61</v>
      </c>
      <c r="N612">
        <v>144519</v>
      </c>
      <c r="O612">
        <v>82925</v>
      </c>
      <c r="P612">
        <v>1.74</v>
      </c>
      <c r="Q612">
        <v>337</v>
      </c>
      <c r="R612">
        <v>778</v>
      </c>
      <c r="S612" t="s">
        <v>3</v>
      </c>
      <c r="T612">
        <v>166646.34</v>
      </c>
      <c r="U612" t="s">
        <v>1757</v>
      </c>
      <c r="V612" t="s">
        <v>1758</v>
      </c>
      <c r="W612">
        <v>-1.61</v>
      </c>
    </row>
    <row r="613" spans="1:23">
      <c r="A613" t="str">
        <f>"002147"</f>
        <v>002147</v>
      </c>
      <c r="B613" t="s">
        <v>1759</v>
      </c>
      <c r="C613">
        <v>9.0399999999999991</v>
      </c>
      <c r="D613">
        <v>9.3800000000000008</v>
      </c>
      <c r="E613">
        <v>9</v>
      </c>
      <c r="F613">
        <v>9.33</v>
      </c>
      <c r="G613">
        <v>85846</v>
      </c>
      <c r="H613">
        <v>79085152</v>
      </c>
      <c r="I613">
        <v>1.26</v>
      </c>
      <c r="J613" t="s">
        <v>398</v>
      </c>
      <c r="K613" t="s">
        <v>220</v>
      </c>
      <c r="L613">
        <v>3.21</v>
      </c>
      <c r="M613">
        <v>9.2100000000000009</v>
      </c>
      <c r="N613">
        <v>39944</v>
      </c>
      <c r="O613">
        <v>45902</v>
      </c>
      <c r="P613">
        <v>0.87</v>
      </c>
      <c r="Q613">
        <v>204</v>
      </c>
      <c r="R613">
        <v>10</v>
      </c>
      <c r="S613" t="s">
        <v>3</v>
      </c>
      <c r="T613">
        <v>20674.86</v>
      </c>
      <c r="U613" t="s">
        <v>1760</v>
      </c>
      <c r="V613" t="s">
        <v>1761</v>
      </c>
      <c r="W613">
        <v>3.37</v>
      </c>
    </row>
    <row r="614" spans="1:23">
      <c r="A614" t="str">
        <f>"002148"</f>
        <v>002148</v>
      </c>
      <c r="B614" t="s">
        <v>1762</v>
      </c>
      <c r="C614">
        <v>25.01</v>
      </c>
      <c r="D614">
        <v>25.4</v>
      </c>
      <c r="E614">
        <v>24.52</v>
      </c>
      <c r="F614">
        <v>24.69</v>
      </c>
      <c r="G614">
        <v>125894</v>
      </c>
      <c r="H614">
        <v>312151680</v>
      </c>
      <c r="I614">
        <v>0.75</v>
      </c>
      <c r="J614" t="s">
        <v>112</v>
      </c>
      <c r="K614" t="s">
        <v>34</v>
      </c>
      <c r="L614">
        <v>-1.08</v>
      </c>
      <c r="M614">
        <v>24.79</v>
      </c>
      <c r="N614">
        <v>73099</v>
      </c>
      <c r="O614">
        <v>52795</v>
      </c>
      <c r="P614">
        <v>1.38</v>
      </c>
      <c r="Q614">
        <v>766</v>
      </c>
      <c r="R614">
        <v>1065</v>
      </c>
      <c r="S614" t="s">
        <v>3</v>
      </c>
      <c r="T614">
        <v>17374.82</v>
      </c>
      <c r="U614" t="s">
        <v>1763</v>
      </c>
      <c r="V614" t="s">
        <v>1764</v>
      </c>
      <c r="W614">
        <v>-0.92</v>
      </c>
    </row>
    <row r="615" spans="1:23">
      <c r="A615" t="str">
        <f>"002149"</f>
        <v>002149</v>
      </c>
      <c r="B615" t="s">
        <v>1765</v>
      </c>
      <c r="C615">
        <v>19.91</v>
      </c>
      <c r="D615">
        <v>20.440000000000001</v>
      </c>
      <c r="E615">
        <v>19.739999999999998</v>
      </c>
      <c r="F615">
        <v>20.170000000000002</v>
      </c>
      <c r="G615">
        <v>37884</v>
      </c>
      <c r="H615">
        <v>76400688</v>
      </c>
      <c r="I615">
        <v>1.04</v>
      </c>
      <c r="J615" t="s">
        <v>328</v>
      </c>
      <c r="K615" t="s">
        <v>389</v>
      </c>
      <c r="L615">
        <v>1.36</v>
      </c>
      <c r="M615">
        <v>20.170000000000002</v>
      </c>
      <c r="N615">
        <v>19339</v>
      </c>
      <c r="O615">
        <v>18544</v>
      </c>
      <c r="P615">
        <v>1.04</v>
      </c>
      <c r="Q615">
        <v>67</v>
      </c>
      <c r="R615">
        <v>35</v>
      </c>
      <c r="S615" t="s">
        <v>3</v>
      </c>
      <c r="T615">
        <v>17463</v>
      </c>
      <c r="U615" t="s">
        <v>1766</v>
      </c>
      <c r="V615" t="s">
        <v>1766</v>
      </c>
      <c r="W615">
        <v>1.52</v>
      </c>
    </row>
    <row r="616" spans="1:23">
      <c r="A616" t="str">
        <f>"002150"</f>
        <v>002150</v>
      </c>
      <c r="B616" t="s">
        <v>1767</v>
      </c>
      <c r="C616">
        <v>8.41</v>
      </c>
      <c r="D616">
        <v>8.49</v>
      </c>
      <c r="E616">
        <v>8.2200000000000006</v>
      </c>
      <c r="F616">
        <v>8.3800000000000008</v>
      </c>
      <c r="G616">
        <v>30313</v>
      </c>
      <c r="H616">
        <v>25368026</v>
      </c>
      <c r="I616">
        <v>0.71</v>
      </c>
      <c r="J616" t="s">
        <v>398</v>
      </c>
      <c r="K616" t="s">
        <v>244</v>
      </c>
      <c r="L616">
        <v>0.12</v>
      </c>
      <c r="M616">
        <v>8.3699999999999992</v>
      </c>
      <c r="N616">
        <v>17417</v>
      </c>
      <c r="O616">
        <v>12896</v>
      </c>
      <c r="P616">
        <v>1.35</v>
      </c>
      <c r="Q616">
        <v>175</v>
      </c>
      <c r="R616">
        <v>25</v>
      </c>
      <c r="S616" t="s">
        <v>3</v>
      </c>
      <c r="T616">
        <v>24786</v>
      </c>
      <c r="U616" t="s">
        <v>1768</v>
      </c>
      <c r="V616" t="s">
        <v>1769</v>
      </c>
      <c r="W616">
        <v>0.28000000000000003</v>
      </c>
    </row>
    <row r="617" spans="1:23">
      <c r="A617" t="str">
        <f>"002151"</f>
        <v>002151</v>
      </c>
      <c r="B617" t="s">
        <v>1770</v>
      </c>
      <c r="C617">
        <v>45.91</v>
      </c>
      <c r="D617">
        <v>46.39</v>
      </c>
      <c r="E617">
        <v>44.51</v>
      </c>
      <c r="F617">
        <v>45.13</v>
      </c>
      <c r="G617">
        <v>126732</v>
      </c>
      <c r="H617">
        <v>574240000</v>
      </c>
      <c r="I617">
        <v>0.66</v>
      </c>
      <c r="J617" t="s">
        <v>112</v>
      </c>
      <c r="K617" t="s">
        <v>34</v>
      </c>
      <c r="L617">
        <v>-1.68</v>
      </c>
      <c r="M617">
        <v>45.31</v>
      </c>
      <c r="N617">
        <v>68564</v>
      </c>
      <c r="O617">
        <v>58167</v>
      </c>
      <c r="P617">
        <v>1.18</v>
      </c>
      <c r="Q617">
        <v>391</v>
      </c>
      <c r="R617">
        <v>23</v>
      </c>
      <c r="S617" t="s">
        <v>3</v>
      </c>
      <c r="T617">
        <v>13525.03</v>
      </c>
      <c r="U617" t="s">
        <v>1771</v>
      </c>
      <c r="V617" t="s">
        <v>1772</v>
      </c>
      <c r="W617">
        <v>-1.52</v>
      </c>
    </row>
    <row r="618" spans="1:23">
      <c r="A618" t="str">
        <f>"002152"</f>
        <v>002152</v>
      </c>
      <c r="B618" t="s">
        <v>1773</v>
      </c>
      <c r="C618">
        <v>18.89</v>
      </c>
      <c r="D618">
        <v>18.96</v>
      </c>
      <c r="E618">
        <v>18.46</v>
      </c>
      <c r="F618">
        <v>18.579999999999998</v>
      </c>
      <c r="G618">
        <v>101210</v>
      </c>
      <c r="H618">
        <v>188774256</v>
      </c>
      <c r="I618">
        <v>1.38</v>
      </c>
      <c r="J618" t="s">
        <v>66</v>
      </c>
      <c r="K618" t="s">
        <v>211</v>
      </c>
      <c r="L618">
        <v>-1.54</v>
      </c>
      <c r="M618">
        <v>18.649999999999999</v>
      </c>
      <c r="N618">
        <v>56939</v>
      </c>
      <c r="O618">
        <v>44270</v>
      </c>
      <c r="P618">
        <v>1.29</v>
      </c>
      <c r="Q618">
        <v>30</v>
      </c>
      <c r="R618">
        <v>482</v>
      </c>
      <c r="S618" t="s">
        <v>3</v>
      </c>
      <c r="T618">
        <v>86304.35</v>
      </c>
      <c r="U618" t="s">
        <v>1774</v>
      </c>
      <c r="V618" t="s">
        <v>1775</v>
      </c>
      <c r="W618">
        <v>-1.38</v>
      </c>
    </row>
    <row r="619" spans="1:23">
      <c r="A619" t="str">
        <f>"002153"</f>
        <v>002153</v>
      </c>
      <c r="B619" t="s">
        <v>1776</v>
      </c>
      <c r="C619" t="s">
        <v>3</v>
      </c>
      <c r="D619" t="s">
        <v>3</v>
      </c>
      <c r="E619" t="s">
        <v>3</v>
      </c>
      <c r="F619">
        <v>0</v>
      </c>
      <c r="G619">
        <v>0</v>
      </c>
      <c r="H619">
        <v>0</v>
      </c>
      <c r="I619">
        <v>0</v>
      </c>
      <c r="J619" t="s">
        <v>758</v>
      </c>
      <c r="K619" t="s">
        <v>34</v>
      </c>
      <c r="L619" t="s">
        <v>3</v>
      </c>
      <c r="M619">
        <v>57.99</v>
      </c>
      <c r="N619">
        <v>0</v>
      </c>
      <c r="O619">
        <v>0</v>
      </c>
      <c r="P619" t="s">
        <v>3</v>
      </c>
      <c r="Q619">
        <v>0</v>
      </c>
      <c r="R619">
        <v>0</v>
      </c>
      <c r="S619" t="s">
        <v>3</v>
      </c>
      <c r="T619">
        <v>16305.36</v>
      </c>
      <c r="U619" t="s">
        <v>1777</v>
      </c>
      <c r="V619" t="s">
        <v>1778</v>
      </c>
      <c r="W619">
        <v>0.16</v>
      </c>
    </row>
    <row r="620" spans="1:23">
      <c r="A620" t="str">
        <f>"002154"</f>
        <v>002154</v>
      </c>
      <c r="B620" t="s">
        <v>1779</v>
      </c>
      <c r="C620">
        <v>8.0500000000000007</v>
      </c>
      <c r="D620">
        <v>8.09</v>
      </c>
      <c r="E620">
        <v>7.89</v>
      </c>
      <c r="F620">
        <v>8</v>
      </c>
      <c r="G620">
        <v>177130</v>
      </c>
      <c r="H620">
        <v>141277584</v>
      </c>
      <c r="I620">
        <v>0.79</v>
      </c>
      <c r="J620" t="s">
        <v>1373</v>
      </c>
      <c r="K620" t="s">
        <v>229</v>
      </c>
      <c r="L620">
        <v>-1.1100000000000001</v>
      </c>
      <c r="M620">
        <v>7.98</v>
      </c>
      <c r="N620">
        <v>106322</v>
      </c>
      <c r="O620">
        <v>70807</v>
      </c>
      <c r="P620">
        <v>1.5</v>
      </c>
      <c r="Q620">
        <v>282</v>
      </c>
      <c r="R620">
        <v>881</v>
      </c>
      <c r="S620" t="s">
        <v>3</v>
      </c>
      <c r="T620">
        <v>53315.05</v>
      </c>
      <c r="U620" t="s">
        <v>1780</v>
      </c>
      <c r="V620" t="s">
        <v>1781</v>
      </c>
      <c r="W620">
        <v>-0.95</v>
      </c>
    </row>
    <row r="621" spans="1:23">
      <c r="A621" t="str">
        <f>"002155"</f>
        <v>002155</v>
      </c>
      <c r="B621" t="s">
        <v>1782</v>
      </c>
      <c r="C621">
        <v>8.68</v>
      </c>
      <c r="D621">
        <v>8.69</v>
      </c>
      <c r="E621">
        <v>8.4499999999999993</v>
      </c>
      <c r="F621">
        <v>8.61</v>
      </c>
      <c r="G621">
        <v>337473</v>
      </c>
      <c r="H621">
        <v>289948256</v>
      </c>
      <c r="I621">
        <v>2.0499999999999998</v>
      </c>
      <c r="J621" t="s">
        <v>1783</v>
      </c>
      <c r="K621" t="s">
        <v>234</v>
      </c>
      <c r="L621">
        <v>-2.93</v>
      </c>
      <c r="M621">
        <v>8.59</v>
      </c>
      <c r="N621">
        <v>183125</v>
      </c>
      <c r="O621">
        <v>154348</v>
      </c>
      <c r="P621">
        <v>1.19</v>
      </c>
      <c r="Q621">
        <v>545</v>
      </c>
      <c r="R621">
        <v>116</v>
      </c>
      <c r="S621" t="s">
        <v>3</v>
      </c>
      <c r="T621">
        <v>99608.52</v>
      </c>
      <c r="U621" t="s">
        <v>1784</v>
      </c>
      <c r="V621" t="s">
        <v>1785</v>
      </c>
      <c r="W621">
        <v>-2.77</v>
      </c>
    </row>
    <row r="622" spans="1:23">
      <c r="A622" t="str">
        <f>"002156"</f>
        <v>002156</v>
      </c>
      <c r="B622" t="s">
        <v>1786</v>
      </c>
      <c r="C622">
        <v>8.9</v>
      </c>
      <c r="D622">
        <v>8.9600000000000009</v>
      </c>
      <c r="E622">
        <v>8.84</v>
      </c>
      <c r="F622">
        <v>8.8800000000000008</v>
      </c>
      <c r="G622">
        <v>89654</v>
      </c>
      <c r="H622">
        <v>79732848</v>
      </c>
      <c r="I622">
        <v>0.82</v>
      </c>
      <c r="J622" t="s">
        <v>1581</v>
      </c>
      <c r="K622" t="s">
        <v>244</v>
      </c>
      <c r="L622">
        <v>-0.11</v>
      </c>
      <c r="M622">
        <v>8.89</v>
      </c>
      <c r="N622">
        <v>51484</v>
      </c>
      <c r="O622">
        <v>38170</v>
      </c>
      <c r="P622">
        <v>1.35</v>
      </c>
      <c r="Q622">
        <v>644</v>
      </c>
      <c r="R622">
        <v>1287</v>
      </c>
      <c r="S622" t="s">
        <v>3</v>
      </c>
      <c r="T622">
        <v>64986.67</v>
      </c>
      <c r="U622" t="s">
        <v>1787</v>
      </c>
      <c r="V622" t="s">
        <v>1787</v>
      </c>
      <c r="W622">
        <v>0.05</v>
      </c>
    </row>
    <row r="623" spans="1:23">
      <c r="A623" t="str">
        <f>"002157"</f>
        <v>002157</v>
      </c>
      <c r="B623" t="s">
        <v>1788</v>
      </c>
      <c r="C623">
        <v>9.85</v>
      </c>
      <c r="D623">
        <v>9.85</v>
      </c>
      <c r="E623">
        <v>9.73</v>
      </c>
      <c r="F623">
        <v>9.7799999999999994</v>
      </c>
      <c r="G623">
        <v>27106</v>
      </c>
      <c r="H623">
        <v>26533704</v>
      </c>
      <c r="I623">
        <v>0.57999999999999996</v>
      </c>
      <c r="J623" t="s">
        <v>141</v>
      </c>
      <c r="K623" t="s">
        <v>265</v>
      </c>
      <c r="L623">
        <v>-1.01</v>
      </c>
      <c r="M623">
        <v>9.7899999999999991</v>
      </c>
      <c r="N623">
        <v>15415</v>
      </c>
      <c r="O623">
        <v>11690</v>
      </c>
      <c r="P623">
        <v>1.32</v>
      </c>
      <c r="Q623">
        <v>671</v>
      </c>
      <c r="R623">
        <v>620</v>
      </c>
      <c r="S623" t="s">
        <v>3</v>
      </c>
      <c r="T623">
        <v>27571.34</v>
      </c>
      <c r="U623" t="s">
        <v>1789</v>
      </c>
      <c r="V623" t="s">
        <v>1790</v>
      </c>
      <c r="W623">
        <v>-0.85</v>
      </c>
    </row>
    <row r="624" spans="1:23">
      <c r="A624" t="str">
        <f>"002158"</f>
        <v>002158</v>
      </c>
      <c r="B624" t="s">
        <v>1791</v>
      </c>
      <c r="C624">
        <v>18.760000000000002</v>
      </c>
      <c r="D624">
        <v>19.190000000000001</v>
      </c>
      <c r="E624">
        <v>18.71</v>
      </c>
      <c r="F624">
        <v>18.899999999999999</v>
      </c>
      <c r="G624">
        <v>32103</v>
      </c>
      <c r="H624">
        <v>61066416</v>
      </c>
      <c r="I624">
        <v>1.65</v>
      </c>
      <c r="J624" t="s">
        <v>233</v>
      </c>
      <c r="K624" t="s">
        <v>727</v>
      </c>
      <c r="L624">
        <v>1.29</v>
      </c>
      <c r="M624">
        <v>19.02</v>
      </c>
      <c r="N624">
        <v>14825</v>
      </c>
      <c r="O624">
        <v>17278</v>
      </c>
      <c r="P624">
        <v>0.86</v>
      </c>
      <c r="Q624">
        <v>197</v>
      </c>
      <c r="R624">
        <v>38</v>
      </c>
      <c r="S624" t="s">
        <v>3</v>
      </c>
      <c r="T624">
        <v>26387</v>
      </c>
      <c r="U624" t="s">
        <v>1792</v>
      </c>
      <c r="V624" t="s">
        <v>1792</v>
      </c>
      <c r="W624">
        <v>1.44</v>
      </c>
    </row>
    <row r="625" spans="1:23">
      <c r="A625" t="str">
        <f>"002159"</f>
        <v>002159</v>
      </c>
      <c r="B625" t="s">
        <v>1793</v>
      </c>
      <c r="C625">
        <v>22.82</v>
      </c>
      <c r="D625">
        <v>23.25</v>
      </c>
      <c r="E625">
        <v>22.61</v>
      </c>
      <c r="F625">
        <v>22.86</v>
      </c>
      <c r="G625">
        <v>8416</v>
      </c>
      <c r="H625">
        <v>19313366</v>
      </c>
      <c r="I625">
        <v>0.63</v>
      </c>
      <c r="J625" t="s">
        <v>185</v>
      </c>
      <c r="K625" t="s">
        <v>317</v>
      </c>
      <c r="L625">
        <v>0.09</v>
      </c>
      <c r="M625">
        <v>22.95</v>
      </c>
      <c r="N625">
        <v>4278</v>
      </c>
      <c r="O625">
        <v>4138</v>
      </c>
      <c r="P625">
        <v>1.03</v>
      </c>
      <c r="Q625">
        <v>5</v>
      </c>
      <c r="R625">
        <v>296</v>
      </c>
      <c r="S625" t="s">
        <v>3</v>
      </c>
      <c r="T625">
        <v>11986.75</v>
      </c>
      <c r="U625" t="s">
        <v>1794</v>
      </c>
      <c r="V625" t="s">
        <v>1662</v>
      </c>
      <c r="W625">
        <v>0.25</v>
      </c>
    </row>
    <row r="626" spans="1:23">
      <c r="A626" t="str">
        <f>"002160"</f>
        <v>002160</v>
      </c>
      <c r="B626" t="s">
        <v>1795</v>
      </c>
      <c r="C626" t="s">
        <v>3</v>
      </c>
      <c r="D626" t="s">
        <v>3</v>
      </c>
      <c r="E626" t="s">
        <v>3</v>
      </c>
      <c r="F626">
        <v>0</v>
      </c>
      <c r="G626">
        <v>0</v>
      </c>
      <c r="H626">
        <v>0</v>
      </c>
      <c r="I626">
        <v>0</v>
      </c>
      <c r="J626" t="s">
        <v>632</v>
      </c>
      <c r="K626" t="s">
        <v>244</v>
      </c>
      <c r="L626" t="s">
        <v>3</v>
      </c>
      <c r="M626">
        <v>6.23</v>
      </c>
      <c r="N626">
        <v>0</v>
      </c>
      <c r="O626">
        <v>0</v>
      </c>
      <c r="P626" t="s">
        <v>3</v>
      </c>
      <c r="Q626">
        <v>0</v>
      </c>
      <c r="R626">
        <v>0</v>
      </c>
      <c r="S626" t="s">
        <v>3</v>
      </c>
      <c r="T626">
        <v>32469.63</v>
      </c>
      <c r="U626" t="s">
        <v>1796</v>
      </c>
      <c r="V626" t="s">
        <v>1797</v>
      </c>
      <c r="W626">
        <v>0.16</v>
      </c>
    </row>
    <row r="627" spans="1:23">
      <c r="A627" t="str">
        <f>"002161"</f>
        <v>002161</v>
      </c>
      <c r="B627" t="s">
        <v>1798</v>
      </c>
      <c r="C627">
        <v>7.87</v>
      </c>
      <c r="D627">
        <v>7.94</v>
      </c>
      <c r="E627">
        <v>7.74</v>
      </c>
      <c r="F627">
        <v>7.88</v>
      </c>
      <c r="G627">
        <v>251651</v>
      </c>
      <c r="H627">
        <v>197613664</v>
      </c>
      <c r="I627">
        <v>1.4</v>
      </c>
      <c r="J627" t="s">
        <v>112</v>
      </c>
      <c r="K627" t="s">
        <v>2</v>
      </c>
      <c r="L627">
        <v>0.64</v>
      </c>
      <c r="M627">
        <v>7.85</v>
      </c>
      <c r="N627">
        <v>118511</v>
      </c>
      <c r="O627">
        <v>133139</v>
      </c>
      <c r="P627">
        <v>0.89</v>
      </c>
      <c r="Q627">
        <v>591</v>
      </c>
      <c r="R627">
        <v>1294</v>
      </c>
      <c r="S627" t="s">
        <v>3</v>
      </c>
      <c r="T627">
        <v>69472.39</v>
      </c>
      <c r="U627" t="s">
        <v>281</v>
      </c>
      <c r="V627" t="s">
        <v>1799</v>
      </c>
      <c r="W627">
        <v>0.8</v>
      </c>
    </row>
    <row r="628" spans="1:23">
      <c r="A628" t="str">
        <f>"002162"</f>
        <v>002162</v>
      </c>
      <c r="B628" t="s">
        <v>1800</v>
      </c>
      <c r="C628">
        <v>6.88</v>
      </c>
      <c r="D628">
        <v>6.9</v>
      </c>
      <c r="E628">
        <v>6.81</v>
      </c>
      <c r="F628">
        <v>6.85</v>
      </c>
      <c r="G628">
        <v>62146</v>
      </c>
      <c r="H628">
        <v>42516304</v>
      </c>
      <c r="I628">
        <v>1.05</v>
      </c>
      <c r="J628" t="s">
        <v>1643</v>
      </c>
      <c r="K628" t="s">
        <v>727</v>
      </c>
      <c r="L628">
        <v>-0.57999999999999996</v>
      </c>
      <c r="M628">
        <v>6.84</v>
      </c>
      <c r="N628">
        <v>39020</v>
      </c>
      <c r="O628">
        <v>23126</v>
      </c>
      <c r="P628">
        <v>1.69</v>
      </c>
      <c r="Q628">
        <v>385</v>
      </c>
      <c r="R628">
        <v>144</v>
      </c>
      <c r="S628" t="s">
        <v>3</v>
      </c>
      <c r="T628">
        <v>41800</v>
      </c>
      <c r="U628" t="s">
        <v>119</v>
      </c>
      <c r="V628" t="s">
        <v>1801</v>
      </c>
      <c r="W628">
        <v>-0.42</v>
      </c>
    </row>
    <row r="629" spans="1:23">
      <c r="A629" t="str">
        <f>"002163"</f>
        <v>002163</v>
      </c>
      <c r="B629" t="s">
        <v>1802</v>
      </c>
      <c r="C629">
        <v>4.9800000000000004</v>
      </c>
      <c r="D629">
        <v>5.0599999999999996</v>
      </c>
      <c r="E629">
        <v>4.75</v>
      </c>
      <c r="F629">
        <v>4.9000000000000004</v>
      </c>
      <c r="G629">
        <v>175702</v>
      </c>
      <c r="H629">
        <v>86041160</v>
      </c>
      <c r="I629">
        <v>0.99</v>
      </c>
      <c r="J629" t="s">
        <v>1496</v>
      </c>
      <c r="K629" t="s">
        <v>2</v>
      </c>
      <c r="L629">
        <v>-1.21</v>
      </c>
      <c r="M629">
        <v>4.9000000000000004</v>
      </c>
      <c r="N629">
        <v>94641</v>
      </c>
      <c r="O629">
        <v>81061</v>
      </c>
      <c r="P629">
        <v>1.17</v>
      </c>
      <c r="Q629">
        <v>374</v>
      </c>
      <c r="R629">
        <v>1486</v>
      </c>
      <c r="S629" t="s">
        <v>3</v>
      </c>
      <c r="T629">
        <v>68306.600000000006</v>
      </c>
      <c r="U629" t="s">
        <v>1803</v>
      </c>
      <c r="V629" t="s">
        <v>1804</v>
      </c>
      <c r="W629">
        <v>-1.05</v>
      </c>
    </row>
    <row r="630" spans="1:23">
      <c r="A630" t="str">
        <f>"002164"</f>
        <v>002164</v>
      </c>
      <c r="B630" t="s">
        <v>1805</v>
      </c>
      <c r="C630">
        <v>5.21</v>
      </c>
      <c r="D630">
        <v>5.52</v>
      </c>
      <c r="E630">
        <v>5.17</v>
      </c>
      <c r="F630">
        <v>5.41</v>
      </c>
      <c r="G630">
        <v>97834</v>
      </c>
      <c r="H630">
        <v>52861604</v>
      </c>
      <c r="I630">
        <v>1.2</v>
      </c>
      <c r="J630" t="s">
        <v>145</v>
      </c>
      <c r="K630" t="s">
        <v>229</v>
      </c>
      <c r="L630">
        <v>2.85</v>
      </c>
      <c r="M630">
        <v>5.4</v>
      </c>
      <c r="N630">
        <v>51948</v>
      </c>
      <c r="O630">
        <v>45886</v>
      </c>
      <c r="P630">
        <v>1.1299999999999999</v>
      </c>
      <c r="Q630">
        <v>98</v>
      </c>
      <c r="R630">
        <v>292</v>
      </c>
      <c r="S630" t="s">
        <v>3</v>
      </c>
      <c r="T630">
        <v>40512.5</v>
      </c>
      <c r="U630" t="s">
        <v>1806</v>
      </c>
      <c r="V630" t="s">
        <v>1807</v>
      </c>
      <c r="W630">
        <v>3.01</v>
      </c>
    </row>
    <row r="631" spans="1:23">
      <c r="A631" t="str">
        <f>"002165"</f>
        <v>002165</v>
      </c>
      <c r="B631" t="s">
        <v>1808</v>
      </c>
      <c r="C631">
        <v>6.47</v>
      </c>
      <c r="D631">
        <v>6.5</v>
      </c>
      <c r="E631">
        <v>6.38</v>
      </c>
      <c r="F631">
        <v>6.47</v>
      </c>
      <c r="G631">
        <v>137001</v>
      </c>
      <c r="H631">
        <v>88195824</v>
      </c>
      <c r="I631">
        <v>0.61</v>
      </c>
      <c r="J631" t="s">
        <v>376</v>
      </c>
      <c r="K631" t="s">
        <v>244</v>
      </c>
      <c r="L631">
        <v>-0.31</v>
      </c>
      <c r="M631">
        <v>6.44</v>
      </c>
      <c r="N631">
        <v>74309</v>
      </c>
      <c r="O631">
        <v>62691</v>
      </c>
      <c r="P631">
        <v>1.19</v>
      </c>
      <c r="Q631">
        <v>1558</v>
      </c>
      <c r="R631">
        <v>2101</v>
      </c>
      <c r="S631" t="s">
        <v>3</v>
      </c>
      <c r="T631">
        <v>52725.8</v>
      </c>
      <c r="U631" t="s">
        <v>1809</v>
      </c>
      <c r="V631" t="s">
        <v>1810</v>
      </c>
      <c r="W631">
        <v>-0.15</v>
      </c>
    </row>
    <row r="632" spans="1:23">
      <c r="A632" t="str">
        <f>"002166"</f>
        <v>002166</v>
      </c>
      <c r="B632" t="s">
        <v>1811</v>
      </c>
      <c r="C632">
        <v>20.52</v>
      </c>
      <c r="D632">
        <v>20.8</v>
      </c>
      <c r="E632">
        <v>20.3</v>
      </c>
      <c r="F632">
        <v>20.7</v>
      </c>
      <c r="G632">
        <v>90588</v>
      </c>
      <c r="H632">
        <v>186530256</v>
      </c>
      <c r="I632">
        <v>0.94</v>
      </c>
      <c r="J632" t="s">
        <v>321</v>
      </c>
      <c r="K632" t="s">
        <v>417</v>
      </c>
      <c r="L632">
        <v>0.88</v>
      </c>
      <c r="M632">
        <v>20.59</v>
      </c>
      <c r="N632">
        <v>42964</v>
      </c>
      <c r="O632">
        <v>47623</v>
      </c>
      <c r="P632">
        <v>0.9</v>
      </c>
      <c r="Q632">
        <v>773</v>
      </c>
      <c r="R632">
        <v>32</v>
      </c>
      <c r="S632" t="s">
        <v>3</v>
      </c>
      <c r="T632">
        <v>11933.25</v>
      </c>
      <c r="U632" t="s">
        <v>1812</v>
      </c>
      <c r="V632" t="s">
        <v>559</v>
      </c>
      <c r="W632">
        <v>1.04</v>
      </c>
    </row>
    <row r="633" spans="1:23">
      <c r="A633" t="str">
        <f>"002167"</f>
        <v>002167</v>
      </c>
      <c r="B633" t="s">
        <v>1813</v>
      </c>
      <c r="C633">
        <v>15.76</v>
      </c>
      <c r="D633">
        <v>15.8</v>
      </c>
      <c r="E633">
        <v>15.45</v>
      </c>
      <c r="F633">
        <v>15.63</v>
      </c>
      <c r="G633">
        <v>174867</v>
      </c>
      <c r="H633">
        <v>273192512</v>
      </c>
      <c r="I633">
        <v>0.73</v>
      </c>
      <c r="J633" t="s">
        <v>328</v>
      </c>
      <c r="K633" t="s">
        <v>211</v>
      </c>
      <c r="L633">
        <v>-1.1399999999999999</v>
      </c>
      <c r="M633">
        <v>15.62</v>
      </c>
      <c r="N633">
        <v>100575</v>
      </c>
      <c r="O633">
        <v>74292</v>
      </c>
      <c r="P633">
        <v>1.35</v>
      </c>
      <c r="Q633">
        <v>337</v>
      </c>
      <c r="R633">
        <v>324</v>
      </c>
      <c r="S633" t="s">
        <v>3</v>
      </c>
      <c r="T633">
        <v>31540.67</v>
      </c>
      <c r="U633" t="s">
        <v>1814</v>
      </c>
      <c r="V633" t="s">
        <v>1815</v>
      </c>
      <c r="W633">
        <v>-0.98</v>
      </c>
    </row>
    <row r="634" spans="1:23">
      <c r="A634" t="str">
        <f>"002168"</f>
        <v>002168</v>
      </c>
      <c r="B634" t="s">
        <v>1816</v>
      </c>
      <c r="C634">
        <v>7.92</v>
      </c>
      <c r="D634">
        <v>7.93</v>
      </c>
      <c r="E634">
        <v>7.74</v>
      </c>
      <c r="F634">
        <v>7.88</v>
      </c>
      <c r="G634">
        <v>219512</v>
      </c>
      <c r="H634">
        <v>171903120</v>
      </c>
      <c r="I634">
        <v>1.03</v>
      </c>
      <c r="J634" t="s">
        <v>145</v>
      </c>
      <c r="K634" t="s">
        <v>2</v>
      </c>
      <c r="L634">
        <v>0.13</v>
      </c>
      <c r="M634">
        <v>7.83</v>
      </c>
      <c r="N634">
        <v>115053</v>
      </c>
      <c r="O634">
        <v>104459</v>
      </c>
      <c r="P634">
        <v>1.1000000000000001</v>
      </c>
      <c r="Q634">
        <v>1797</v>
      </c>
      <c r="R634">
        <v>5553</v>
      </c>
      <c r="S634" t="s">
        <v>3</v>
      </c>
      <c r="T634">
        <v>56803.58</v>
      </c>
      <c r="U634" t="s">
        <v>1817</v>
      </c>
      <c r="V634" t="s">
        <v>1818</v>
      </c>
      <c r="W634">
        <v>0.28999999999999998</v>
      </c>
    </row>
    <row r="635" spans="1:23">
      <c r="A635" t="str">
        <f>"002169"</f>
        <v>002169</v>
      </c>
      <c r="B635" t="s">
        <v>1819</v>
      </c>
      <c r="C635">
        <v>8.7100000000000009</v>
      </c>
      <c r="D635">
        <v>9.2899999999999991</v>
      </c>
      <c r="E635">
        <v>8.7100000000000009</v>
      </c>
      <c r="F635">
        <v>9.19</v>
      </c>
      <c r="G635">
        <v>200691</v>
      </c>
      <c r="H635">
        <v>181418528</v>
      </c>
      <c r="I635">
        <v>1.91</v>
      </c>
      <c r="J635" t="s">
        <v>145</v>
      </c>
      <c r="K635" t="s">
        <v>211</v>
      </c>
      <c r="L635">
        <v>5.15</v>
      </c>
      <c r="M635">
        <v>9.0399999999999991</v>
      </c>
      <c r="N635">
        <v>83266</v>
      </c>
      <c r="O635">
        <v>117424</v>
      </c>
      <c r="P635">
        <v>0.71</v>
      </c>
      <c r="Q635">
        <v>512</v>
      </c>
      <c r="R635">
        <v>1259</v>
      </c>
      <c r="S635" t="s">
        <v>3</v>
      </c>
      <c r="T635">
        <v>24588.78</v>
      </c>
      <c r="U635" t="s">
        <v>1820</v>
      </c>
      <c r="V635" t="s">
        <v>1821</v>
      </c>
      <c r="W635">
        <v>5.31</v>
      </c>
    </row>
    <row r="636" spans="1:23">
      <c r="A636" t="str">
        <f>"002170"</f>
        <v>002170</v>
      </c>
      <c r="B636" t="s">
        <v>1822</v>
      </c>
      <c r="C636" t="s">
        <v>3</v>
      </c>
      <c r="D636" t="s">
        <v>3</v>
      </c>
      <c r="E636" t="s">
        <v>3</v>
      </c>
      <c r="F636">
        <v>0</v>
      </c>
      <c r="G636">
        <v>0</v>
      </c>
      <c r="H636">
        <v>0</v>
      </c>
      <c r="I636">
        <v>0</v>
      </c>
      <c r="J636" t="s">
        <v>224</v>
      </c>
      <c r="K636" t="s">
        <v>2</v>
      </c>
      <c r="L636" t="s">
        <v>3</v>
      </c>
      <c r="M636">
        <v>6</v>
      </c>
      <c r="N636">
        <v>0</v>
      </c>
      <c r="O636">
        <v>0</v>
      </c>
      <c r="P636" t="s">
        <v>3</v>
      </c>
      <c r="Q636">
        <v>0</v>
      </c>
      <c r="R636">
        <v>0</v>
      </c>
      <c r="S636" t="s">
        <v>3</v>
      </c>
      <c r="T636">
        <v>62999.89</v>
      </c>
      <c r="U636" t="s">
        <v>1823</v>
      </c>
      <c r="V636" t="s">
        <v>1824</v>
      </c>
      <c r="W636">
        <v>0.16</v>
      </c>
    </row>
    <row r="637" spans="1:23">
      <c r="A637" t="str">
        <f>"002171"</f>
        <v>002171</v>
      </c>
      <c r="B637" t="s">
        <v>1825</v>
      </c>
      <c r="C637">
        <v>11.2</v>
      </c>
      <c r="D637">
        <v>11.95</v>
      </c>
      <c r="E637">
        <v>10.83</v>
      </c>
      <c r="F637">
        <v>11.6</v>
      </c>
      <c r="G637">
        <v>242399</v>
      </c>
      <c r="H637">
        <v>276064256</v>
      </c>
      <c r="I637">
        <v>1.76</v>
      </c>
      <c r="J637" t="s">
        <v>670</v>
      </c>
      <c r="K637" t="s">
        <v>220</v>
      </c>
      <c r="L637">
        <v>3.29</v>
      </c>
      <c r="M637">
        <v>11.39</v>
      </c>
      <c r="N637">
        <v>116900</v>
      </c>
      <c r="O637">
        <v>125498</v>
      </c>
      <c r="P637">
        <v>0.93</v>
      </c>
      <c r="Q637">
        <v>481</v>
      </c>
      <c r="R637">
        <v>52</v>
      </c>
      <c r="S637" t="s">
        <v>3</v>
      </c>
      <c r="T637">
        <v>32318.85</v>
      </c>
      <c r="U637" t="s">
        <v>1826</v>
      </c>
      <c r="V637" t="s">
        <v>1827</v>
      </c>
      <c r="W637">
        <v>3.45</v>
      </c>
    </row>
    <row r="638" spans="1:23">
      <c r="A638" t="str">
        <f>"002172"</f>
        <v>002172</v>
      </c>
      <c r="B638" t="s">
        <v>1828</v>
      </c>
      <c r="C638">
        <v>6.23</v>
      </c>
      <c r="D638">
        <v>6.38</v>
      </c>
      <c r="E638">
        <v>6.16</v>
      </c>
      <c r="F638">
        <v>6.28</v>
      </c>
      <c r="G638">
        <v>111318</v>
      </c>
      <c r="H638">
        <v>69659152</v>
      </c>
      <c r="I638">
        <v>1.1599999999999999</v>
      </c>
      <c r="J638" t="s">
        <v>310</v>
      </c>
      <c r="K638" t="s">
        <v>244</v>
      </c>
      <c r="L638">
        <v>-0.48</v>
      </c>
      <c r="M638">
        <v>6.26</v>
      </c>
      <c r="N638">
        <v>62421</v>
      </c>
      <c r="O638">
        <v>48897</v>
      </c>
      <c r="P638">
        <v>1.28</v>
      </c>
      <c r="Q638">
        <v>295</v>
      </c>
      <c r="R638">
        <v>338</v>
      </c>
      <c r="S638" t="s">
        <v>3</v>
      </c>
      <c r="T638">
        <v>53754.96</v>
      </c>
      <c r="U638" t="s">
        <v>1734</v>
      </c>
      <c r="V638" t="s">
        <v>1829</v>
      </c>
      <c r="W638">
        <v>-0.32</v>
      </c>
    </row>
    <row r="639" spans="1:23">
      <c r="A639" t="str">
        <f>"002173"</f>
        <v>002173</v>
      </c>
      <c r="B639" t="s">
        <v>1830</v>
      </c>
      <c r="C639">
        <v>12.18</v>
      </c>
      <c r="D639">
        <v>12.98</v>
      </c>
      <c r="E639">
        <v>12.14</v>
      </c>
      <c r="F639">
        <v>12.86</v>
      </c>
      <c r="G639">
        <v>61895</v>
      </c>
      <c r="H639">
        <v>78062504</v>
      </c>
      <c r="I639">
        <v>2.13</v>
      </c>
      <c r="J639" t="s">
        <v>169</v>
      </c>
      <c r="K639" t="s">
        <v>229</v>
      </c>
      <c r="L639">
        <v>5.24</v>
      </c>
      <c r="M639">
        <v>12.61</v>
      </c>
      <c r="N639">
        <v>23278</v>
      </c>
      <c r="O639">
        <v>38616</v>
      </c>
      <c r="P639">
        <v>0.6</v>
      </c>
      <c r="Q639">
        <v>286</v>
      </c>
      <c r="R639">
        <v>330</v>
      </c>
      <c r="S639" t="s">
        <v>3</v>
      </c>
      <c r="T639">
        <v>10804.87</v>
      </c>
      <c r="U639" t="s">
        <v>1831</v>
      </c>
      <c r="V639" t="s">
        <v>1832</v>
      </c>
      <c r="W639">
        <v>5.4</v>
      </c>
    </row>
    <row r="640" spans="1:23">
      <c r="A640" t="str">
        <f>"002174"</f>
        <v>002174</v>
      </c>
      <c r="B640" t="s">
        <v>1833</v>
      </c>
      <c r="C640">
        <v>52.75</v>
      </c>
      <c r="D640">
        <v>53.45</v>
      </c>
      <c r="E640">
        <v>52.47</v>
      </c>
      <c r="F640">
        <v>53.16</v>
      </c>
      <c r="G640">
        <v>17033</v>
      </c>
      <c r="H640">
        <v>90232536</v>
      </c>
      <c r="I640">
        <v>0.84</v>
      </c>
      <c r="J640" t="s">
        <v>355</v>
      </c>
      <c r="K640" t="s">
        <v>414</v>
      </c>
      <c r="L640">
        <v>1.47</v>
      </c>
      <c r="M640">
        <v>52.97</v>
      </c>
      <c r="N640">
        <v>8062</v>
      </c>
      <c r="O640">
        <v>8971</v>
      </c>
      <c r="P640">
        <v>0.9</v>
      </c>
      <c r="Q640">
        <v>164</v>
      </c>
      <c r="R640">
        <v>98</v>
      </c>
      <c r="S640" t="s">
        <v>3</v>
      </c>
      <c r="T640">
        <v>8293.99</v>
      </c>
      <c r="U640" t="s">
        <v>1834</v>
      </c>
      <c r="V640" t="s">
        <v>1835</v>
      </c>
      <c r="W640">
        <v>1.63</v>
      </c>
    </row>
    <row r="641" spans="1:23">
      <c r="A641" t="str">
        <f>"002175"</f>
        <v>002175</v>
      </c>
      <c r="B641" t="s">
        <v>1836</v>
      </c>
      <c r="C641">
        <v>20.92</v>
      </c>
      <c r="D641">
        <v>20.92</v>
      </c>
      <c r="E641">
        <v>20.32</v>
      </c>
      <c r="F641">
        <v>20.58</v>
      </c>
      <c r="G641">
        <v>35551</v>
      </c>
      <c r="H641">
        <v>73011008</v>
      </c>
      <c r="I641">
        <v>0.88</v>
      </c>
      <c r="J641" t="s">
        <v>617</v>
      </c>
      <c r="K641" t="s">
        <v>417</v>
      </c>
      <c r="L641">
        <v>-2</v>
      </c>
      <c r="M641">
        <v>20.54</v>
      </c>
      <c r="N641">
        <v>21191</v>
      </c>
      <c r="O641">
        <v>14359</v>
      </c>
      <c r="P641">
        <v>1.48</v>
      </c>
      <c r="Q641">
        <v>107</v>
      </c>
      <c r="R641">
        <v>25</v>
      </c>
      <c r="S641" t="s">
        <v>3</v>
      </c>
      <c r="T641">
        <v>10624.57</v>
      </c>
      <c r="U641" t="s">
        <v>1837</v>
      </c>
      <c r="V641" t="s">
        <v>1838</v>
      </c>
      <c r="W641">
        <v>-1.84</v>
      </c>
    </row>
    <row r="642" spans="1:23">
      <c r="A642" t="str">
        <f>"002176"</f>
        <v>002176</v>
      </c>
      <c r="B642" t="s">
        <v>1839</v>
      </c>
      <c r="C642">
        <v>16.3</v>
      </c>
      <c r="D642">
        <v>16.7</v>
      </c>
      <c r="E642">
        <v>15.91</v>
      </c>
      <c r="F642">
        <v>16.559999999999999</v>
      </c>
      <c r="G642">
        <v>124342</v>
      </c>
      <c r="H642">
        <v>201961536</v>
      </c>
      <c r="I642">
        <v>1.1000000000000001</v>
      </c>
      <c r="J642" t="s">
        <v>145</v>
      </c>
      <c r="K642" t="s">
        <v>265</v>
      </c>
      <c r="L642">
        <v>0.98</v>
      </c>
      <c r="M642">
        <v>16.239999999999998</v>
      </c>
      <c r="N642">
        <v>60362</v>
      </c>
      <c r="O642">
        <v>63980</v>
      </c>
      <c r="P642">
        <v>0.94</v>
      </c>
      <c r="Q642">
        <v>441</v>
      </c>
      <c r="R642">
        <v>17</v>
      </c>
      <c r="S642" t="s">
        <v>3</v>
      </c>
      <c r="T642">
        <v>42548.98</v>
      </c>
      <c r="U642" t="s">
        <v>1840</v>
      </c>
      <c r="V642" t="s">
        <v>1841</v>
      </c>
      <c r="W642">
        <v>1.1299999999999999</v>
      </c>
    </row>
    <row r="643" spans="1:23">
      <c r="A643" t="str">
        <f>"002177"</f>
        <v>002177</v>
      </c>
      <c r="B643" t="s">
        <v>1842</v>
      </c>
      <c r="C643">
        <v>6.28</v>
      </c>
      <c r="D643">
        <v>6.32</v>
      </c>
      <c r="E643">
        <v>6.19</v>
      </c>
      <c r="F643">
        <v>6.31</v>
      </c>
      <c r="G643">
        <v>230328</v>
      </c>
      <c r="H643">
        <v>143937200</v>
      </c>
      <c r="I643">
        <v>0.99</v>
      </c>
      <c r="J643" t="s">
        <v>66</v>
      </c>
      <c r="K643" t="s">
        <v>211</v>
      </c>
      <c r="L643">
        <v>0.8</v>
      </c>
      <c r="M643">
        <v>6.25</v>
      </c>
      <c r="N643">
        <v>116594</v>
      </c>
      <c r="O643">
        <v>113733</v>
      </c>
      <c r="P643">
        <v>1.03</v>
      </c>
      <c r="Q643">
        <v>3235</v>
      </c>
      <c r="R643">
        <v>3892</v>
      </c>
      <c r="S643" t="s">
        <v>3</v>
      </c>
      <c r="T643">
        <v>54339.6</v>
      </c>
      <c r="U643" t="s">
        <v>1843</v>
      </c>
      <c r="V643" t="s">
        <v>498</v>
      </c>
      <c r="W643">
        <v>0.96</v>
      </c>
    </row>
    <row r="644" spans="1:23">
      <c r="A644" t="str">
        <f>"002178"</f>
        <v>002178</v>
      </c>
      <c r="B644" t="s">
        <v>1844</v>
      </c>
      <c r="C644">
        <v>10.94</v>
      </c>
      <c r="D644">
        <v>11.17</v>
      </c>
      <c r="E644">
        <v>10.8</v>
      </c>
      <c r="F644">
        <v>11.14</v>
      </c>
      <c r="G644">
        <v>241052</v>
      </c>
      <c r="H644">
        <v>265931200</v>
      </c>
      <c r="I644">
        <v>1.19</v>
      </c>
      <c r="J644" t="s">
        <v>33</v>
      </c>
      <c r="K644" t="s">
        <v>727</v>
      </c>
      <c r="L644">
        <v>1.46</v>
      </c>
      <c r="M644">
        <v>11.03</v>
      </c>
      <c r="N644">
        <v>107143</v>
      </c>
      <c r="O644">
        <v>133909</v>
      </c>
      <c r="P644">
        <v>0.8</v>
      </c>
      <c r="Q644">
        <v>106</v>
      </c>
      <c r="R644">
        <v>3175</v>
      </c>
      <c r="S644" t="s">
        <v>3</v>
      </c>
      <c r="T644">
        <v>31137.69</v>
      </c>
      <c r="U644" t="s">
        <v>1845</v>
      </c>
      <c r="V644" t="s">
        <v>1846</v>
      </c>
      <c r="W644">
        <v>1.62</v>
      </c>
    </row>
    <row r="645" spans="1:23">
      <c r="A645" t="str">
        <f>"002179"</f>
        <v>002179</v>
      </c>
      <c r="B645" t="s">
        <v>1847</v>
      </c>
      <c r="C645">
        <v>24.8</v>
      </c>
      <c r="D645">
        <v>25.26</v>
      </c>
      <c r="E645">
        <v>24.67</v>
      </c>
      <c r="F645">
        <v>24.8</v>
      </c>
      <c r="G645">
        <v>46889</v>
      </c>
      <c r="H645">
        <v>117013192</v>
      </c>
      <c r="I645">
        <v>0.5</v>
      </c>
      <c r="J645" t="s">
        <v>62</v>
      </c>
      <c r="K645" t="s">
        <v>254</v>
      </c>
      <c r="L645">
        <v>-0.24</v>
      </c>
      <c r="M645">
        <v>24.96</v>
      </c>
      <c r="N645">
        <v>25510</v>
      </c>
      <c r="O645">
        <v>21378</v>
      </c>
      <c r="P645">
        <v>1.19</v>
      </c>
      <c r="Q645">
        <v>93</v>
      </c>
      <c r="R645">
        <v>14</v>
      </c>
      <c r="S645" t="s">
        <v>3</v>
      </c>
      <c r="T645">
        <v>44425.35</v>
      </c>
      <c r="U645" t="s">
        <v>1848</v>
      </c>
      <c r="V645" t="s">
        <v>1849</v>
      </c>
      <c r="W645">
        <v>-0.08</v>
      </c>
    </row>
    <row r="646" spans="1:23">
      <c r="A646" t="str">
        <f>"002180"</f>
        <v>002180</v>
      </c>
      <c r="B646" t="s">
        <v>1850</v>
      </c>
      <c r="C646">
        <v>23.98</v>
      </c>
      <c r="D646">
        <v>23.98</v>
      </c>
      <c r="E646">
        <v>23</v>
      </c>
      <c r="F646">
        <v>23.79</v>
      </c>
      <c r="G646">
        <v>29824</v>
      </c>
      <c r="H646">
        <v>70147776</v>
      </c>
      <c r="I646">
        <v>0.52</v>
      </c>
      <c r="J646" t="s">
        <v>145</v>
      </c>
      <c r="K646" t="s">
        <v>211</v>
      </c>
      <c r="L646">
        <v>-0.87</v>
      </c>
      <c r="M646">
        <v>23.52</v>
      </c>
      <c r="N646">
        <v>16768</v>
      </c>
      <c r="O646">
        <v>13056</v>
      </c>
      <c r="P646">
        <v>1.28</v>
      </c>
      <c r="Q646">
        <v>101</v>
      </c>
      <c r="R646">
        <v>832</v>
      </c>
      <c r="S646" t="s">
        <v>3</v>
      </c>
      <c r="T646">
        <v>9919.74</v>
      </c>
      <c r="U646" t="s">
        <v>1851</v>
      </c>
      <c r="V646" t="s">
        <v>1133</v>
      </c>
      <c r="W646">
        <v>-0.72</v>
      </c>
    </row>
    <row r="647" spans="1:23">
      <c r="A647" t="str">
        <f>"002181"</f>
        <v>002181</v>
      </c>
      <c r="B647" t="s">
        <v>1852</v>
      </c>
      <c r="C647">
        <v>18.98</v>
      </c>
      <c r="D647">
        <v>19.170000000000002</v>
      </c>
      <c r="E647">
        <v>18.63</v>
      </c>
      <c r="F647">
        <v>19.100000000000001</v>
      </c>
      <c r="G647">
        <v>151030</v>
      </c>
      <c r="H647">
        <v>286636800</v>
      </c>
      <c r="I647">
        <v>0.56999999999999995</v>
      </c>
      <c r="J647" t="s">
        <v>360</v>
      </c>
      <c r="K647" t="s">
        <v>211</v>
      </c>
      <c r="L647">
        <v>1</v>
      </c>
      <c r="M647">
        <v>18.98</v>
      </c>
      <c r="N647">
        <v>73844</v>
      </c>
      <c r="O647">
        <v>77185</v>
      </c>
      <c r="P647">
        <v>0.96</v>
      </c>
      <c r="Q647">
        <v>256</v>
      </c>
      <c r="R647">
        <v>720</v>
      </c>
      <c r="S647" t="s">
        <v>3</v>
      </c>
      <c r="T647">
        <v>21802.38</v>
      </c>
      <c r="U647" t="s">
        <v>1853</v>
      </c>
      <c r="V647" t="s">
        <v>1854</v>
      </c>
      <c r="W647">
        <v>1.1599999999999999</v>
      </c>
    </row>
    <row r="648" spans="1:23">
      <c r="A648" t="str">
        <f>"002182"</f>
        <v>002182</v>
      </c>
      <c r="B648" t="s">
        <v>1855</v>
      </c>
      <c r="C648">
        <v>9.5399999999999991</v>
      </c>
      <c r="D648">
        <v>9.59</v>
      </c>
      <c r="E648">
        <v>9.4</v>
      </c>
      <c r="F648">
        <v>9.48</v>
      </c>
      <c r="G648">
        <v>75080</v>
      </c>
      <c r="H648">
        <v>71143024</v>
      </c>
      <c r="I648">
        <v>0.75</v>
      </c>
      <c r="J648" t="s">
        <v>328</v>
      </c>
      <c r="K648" t="s">
        <v>244</v>
      </c>
      <c r="L648">
        <v>-0.94</v>
      </c>
      <c r="M648">
        <v>9.48</v>
      </c>
      <c r="N648">
        <v>46432</v>
      </c>
      <c r="O648">
        <v>28648</v>
      </c>
      <c r="P648">
        <v>1.62</v>
      </c>
      <c r="Q648">
        <v>609</v>
      </c>
      <c r="R648">
        <v>654</v>
      </c>
      <c r="S648" t="s">
        <v>3</v>
      </c>
      <c r="T648">
        <v>22064.83</v>
      </c>
      <c r="U648" t="s">
        <v>1856</v>
      </c>
      <c r="V648" t="s">
        <v>1857</v>
      </c>
      <c r="W648">
        <v>-0.78</v>
      </c>
    </row>
    <row r="649" spans="1:23">
      <c r="A649" t="str">
        <f>"002183"</f>
        <v>002183</v>
      </c>
      <c r="B649" t="s">
        <v>1858</v>
      </c>
      <c r="C649">
        <v>12.3</v>
      </c>
      <c r="D649">
        <v>13.07</v>
      </c>
      <c r="E649">
        <v>11.97</v>
      </c>
      <c r="F649">
        <v>13.07</v>
      </c>
      <c r="G649">
        <v>764617</v>
      </c>
      <c r="H649">
        <v>966160768</v>
      </c>
      <c r="I649">
        <v>1.03</v>
      </c>
      <c r="J649" t="s">
        <v>1859</v>
      </c>
      <c r="K649" t="s">
        <v>2</v>
      </c>
      <c r="L649">
        <v>10.02</v>
      </c>
      <c r="M649">
        <v>12.64</v>
      </c>
      <c r="N649">
        <v>366565</v>
      </c>
      <c r="O649">
        <v>398052</v>
      </c>
      <c r="P649">
        <v>0.92</v>
      </c>
      <c r="Q649">
        <v>313409</v>
      </c>
      <c r="R649">
        <v>0</v>
      </c>
      <c r="S649" t="s">
        <v>3</v>
      </c>
      <c r="T649">
        <v>98612.63</v>
      </c>
      <c r="U649" t="s">
        <v>1860</v>
      </c>
      <c r="V649" t="s">
        <v>1860</v>
      </c>
      <c r="W649">
        <v>10.18</v>
      </c>
    </row>
    <row r="650" spans="1:23">
      <c r="A650" t="str">
        <f>"002184"</f>
        <v>002184</v>
      </c>
      <c r="B650" t="s">
        <v>1861</v>
      </c>
      <c r="C650">
        <v>16.32</v>
      </c>
      <c r="D650">
        <v>16.36</v>
      </c>
      <c r="E650">
        <v>15.9</v>
      </c>
      <c r="F650">
        <v>16</v>
      </c>
      <c r="G650">
        <v>29840</v>
      </c>
      <c r="H650">
        <v>47833236</v>
      </c>
      <c r="I650">
        <v>0.69</v>
      </c>
      <c r="J650" t="s">
        <v>758</v>
      </c>
      <c r="K650" t="s">
        <v>727</v>
      </c>
      <c r="L650">
        <v>-2.44</v>
      </c>
      <c r="M650">
        <v>16.03</v>
      </c>
      <c r="N650">
        <v>20739</v>
      </c>
      <c r="O650">
        <v>9101</v>
      </c>
      <c r="P650">
        <v>2.2799999999999998</v>
      </c>
      <c r="Q650">
        <v>53</v>
      </c>
      <c r="R650">
        <v>134</v>
      </c>
      <c r="S650" t="s">
        <v>3</v>
      </c>
      <c r="T650">
        <v>13308.04</v>
      </c>
      <c r="U650" t="s">
        <v>1862</v>
      </c>
      <c r="V650" t="s">
        <v>622</v>
      </c>
      <c r="W650">
        <v>-2.2799999999999998</v>
      </c>
    </row>
    <row r="651" spans="1:23">
      <c r="A651" t="str">
        <f>"002185"</f>
        <v>002185</v>
      </c>
      <c r="B651" t="s">
        <v>1863</v>
      </c>
      <c r="C651">
        <v>12.64</v>
      </c>
      <c r="D651">
        <v>12.78</v>
      </c>
      <c r="E651">
        <v>12.42</v>
      </c>
      <c r="F651">
        <v>12.71</v>
      </c>
      <c r="G651">
        <v>150053</v>
      </c>
      <c r="H651">
        <v>188929776</v>
      </c>
      <c r="I651">
        <v>0.77</v>
      </c>
      <c r="J651" t="s">
        <v>1581</v>
      </c>
      <c r="K651" t="s">
        <v>483</v>
      </c>
      <c r="L651">
        <v>0.87</v>
      </c>
      <c r="M651">
        <v>12.59</v>
      </c>
      <c r="N651">
        <v>79298</v>
      </c>
      <c r="O651">
        <v>70755</v>
      </c>
      <c r="P651">
        <v>1.1200000000000001</v>
      </c>
      <c r="Q651">
        <v>1236</v>
      </c>
      <c r="R651">
        <v>561</v>
      </c>
      <c r="S651" t="s">
        <v>3</v>
      </c>
      <c r="T651">
        <v>66212.460000000006</v>
      </c>
      <c r="U651" t="s">
        <v>1864</v>
      </c>
      <c r="V651" t="s">
        <v>1865</v>
      </c>
      <c r="W651">
        <v>1.03</v>
      </c>
    </row>
    <row r="652" spans="1:23">
      <c r="A652" t="str">
        <f>"002186"</f>
        <v>002186</v>
      </c>
      <c r="B652" t="s">
        <v>1866</v>
      </c>
      <c r="C652">
        <v>21.12</v>
      </c>
      <c r="D652">
        <v>21.12</v>
      </c>
      <c r="E652">
        <v>20.86</v>
      </c>
      <c r="F652">
        <v>20.99</v>
      </c>
      <c r="G652">
        <v>23134</v>
      </c>
      <c r="H652">
        <v>48521416</v>
      </c>
      <c r="I652">
        <v>0.62</v>
      </c>
      <c r="J652" t="s">
        <v>22</v>
      </c>
      <c r="K652" t="s">
        <v>34</v>
      </c>
      <c r="L652">
        <v>-0.62</v>
      </c>
      <c r="M652">
        <v>20.97</v>
      </c>
      <c r="N652">
        <v>12436</v>
      </c>
      <c r="O652">
        <v>10697</v>
      </c>
      <c r="P652">
        <v>1.1599999999999999</v>
      </c>
      <c r="Q652">
        <v>49</v>
      </c>
      <c r="R652">
        <v>16</v>
      </c>
      <c r="S652" t="s">
        <v>3</v>
      </c>
      <c r="T652">
        <v>28009.88</v>
      </c>
      <c r="U652" t="s">
        <v>1867</v>
      </c>
      <c r="V652" t="s">
        <v>1868</v>
      </c>
      <c r="W652">
        <v>-0.46</v>
      </c>
    </row>
    <row r="653" spans="1:23">
      <c r="A653" t="str">
        <f>"002187"</f>
        <v>002187</v>
      </c>
      <c r="B653" t="s">
        <v>1869</v>
      </c>
      <c r="C653">
        <v>10.08</v>
      </c>
      <c r="D653">
        <v>10.09</v>
      </c>
      <c r="E653">
        <v>9.9499999999999993</v>
      </c>
      <c r="F653">
        <v>10.01</v>
      </c>
      <c r="G653">
        <v>34743</v>
      </c>
      <c r="H653">
        <v>34807992</v>
      </c>
      <c r="I653">
        <v>0.63</v>
      </c>
      <c r="J653" t="s">
        <v>297</v>
      </c>
      <c r="K653" t="s">
        <v>211</v>
      </c>
      <c r="L653">
        <v>-0.1</v>
      </c>
      <c r="M653">
        <v>10.02</v>
      </c>
      <c r="N653">
        <v>17501</v>
      </c>
      <c r="O653">
        <v>17242</v>
      </c>
      <c r="P653">
        <v>1.02</v>
      </c>
      <c r="Q653">
        <v>17</v>
      </c>
      <c r="R653">
        <v>541</v>
      </c>
      <c r="S653" t="s">
        <v>3</v>
      </c>
      <c r="T653">
        <v>33572.480000000003</v>
      </c>
      <c r="U653" t="s">
        <v>1870</v>
      </c>
      <c r="V653" t="s">
        <v>1871</v>
      </c>
      <c r="W653">
        <v>0.06</v>
      </c>
    </row>
    <row r="654" spans="1:23">
      <c r="A654" t="str">
        <f>"002188"</f>
        <v>002188</v>
      </c>
      <c r="B654" t="s">
        <v>1872</v>
      </c>
      <c r="C654">
        <v>12.21</v>
      </c>
      <c r="D654">
        <v>12.25</v>
      </c>
      <c r="E654">
        <v>11.85</v>
      </c>
      <c r="F654">
        <v>12.2</v>
      </c>
      <c r="G654">
        <v>29721</v>
      </c>
      <c r="H654">
        <v>35906816</v>
      </c>
      <c r="I654">
        <v>0.69</v>
      </c>
      <c r="J654" t="s">
        <v>62</v>
      </c>
      <c r="K654" t="s">
        <v>229</v>
      </c>
      <c r="L654">
        <v>-0.49</v>
      </c>
      <c r="M654">
        <v>12.08</v>
      </c>
      <c r="N654">
        <v>17808</v>
      </c>
      <c r="O654">
        <v>11912</v>
      </c>
      <c r="P654">
        <v>1.49</v>
      </c>
      <c r="Q654">
        <v>3</v>
      </c>
      <c r="R654">
        <v>216</v>
      </c>
      <c r="S654" t="s">
        <v>3</v>
      </c>
      <c r="T654">
        <v>14274.61</v>
      </c>
      <c r="U654" t="s">
        <v>1873</v>
      </c>
      <c r="V654" t="s">
        <v>958</v>
      </c>
      <c r="W654">
        <v>-0.33</v>
      </c>
    </row>
    <row r="655" spans="1:23">
      <c r="A655" t="str">
        <f>"002189"</f>
        <v>002189</v>
      </c>
      <c r="B655" t="s">
        <v>1874</v>
      </c>
      <c r="C655">
        <v>13.49</v>
      </c>
      <c r="D655">
        <v>14.24</v>
      </c>
      <c r="E655">
        <v>13.47</v>
      </c>
      <c r="F655">
        <v>14</v>
      </c>
      <c r="G655">
        <v>80151</v>
      </c>
      <c r="H655">
        <v>111951800</v>
      </c>
      <c r="I655">
        <v>1.47</v>
      </c>
      <c r="J655" t="s">
        <v>62</v>
      </c>
      <c r="K655" t="s">
        <v>254</v>
      </c>
      <c r="L655">
        <v>2.64</v>
      </c>
      <c r="M655">
        <v>13.97</v>
      </c>
      <c r="N655">
        <v>42742</v>
      </c>
      <c r="O655">
        <v>37409</v>
      </c>
      <c r="P655">
        <v>1.1399999999999999</v>
      </c>
      <c r="Q655">
        <v>312</v>
      </c>
      <c r="R655">
        <v>427</v>
      </c>
      <c r="S655" t="s">
        <v>3</v>
      </c>
      <c r="T655">
        <v>19880.02</v>
      </c>
      <c r="U655" t="s">
        <v>1875</v>
      </c>
      <c r="V655" t="s">
        <v>1876</v>
      </c>
      <c r="W655">
        <v>2.8</v>
      </c>
    </row>
    <row r="656" spans="1:23">
      <c r="A656" t="str">
        <f>"002190"</f>
        <v>002190</v>
      </c>
      <c r="B656" t="s">
        <v>1877</v>
      </c>
      <c r="C656">
        <v>62</v>
      </c>
      <c r="D656">
        <v>62.4</v>
      </c>
      <c r="E656">
        <v>60.8</v>
      </c>
      <c r="F656">
        <v>60.85</v>
      </c>
      <c r="G656">
        <v>217381</v>
      </c>
      <c r="H656">
        <v>1334882816</v>
      </c>
      <c r="I656">
        <v>0.83</v>
      </c>
      <c r="J656" t="s">
        <v>98</v>
      </c>
      <c r="K656" t="s">
        <v>225</v>
      </c>
      <c r="L656">
        <v>-3.12</v>
      </c>
      <c r="M656">
        <v>61.41</v>
      </c>
      <c r="N656">
        <v>125693</v>
      </c>
      <c r="O656">
        <v>91688</v>
      </c>
      <c r="P656">
        <v>1.37</v>
      </c>
      <c r="Q656">
        <v>265</v>
      </c>
      <c r="R656">
        <v>77</v>
      </c>
      <c r="S656" t="s">
        <v>3</v>
      </c>
      <c r="T656">
        <v>34518.83</v>
      </c>
      <c r="U656" t="s">
        <v>1878</v>
      </c>
      <c r="V656" t="s">
        <v>1878</v>
      </c>
      <c r="W656">
        <v>-2.96</v>
      </c>
    </row>
    <row r="657" spans="1:23">
      <c r="A657" t="str">
        <f>"002191"</f>
        <v>002191</v>
      </c>
      <c r="B657" t="s">
        <v>1879</v>
      </c>
      <c r="C657">
        <v>15.49</v>
      </c>
      <c r="D657">
        <v>15.65</v>
      </c>
      <c r="E657">
        <v>15.36</v>
      </c>
      <c r="F657">
        <v>15.52</v>
      </c>
      <c r="G657">
        <v>104054</v>
      </c>
      <c r="H657">
        <v>161209360</v>
      </c>
      <c r="I657">
        <v>0.64</v>
      </c>
      <c r="J657" t="s">
        <v>707</v>
      </c>
      <c r="K657" t="s">
        <v>2</v>
      </c>
      <c r="L657">
        <v>0.19</v>
      </c>
      <c r="M657">
        <v>15.49</v>
      </c>
      <c r="N657">
        <v>60716</v>
      </c>
      <c r="O657">
        <v>43338</v>
      </c>
      <c r="P657">
        <v>1.4</v>
      </c>
      <c r="Q657">
        <v>334</v>
      </c>
      <c r="R657">
        <v>300</v>
      </c>
      <c r="S657" t="s">
        <v>3</v>
      </c>
      <c r="T657">
        <v>64200</v>
      </c>
      <c r="U657" t="s">
        <v>1880</v>
      </c>
      <c r="V657" t="s">
        <v>1881</v>
      </c>
      <c r="W657">
        <v>0.35</v>
      </c>
    </row>
    <row r="658" spans="1:23">
      <c r="A658" t="str">
        <f>"002192"</f>
        <v>002192</v>
      </c>
      <c r="B658" t="s">
        <v>1882</v>
      </c>
      <c r="C658">
        <v>25.91</v>
      </c>
      <c r="D658">
        <v>26.15</v>
      </c>
      <c r="E658">
        <v>25</v>
      </c>
      <c r="F658">
        <v>25.31</v>
      </c>
      <c r="G658">
        <v>19920</v>
      </c>
      <c r="H658">
        <v>50902844</v>
      </c>
      <c r="I658">
        <v>0.64</v>
      </c>
      <c r="J658" t="s">
        <v>376</v>
      </c>
      <c r="K658" t="s">
        <v>211</v>
      </c>
      <c r="L658">
        <v>-2.16</v>
      </c>
      <c r="M658">
        <v>25.55</v>
      </c>
      <c r="N658">
        <v>11536</v>
      </c>
      <c r="O658">
        <v>8384</v>
      </c>
      <c r="P658">
        <v>1.38</v>
      </c>
      <c r="Q658">
        <v>6</v>
      </c>
      <c r="R658">
        <v>168</v>
      </c>
      <c r="S658" t="s">
        <v>3</v>
      </c>
      <c r="T658">
        <v>10186.040000000001</v>
      </c>
      <c r="U658" t="s">
        <v>1883</v>
      </c>
      <c r="V658" t="s">
        <v>1884</v>
      </c>
      <c r="W658">
        <v>-2.0099999999999998</v>
      </c>
    </row>
    <row r="659" spans="1:23">
      <c r="A659" t="str">
        <f>"002193"</f>
        <v>002193</v>
      </c>
      <c r="B659" t="s">
        <v>1885</v>
      </c>
      <c r="C659">
        <v>11.61</v>
      </c>
      <c r="D659">
        <v>11.97</v>
      </c>
      <c r="E659">
        <v>11.5</v>
      </c>
      <c r="F659">
        <v>11.95</v>
      </c>
      <c r="G659">
        <v>35287</v>
      </c>
      <c r="H659">
        <v>41472264</v>
      </c>
      <c r="I659">
        <v>1.43</v>
      </c>
      <c r="J659" t="s">
        <v>55</v>
      </c>
      <c r="K659" t="s">
        <v>250</v>
      </c>
      <c r="L659">
        <v>3.2</v>
      </c>
      <c r="M659">
        <v>11.75</v>
      </c>
      <c r="N659">
        <v>16521</v>
      </c>
      <c r="O659">
        <v>18766</v>
      </c>
      <c r="P659">
        <v>0.88</v>
      </c>
      <c r="Q659">
        <v>97</v>
      </c>
      <c r="R659">
        <v>173</v>
      </c>
      <c r="S659" t="s">
        <v>3</v>
      </c>
      <c r="T659">
        <v>15991.28</v>
      </c>
      <c r="U659" t="s">
        <v>1886</v>
      </c>
      <c r="V659" t="s">
        <v>1887</v>
      </c>
      <c r="W659">
        <v>3.35</v>
      </c>
    </row>
    <row r="660" spans="1:23">
      <c r="A660" t="str">
        <f>"002194"</f>
        <v>002194</v>
      </c>
      <c r="B660" t="s">
        <v>1888</v>
      </c>
      <c r="C660">
        <v>13.1</v>
      </c>
      <c r="D660">
        <v>13.17</v>
      </c>
      <c r="E660">
        <v>12.86</v>
      </c>
      <c r="F660">
        <v>13.12</v>
      </c>
      <c r="G660">
        <v>71007</v>
      </c>
      <c r="H660">
        <v>92297200</v>
      </c>
      <c r="I660">
        <v>1.06</v>
      </c>
      <c r="J660" t="s">
        <v>112</v>
      </c>
      <c r="K660" t="s">
        <v>317</v>
      </c>
      <c r="L660">
        <v>0.23</v>
      </c>
      <c r="M660">
        <v>13</v>
      </c>
      <c r="N660">
        <v>40559</v>
      </c>
      <c r="O660">
        <v>30448</v>
      </c>
      <c r="P660">
        <v>1.33</v>
      </c>
      <c r="Q660">
        <v>161</v>
      </c>
      <c r="R660">
        <v>372</v>
      </c>
      <c r="S660" t="s">
        <v>3</v>
      </c>
      <c r="T660">
        <v>30981.48</v>
      </c>
      <c r="U660" t="s">
        <v>1889</v>
      </c>
      <c r="V660" t="s">
        <v>1890</v>
      </c>
      <c r="W660">
        <v>0.39</v>
      </c>
    </row>
    <row r="661" spans="1:23">
      <c r="A661" t="str">
        <f>"002195"</f>
        <v>002195</v>
      </c>
      <c r="B661" t="s">
        <v>1891</v>
      </c>
      <c r="C661">
        <v>44.51</v>
      </c>
      <c r="D661">
        <v>44.93</v>
      </c>
      <c r="E661">
        <v>43.99</v>
      </c>
      <c r="F661">
        <v>44.15</v>
      </c>
      <c r="G661">
        <v>12002</v>
      </c>
      <c r="H661">
        <v>53066440</v>
      </c>
      <c r="I661">
        <v>0.77</v>
      </c>
      <c r="J661" t="s">
        <v>758</v>
      </c>
      <c r="K661" t="s">
        <v>727</v>
      </c>
      <c r="L661">
        <v>-1.45</v>
      </c>
      <c r="M661">
        <v>44.22</v>
      </c>
      <c r="N661">
        <v>8138</v>
      </c>
      <c r="O661">
        <v>3863</v>
      </c>
      <c r="P661">
        <v>2.11</v>
      </c>
      <c r="Q661">
        <v>84</v>
      </c>
      <c r="R661">
        <v>11</v>
      </c>
      <c r="S661" t="s">
        <v>3</v>
      </c>
      <c r="T661">
        <v>5873.95</v>
      </c>
      <c r="U661" t="s">
        <v>1892</v>
      </c>
      <c r="V661" t="s">
        <v>1893</v>
      </c>
      <c r="W661">
        <v>-1.29</v>
      </c>
    </row>
    <row r="662" spans="1:23">
      <c r="A662" t="str">
        <f>"002196"</f>
        <v>002196</v>
      </c>
      <c r="B662" t="s">
        <v>1894</v>
      </c>
      <c r="C662">
        <v>16.25</v>
      </c>
      <c r="D662">
        <v>16.670000000000002</v>
      </c>
      <c r="E662">
        <v>15.83</v>
      </c>
      <c r="F662">
        <v>16.28</v>
      </c>
      <c r="G662">
        <v>43855</v>
      </c>
      <c r="H662">
        <v>71437040</v>
      </c>
      <c r="I662">
        <v>1.19</v>
      </c>
      <c r="J662" t="s">
        <v>721</v>
      </c>
      <c r="K662" t="s">
        <v>229</v>
      </c>
      <c r="L662">
        <v>-0.61</v>
      </c>
      <c r="M662">
        <v>16.29</v>
      </c>
      <c r="N662">
        <v>24559</v>
      </c>
      <c r="O662">
        <v>19295</v>
      </c>
      <c r="P662">
        <v>1.27</v>
      </c>
      <c r="Q662">
        <v>196</v>
      </c>
      <c r="R662">
        <v>318</v>
      </c>
      <c r="S662" t="s">
        <v>3</v>
      </c>
      <c r="T662">
        <v>8580</v>
      </c>
      <c r="U662" t="s">
        <v>1895</v>
      </c>
      <c r="V662" t="s">
        <v>908</v>
      </c>
      <c r="W662">
        <v>-0.45</v>
      </c>
    </row>
    <row r="663" spans="1:23">
      <c r="A663" t="str">
        <f>"002197"</f>
        <v>002197</v>
      </c>
      <c r="B663" t="s">
        <v>1896</v>
      </c>
      <c r="C663">
        <v>16.989999999999998</v>
      </c>
      <c r="D663">
        <v>17.55</v>
      </c>
      <c r="E663">
        <v>16.39</v>
      </c>
      <c r="F663">
        <v>17.48</v>
      </c>
      <c r="G663">
        <v>144270</v>
      </c>
      <c r="H663">
        <v>246247216</v>
      </c>
      <c r="I663">
        <v>1.01</v>
      </c>
      <c r="J663" t="s">
        <v>617</v>
      </c>
      <c r="K663" t="s">
        <v>2</v>
      </c>
      <c r="L663">
        <v>3.55</v>
      </c>
      <c r="M663">
        <v>17.07</v>
      </c>
      <c r="N663">
        <v>70552</v>
      </c>
      <c r="O663">
        <v>73717</v>
      </c>
      <c r="P663">
        <v>0.96</v>
      </c>
      <c r="Q663">
        <v>575</v>
      </c>
      <c r="R663">
        <v>213</v>
      </c>
      <c r="S663" t="s">
        <v>3</v>
      </c>
      <c r="T663">
        <v>14690.2</v>
      </c>
      <c r="U663" t="s">
        <v>1897</v>
      </c>
      <c r="V663" t="s">
        <v>1213</v>
      </c>
      <c r="W663">
        <v>3.71</v>
      </c>
    </row>
    <row r="664" spans="1:23">
      <c r="A664" t="str">
        <f>"002198"</f>
        <v>002198</v>
      </c>
      <c r="B664" t="s">
        <v>1898</v>
      </c>
      <c r="C664">
        <v>9.69</v>
      </c>
      <c r="D664">
        <v>10.61</v>
      </c>
      <c r="E664">
        <v>9.69</v>
      </c>
      <c r="F664">
        <v>10.42</v>
      </c>
      <c r="G664">
        <v>340334</v>
      </c>
      <c r="H664">
        <v>345177344</v>
      </c>
      <c r="I664">
        <v>1.78</v>
      </c>
      <c r="J664" t="s">
        <v>321</v>
      </c>
      <c r="K664" t="s">
        <v>211</v>
      </c>
      <c r="L664">
        <v>7.64</v>
      </c>
      <c r="M664">
        <v>10.14</v>
      </c>
      <c r="N664">
        <v>141456</v>
      </c>
      <c r="O664">
        <v>198878</v>
      </c>
      <c r="P664">
        <v>0.71</v>
      </c>
      <c r="Q664">
        <v>1847</v>
      </c>
      <c r="R664">
        <v>1143</v>
      </c>
      <c r="S664" t="s">
        <v>3</v>
      </c>
      <c r="T664">
        <v>32554.06</v>
      </c>
      <c r="U664" t="s">
        <v>1899</v>
      </c>
      <c r="V664" t="s">
        <v>1900</v>
      </c>
      <c r="W664">
        <v>7.8</v>
      </c>
    </row>
    <row r="665" spans="1:23">
      <c r="A665" t="str">
        <f>"002199"</f>
        <v>002199</v>
      </c>
      <c r="B665" t="s">
        <v>1901</v>
      </c>
      <c r="C665">
        <v>13.73</v>
      </c>
      <c r="D665">
        <v>14.42</v>
      </c>
      <c r="E665">
        <v>13.58</v>
      </c>
      <c r="F665">
        <v>14.26</v>
      </c>
      <c r="G665">
        <v>193896</v>
      </c>
      <c r="H665">
        <v>270510208</v>
      </c>
      <c r="I665">
        <v>1.23</v>
      </c>
      <c r="J665" t="s">
        <v>62</v>
      </c>
      <c r="K665" t="s">
        <v>229</v>
      </c>
      <c r="L665">
        <v>4.09</v>
      </c>
      <c r="M665">
        <v>13.95</v>
      </c>
      <c r="N665">
        <v>84210</v>
      </c>
      <c r="O665">
        <v>109686</v>
      </c>
      <c r="P665">
        <v>0.77</v>
      </c>
      <c r="Q665">
        <v>941</v>
      </c>
      <c r="R665">
        <v>1246</v>
      </c>
      <c r="S665" t="s">
        <v>3</v>
      </c>
      <c r="T665">
        <v>14115.12</v>
      </c>
      <c r="U665" t="s">
        <v>1902</v>
      </c>
      <c r="V665" t="s">
        <v>1903</v>
      </c>
      <c r="W665">
        <v>4.25</v>
      </c>
    </row>
    <row r="666" spans="1:23">
      <c r="A666" t="str">
        <f>"002200"</f>
        <v>002200</v>
      </c>
      <c r="B666" t="s">
        <v>1904</v>
      </c>
      <c r="C666">
        <v>15.85</v>
      </c>
      <c r="D666">
        <v>16.010000000000002</v>
      </c>
      <c r="E666">
        <v>15.8</v>
      </c>
      <c r="F666">
        <v>15.99</v>
      </c>
      <c r="G666">
        <v>28580</v>
      </c>
      <c r="H666">
        <v>45510288</v>
      </c>
      <c r="I666">
        <v>1.23</v>
      </c>
      <c r="J666" t="s">
        <v>462</v>
      </c>
      <c r="K666" t="s">
        <v>445</v>
      </c>
      <c r="L666">
        <v>1.2</v>
      </c>
      <c r="M666">
        <v>15.92</v>
      </c>
      <c r="N666">
        <v>10415</v>
      </c>
      <c r="O666">
        <v>18164</v>
      </c>
      <c r="P666">
        <v>0.56999999999999995</v>
      </c>
      <c r="Q666">
        <v>144</v>
      </c>
      <c r="R666">
        <v>1816</v>
      </c>
      <c r="S666" t="s">
        <v>3</v>
      </c>
      <c r="T666">
        <v>10782.91</v>
      </c>
      <c r="U666" t="s">
        <v>1700</v>
      </c>
      <c r="V666" t="s">
        <v>1905</v>
      </c>
      <c r="W666">
        <v>1.36</v>
      </c>
    </row>
    <row r="667" spans="1:23">
      <c r="A667" t="str">
        <f>"002201"</f>
        <v>002201</v>
      </c>
      <c r="B667" t="s">
        <v>1906</v>
      </c>
      <c r="C667">
        <v>11.63</v>
      </c>
      <c r="D667">
        <v>11.89</v>
      </c>
      <c r="E667">
        <v>11.52</v>
      </c>
      <c r="F667">
        <v>11.69</v>
      </c>
      <c r="G667">
        <v>17453</v>
      </c>
      <c r="H667">
        <v>20437648</v>
      </c>
      <c r="I667">
        <v>0.57999999999999996</v>
      </c>
      <c r="J667" t="s">
        <v>41</v>
      </c>
      <c r="K667" t="s">
        <v>244</v>
      </c>
      <c r="L667">
        <v>0.17</v>
      </c>
      <c r="M667">
        <v>11.71</v>
      </c>
      <c r="N667">
        <v>9283</v>
      </c>
      <c r="O667">
        <v>8169</v>
      </c>
      <c r="P667">
        <v>1.1399999999999999</v>
      </c>
      <c r="Q667">
        <v>20</v>
      </c>
      <c r="R667">
        <v>35</v>
      </c>
      <c r="S667" t="s">
        <v>3</v>
      </c>
      <c r="T667">
        <v>16743.57</v>
      </c>
      <c r="U667" t="s">
        <v>1907</v>
      </c>
      <c r="V667" t="s">
        <v>1908</v>
      </c>
      <c r="W667">
        <v>0.33</v>
      </c>
    </row>
    <row r="668" spans="1:23">
      <c r="A668" t="str">
        <f>"002202"</f>
        <v>002202</v>
      </c>
      <c r="B668" t="s">
        <v>1909</v>
      </c>
      <c r="C668">
        <v>11.71</v>
      </c>
      <c r="D668">
        <v>11.78</v>
      </c>
      <c r="E668">
        <v>11.54</v>
      </c>
      <c r="F668">
        <v>11.64</v>
      </c>
      <c r="G668">
        <v>357566</v>
      </c>
      <c r="H668">
        <v>416093248</v>
      </c>
      <c r="I668">
        <v>0.31</v>
      </c>
      <c r="J668" t="s">
        <v>145</v>
      </c>
      <c r="K668" t="s">
        <v>241</v>
      </c>
      <c r="L668">
        <v>-0.77</v>
      </c>
      <c r="M668">
        <v>11.64</v>
      </c>
      <c r="N668">
        <v>193696</v>
      </c>
      <c r="O668">
        <v>163869</v>
      </c>
      <c r="P668">
        <v>1.18</v>
      </c>
      <c r="Q668">
        <v>2006</v>
      </c>
      <c r="R668">
        <v>124</v>
      </c>
      <c r="S668" t="s">
        <v>3</v>
      </c>
      <c r="T668">
        <v>213853.45</v>
      </c>
      <c r="U668" t="s">
        <v>1910</v>
      </c>
      <c r="V668" t="s">
        <v>1911</v>
      </c>
      <c r="W668">
        <v>-0.61</v>
      </c>
    </row>
    <row r="669" spans="1:23">
      <c r="A669" t="str">
        <f>"002203"</f>
        <v>002203</v>
      </c>
      <c r="B669" t="s">
        <v>1912</v>
      </c>
      <c r="C669" t="s">
        <v>3</v>
      </c>
      <c r="D669" t="s">
        <v>3</v>
      </c>
      <c r="E669" t="s">
        <v>3</v>
      </c>
      <c r="F669">
        <v>0</v>
      </c>
      <c r="G669">
        <v>0</v>
      </c>
      <c r="H669">
        <v>0</v>
      </c>
      <c r="I669">
        <v>0</v>
      </c>
      <c r="J669" t="s">
        <v>670</v>
      </c>
      <c r="K669" t="s">
        <v>229</v>
      </c>
      <c r="L669" t="s">
        <v>3</v>
      </c>
      <c r="M669">
        <v>12.69</v>
      </c>
      <c r="N669">
        <v>0</v>
      </c>
      <c r="O669">
        <v>0</v>
      </c>
      <c r="P669" t="s">
        <v>3</v>
      </c>
      <c r="Q669">
        <v>0</v>
      </c>
      <c r="R669">
        <v>0</v>
      </c>
      <c r="S669" t="s">
        <v>3</v>
      </c>
      <c r="T669">
        <v>73075.789999999994</v>
      </c>
      <c r="U669" t="s">
        <v>1913</v>
      </c>
      <c r="V669" t="s">
        <v>1914</v>
      </c>
      <c r="W669">
        <v>0.16</v>
      </c>
    </row>
    <row r="670" spans="1:23">
      <c r="A670" t="str">
        <f>"002204"</f>
        <v>002204</v>
      </c>
      <c r="B670" t="s">
        <v>1915</v>
      </c>
      <c r="C670">
        <v>12.28</v>
      </c>
      <c r="D670">
        <v>12.75</v>
      </c>
      <c r="E670">
        <v>12.05</v>
      </c>
      <c r="F670">
        <v>12.45</v>
      </c>
      <c r="G670">
        <v>556584</v>
      </c>
      <c r="H670">
        <v>694511488</v>
      </c>
      <c r="I670">
        <v>1.48</v>
      </c>
      <c r="J670" t="s">
        <v>269</v>
      </c>
      <c r="K670" t="s">
        <v>162</v>
      </c>
      <c r="L670">
        <v>0.89</v>
      </c>
      <c r="M670">
        <v>12.48</v>
      </c>
      <c r="N670">
        <v>279371</v>
      </c>
      <c r="O670">
        <v>277213</v>
      </c>
      <c r="P670">
        <v>1.01</v>
      </c>
      <c r="Q670">
        <v>1817</v>
      </c>
      <c r="R670">
        <v>1997</v>
      </c>
      <c r="S670" t="s">
        <v>3</v>
      </c>
      <c r="T670">
        <v>64940.19</v>
      </c>
      <c r="U670" t="s">
        <v>1916</v>
      </c>
      <c r="V670" t="s">
        <v>1917</v>
      </c>
      <c r="W670">
        <v>1.05</v>
      </c>
    </row>
    <row r="671" spans="1:23">
      <c r="A671" t="str">
        <f>"002205"</f>
        <v>002205</v>
      </c>
      <c r="B671" t="s">
        <v>1918</v>
      </c>
      <c r="C671">
        <v>16.28</v>
      </c>
      <c r="D671">
        <v>16.329999999999998</v>
      </c>
      <c r="E671">
        <v>16.100000000000001</v>
      </c>
      <c r="F671">
        <v>16.3</v>
      </c>
      <c r="G671">
        <v>29181</v>
      </c>
      <c r="H671">
        <v>47338328</v>
      </c>
      <c r="I671">
        <v>0.79</v>
      </c>
      <c r="J671" t="s">
        <v>150</v>
      </c>
      <c r="K671" t="s">
        <v>241</v>
      </c>
      <c r="L671">
        <v>0.18</v>
      </c>
      <c r="M671">
        <v>16.22</v>
      </c>
      <c r="N671">
        <v>16574</v>
      </c>
      <c r="O671">
        <v>12607</v>
      </c>
      <c r="P671">
        <v>1.31</v>
      </c>
      <c r="Q671">
        <v>30</v>
      </c>
      <c r="R671">
        <v>75</v>
      </c>
      <c r="S671" t="s">
        <v>3</v>
      </c>
      <c r="T671">
        <v>11615.2</v>
      </c>
      <c r="U671" t="s">
        <v>1919</v>
      </c>
      <c r="V671" t="s">
        <v>1919</v>
      </c>
      <c r="W671">
        <v>0.34</v>
      </c>
    </row>
    <row r="672" spans="1:23">
      <c r="A672" t="str">
        <f>"002206"</f>
        <v>002206</v>
      </c>
      <c r="B672" t="s">
        <v>1920</v>
      </c>
      <c r="C672">
        <v>8.1</v>
      </c>
      <c r="D672">
        <v>8.1</v>
      </c>
      <c r="E672">
        <v>7.99</v>
      </c>
      <c r="F672">
        <v>8.0500000000000007</v>
      </c>
      <c r="G672">
        <v>61696</v>
      </c>
      <c r="H672">
        <v>49553212</v>
      </c>
      <c r="I672">
        <v>0.73</v>
      </c>
      <c r="J672" t="s">
        <v>310</v>
      </c>
      <c r="K672" t="s">
        <v>229</v>
      </c>
      <c r="L672">
        <v>-0.12</v>
      </c>
      <c r="M672">
        <v>8.0299999999999994</v>
      </c>
      <c r="N672">
        <v>33286</v>
      </c>
      <c r="O672">
        <v>28410</v>
      </c>
      <c r="P672">
        <v>1.17</v>
      </c>
      <c r="Q672">
        <v>517</v>
      </c>
      <c r="R672">
        <v>611</v>
      </c>
      <c r="S672" t="s">
        <v>3</v>
      </c>
      <c r="T672">
        <v>33630.1</v>
      </c>
      <c r="U672" t="s">
        <v>1921</v>
      </c>
      <c r="V672" t="s">
        <v>1922</v>
      </c>
      <c r="W672">
        <v>0.03</v>
      </c>
    </row>
    <row r="673" spans="1:23">
      <c r="A673" t="str">
        <f>"002207"</f>
        <v>002207</v>
      </c>
      <c r="B673" t="s">
        <v>1923</v>
      </c>
      <c r="C673">
        <v>16.16</v>
      </c>
      <c r="D673">
        <v>16.38</v>
      </c>
      <c r="E673">
        <v>15.83</v>
      </c>
      <c r="F673">
        <v>16.07</v>
      </c>
      <c r="G673">
        <v>70368</v>
      </c>
      <c r="H673">
        <v>112954888</v>
      </c>
      <c r="I673">
        <v>1.1499999999999999</v>
      </c>
      <c r="J673" t="s">
        <v>1924</v>
      </c>
      <c r="K673" t="s">
        <v>241</v>
      </c>
      <c r="L673">
        <v>0.44</v>
      </c>
      <c r="M673">
        <v>16.05</v>
      </c>
      <c r="N673">
        <v>36154</v>
      </c>
      <c r="O673">
        <v>34213</v>
      </c>
      <c r="P673">
        <v>1.06</v>
      </c>
      <c r="Q673">
        <v>20</v>
      </c>
      <c r="R673">
        <v>93</v>
      </c>
      <c r="S673" t="s">
        <v>3</v>
      </c>
      <c r="T673">
        <v>17333</v>
      </c>
      <c r="U673" t="s">
        <v>1925</v>
      </c>
      <c r="V673" t="s">
        <v>1926</v>
      </c>
      <c r="W673">
        <v>0.6</v>
      </c>
    </row>
    <row r="674" spans="1:23">
      <c r="A674" t="str">
        <f>"002208"</f>
        <v>002208</v>
      </c>
      <c r="B674" t="s">
        <v>1927</v>
      </c>
      <c r="C674">
        <v>7.45</v>
      </c>
      <c r="D674">
        <v>7.49</v>
      </c>
      <c r="E674">
        <v>7.29</v>
      </c>
      <c r="F674">
        <v>7.44</v>
      </c>
      <c r="G674">
        <v>49385</v>
      </c>
      <c r="H674">
        <v>36629960</v>
      </c>
      <c r="I674">
        <v>0.78</v>
      </c>
      <c r="J674" t="s">
        <v>15</v>
      </c>
      <c r="K674" t="s">
        <v>220</v>
      </c>
      <c r="L674">
        <v>-0.13</v>
      </c>
      <c r="M674">
        <v>7.42</v>
      </c>
      <c r="N674">
        <v>29389</v>
      </c>
      <c r="O674">
        <v>19996</v>
      </c>
      <c r="P674">
        <v>1.47</v>
      </c>
      <c r="Q674">
        <v>1206</v>
      </c>
      <c r="R674">
        <v>35</v>
      </c>
      <c r="S674" t="s">
        <v>3</v>
      </c>
      <c r="T674">
        <v>31671.599999999999</v>
      </c>
      <c r="U674" t="s">
        <v>1928</v>
      </c>
      <c r="V674" t="s">
        <v>1929</v>
      </c>
      <c r="W674">
        <v>0.02</v>
      </c>
    </row>
    <row r="675" spans="1:23">
      <c r="A675" t="str">
        <f>"002209"</f>
        <v>002209</v>
      </c>
      <c r="B675" t="s">
        <v>1930</v>
      </c>
      <c r="C675">
        <v>9.26</v>
      </c>
      <c r="D675">
        <v>9.36</v>
      </c>
      <c r="E675">
        <v>9.14</v>
      </c>
      <c r="F675">
        <v>9.32</v>
      </c>
      <c r="G675">
        <v>30386</v>
      </c>
      <c r="H675">
        <v>28217252</v>
      </c>
      <c r="I675">
        <v>1.08</v>
      </c>
      <c r="J675" t="s">
        <v>124</v>
      </c>
      <c r="K675" t="s">
        <v>211</v>
      </c>
      <c r="L675">
        <v>1.08</v>
      </c>
      <c r="M675">
        <v>9.2899999999999991</v>
      </c>
      <c r="N675">
        <v>14535</v>
      </c>
      <c r="O675">
        <v>15851</v>
      </c>
      <c r="P675">
        <v>0.92</v>
      </c>
      <c r="Q675">
        <v>287</v>
      </c>
      <c r="R675">
        <v>446</v>
      </c>
      <c r="S675" t="s">
        <v>3</v>
      </c>
      <c r="T675">
        <v>12659.62</v>
      </c>
      <c r="U675" t="s">
        <v>1931</v>
      </c>
      <c r="V675" t="s">
        <v>1932</v>
      </c>
      <c r="W675">
        <v>1.24</v>
      </c>
    </row>
    <row r="676" spans="1:23">
      <c r="A676" t="str">
        <f>"002210"</f>
        <v>002210</v>
      </c>
      <c r="B676" t="s">
        <v>1933</v>
      </c>
      <c r="C676">
        <v>16.760000000000002</v>
      </c>
      <c r="D676">
        <v>17.05</v>
      </c>
      <c r="E676">
        <v>16.649999999999999</v>
      </c>
      <c r="F676">
        <v>17.05</v>
      </c>
      <c r="G676">
        <v>31671</v>
      </c>
      <c r="H676">
        <v>53626924</v>
      </c>
      <c r="I676">
        <v>0.92</v>
      </c>
      <c r="J676" t="s">
        <v>1859</v>
      </c>
      <c r="K676" t="s">
        <v>2</v>
      </c>
      <c r="L676">
        <v>1.73</v>
      </c>
      <c r="M676">
        <v>16.93</v>
      </c>
      <c r="N676">
        <v>13579</v>
      </c>
      <c r="O676">
        <v>18092</v>
      </c>
      <c r="P676">
        <v>0.75</v>
      </c>
      <c r="Q676">
        <v>74</v>
      </c>
      <c r="R676">
        <v>717</v>
      </c>
      <c r="S676" t="s">
        <v>3</v>
      </c>
      <c r="T676">
        <v>38492.32</v>
      </c>
      <c r="U676" t="s">
        <v>1934</v>
      </c>
      <c r="V676" t="s">
        <v>1935</v>
      </c>
      <c r="W676">
        <v>1.89</v>
      </c>
    </row>
    <row r="677" spans="1:23">
      <c r="A677" t="str">
        <f>"002211"</f>
        <v>002211</v>
      </c>
      <c r="B677" t="s">
        <v>1936</v>
      </c>
      <c r="C677">
        <v>7.45</v>
      </c>
      <c r="D677">
        <v>7.71</v>
      </c>
      <c r="E677">
        <v>7.39</v>
      </c>
      <c r="F677">
        <v>7.62</v>
      </c>
      <c r="G677">
        <v>91447</v>
      </c>
      <c r="H677">
        <v>69542912</v>
      </c>
      <c r="I677">
        <v>0.95</v>
      </c>
      <c r="J677" t="s">
        <v>1137</v>
      </c>
      <c r="K677" t="s">
        <v>244</v>
      </c>
      <c r="L677">
        <v>2.42</v>
      </c>
      <c r="M677">
        <v>7.6</v>
      </c>
      <c r="N677">
        <v>40276</v>
      </c>
      <c r="O677">
        <v>51170</v>
      </c>
      <c r="P677">
        <v>0.79</v>
      </c>
      <c r="Q677">
        <v>931</v>
      </c>
      <c r="R677">
        <v>1334</v>
      </c>
      <c r="S677" t="s">
        <v>3</v>
      </c>
      <c r="T677">
        <v>27761.759999999998</v>
      </c>
      <c r="U677" t="s">
        <v>1937</v>
      </c>
      <c r="V677" t="s">
        <v>924</v>
      </c>
      <c r="W677">
        <v>2.58</v>
      </c>
    </row>
    <row r="678" spans="1:23">
      <c r="A678" t="str">
        <f>"002212"</f>
        <v>002212</v>
      </c>
      <c r="B678" t="s">
        <v>1938</v>
      </c>
      <c r="C678">
        <v>7.22</v>
      </c>
      <c r="D678">
        <v>7.28</v>
      </c>
      <c r="E678">
        <v>7.17</v>
      </c>
      <c r="F678">
        <v>7.23</v>
      </c>
      <c r="G678">
        <v>143591</v>
      </c>
      <c r="H678">
        <v>103559840</v>
      </c>
      <c r="I678">
        <v>0.61</v>
      </c>
      <c r="J678" t="s">
        <v>145</v>
      </c>
      <c r="K678" t="s">
        <v>211</v>
      </c>
      <c r="L678">
        <v>0</v>
      </c>
      <c r="M678">
        <v>7.21</v>
      </c>
      <c r="N678">
        <v>82628</v>
      </c>
      <c r="O678">
        <v>60962</v>
      </c>
      <c r="P678">
        <v>1.36</v>
      </c>
      <c r="Q678">
        <v>1036</v>
      </c>
      <c r="R678">
        <v>2190</v>
      </c>
      <c r="S678" t="s">
        <v>3</v>
      </c>
      <c r="T678">
        <v>29044.32</v>
      </c>
      <c r="U678" t="s">
        <v>1939</v>
      </c>
      <c r="V678" t="s">
        <v>1940</v>
      </c>
      <c r="W678">
        <v>0.16</v>
      </c>
    </row>
    <row r="679" spans="1:23">
      <c r="A679" t="str">
        <f>"002213"</f>
        <v>002213</v>
      </c>
      <c r="B679" t="s">
        <v>1941</v>
      </c>
      <c r="C679">
        <v>13.11</v>
      </c>
      <c r="D679">
        <v>13.26</v>
      </c>
      <c r="E679">
        <v>12.88</v>
      </c>
      <c r="F679">
        <v>12.94</v>
      </c>
      <c r="G679">
        <v>35243</v>
      </c>
      <c r="H679">
        <v>45737828</v>
      </c>
      <c r="I679">
        <v>0.97</v>
      </c>
      <c r="J679" t="s">
        <v>98</v>
      </c>
      <c r="K679" t="s">
        <v>2</v>
      </c>
      <c r="L679">
        <v>-1.3</v>
      </c>
      <c r="M679">
        <v>12.98</v>
      </c>
      <c r="N679">
        <v>20582</v>
      </c>
      <c r="O679">
        <v>14660</v>
      </c>
      <c r="P679">
        <v>1.4</v>
      </c>
      <c r="Q679">
        <v>551</v>
      </c>
      <c r="R679">
        <v>296</v>
      </c>
      <c r="S679" t="s">
        <v>3</v>
      </c>
      <c r="T679">
        <v>12614.04</v>
      </c>
      <c r="U679" t="s">
        <v>1942</v>
      </c>
      <c r="V679" t="s">
        <v>1943</v>
      </c>
      <c r="W679">
        <v>-1.1399999999999999</v>
      </c>
    </row>
    <row r="680" spans="1:23">
      <c r="A680" t="str">
        <f>"002214"</f>
        <v>002214</v>
      </c>
      <c r="B680" t="s">
        <v>1944</v>
      </c>
      <c r="C680">
        <v>21.99</v>
      </c>
      <c r="D680">
        <v>22.08</v>
      </c>
      <c r="E680">
        <v>21.66</v>
      </c>
      <c r="F680">
        <v>21.82</v>
      </c>
      <c r="G680">
        <v>28410</v>
      </c>
      <c r="H680">
        <v>61834260</v>
      </c>
      <c r="I680">
        <v>0.65</v>
      </c>
      <c r="J680" t="s">
        <v>617</v>
      </c>
      <c r="K680" t="s">
        <v>229</v>
      </c>
      <c r="L680">
        <v>-0.68</v>
      </c>
      <c r="M680">
        <v>21.76</v>
      </c>
      <c r="N680">
        <v>18952</v>
      </c>
      <c r="O680">
        <v>9457</v>
      </c>
      <c r="P680">
        <v>2</v>
      </c>
      <c r="Q680">
        <v>5</v>
      </c>
      <c r="R680">
        <v>159</v>
      </c>
      <c r="S680" t="s">
        <v>3</v>
      </c>
      <c r="T680">
        <v>14214.67</v>
      </c>
      <c r="U680" t="s">
        <v>1945</v>
      </c>
      <c r="V680" t="s">
        <v>1893</v>
      </c>
      <c r="W680">
        <v>-0.52</v>
      </c>
    </row>
    <row r="681" spans="1:23">
      <c r="A681" t="str">
        <f>"002215"</f>
        <v>002215</v>
      </c>
      <c r="B681" t="s">
        <v>1946</v>
      </c>
      <c r="C681">
        <v>8.83</v>
      </c>
      <c r="D681">
        <v>8.8800000000000008</v>
      </c>
      <c r="E681">
        <v>8.68</v>
      </c>
      <c r="F681">
        <v>8.81</v>
      </c>
      <c r="G681">
        <v>51229</v>
      </c>
      <c r="H681">
        <v>45008968</v>
      </c>
      <c r="I681">
        <v>0.62</v>
      </c>
      <c r="J681" t="s">
        <v>224</v>
      </c>
      <c r="K681" t="s">
        <v>2</v>
      </c>
      <c r="L681">
        <v>0.11</v>
      </c>
      <c r="M681">
        <v>8.7899999999999991</v>
      </c>
      <c r="N681">
        <v>29254</v>
      </c>
      <c r="O681">
        <v>21975</v>
      </c>
      <c r="P681">
        <v>1.33</v>
      </c>
      <c r="Q681">
        <v>177</v>
      </c>
      <c r="R681">
        <v>409</v>
      </c>
      <c r="S681" t="s">
        <v>3</v>
      </c>
      <c r="T681">
        <v>51575.6</v>
      </c>
      <c r="U681" t="s">
        <v>1947</v>
      </c>
      <c r="V681" t="s">
        <v>1948</v>
      </c>
      <c r="W681">
        <v>0.27</v>
      </c>
    </row>
    <row r="682" spans="1:23">
      <c r="A682" t="str">
        <f>"002216"</f>
        <v>002216</v>
      </c>
      <c r="B682" t="s">
        <v>1949</v>
      </c>
      <c r="C682">
        <v>19.54</v>
      </c>
      <c r="D682">
        <v>19.55</v>
      </c>
      <c r="E682">
        <v>19.11</v>
      </c>
      <c r="F682">
        <v>19.16</v>
      </c>
      <c r="G682">
        <v>14906</v>
      </c>
      <c r="H682">
        <v>28660154</v>
      </c>
      <c r="I682">
        <v>0.66</v>
      </c>
      <c r="J682" t="s">
        <v>421</v>
      </c>
      <c r="K682" t="s">
        <v>254</v>
      </c>
      <c r="L682">
        <v>-0.88</v>
      </c>
      <c r="M682">
        <v>19.23</v>
      </c>
      <c r="N682">
        <v>10549</v>
      </c>
      <c r="O682">
        <v>4357</v>
      </c>
      <c r="P682">
        <v>2.42</v>
      </c>
      <c r="Q682">
        <v>194</v>
      </c>
      <c r="R682">
        <v>73</v>
      </c>
      <c r="S682" t="s">
        <v>3</v>
      </c>
      <c r="T682">
        <v>27855.56</v>
      </c>
      <c r="U682" t="s">
        <v>1950</v>
      </c>
      <c r="V682" t="s">
        <v>1951</v>
      </c>
      <c r="W682">
        <v>-0.72</v>
      </c>
    </row>
    <row r="683" spans="1:23">
      <c r="A683" t="str">
        <f>"002217"</f>
        <v>002217</v>
      </c>
      <c r="B683" t="s">
        <v>1952</v>
      </c>
      <c r="C683">
        <v>8.3800000000000008</v>
      </c>
      <c r="D683">
        <v>8.68</v>
      </c>
      <c r="E683">
        <v>8.32</v>
      </c>
      <c r="F683">
        <v>8.42</v>
      </c>
      <c r="G683">
        <v>63350</v>
      </c>
      <c r="H683">
        <v>53651436</v>
      </c>
      <c r="I683">
        <v>0.81</v>
      </c>
      <c r="J683" t="s">
        <v>376</v>
      </c>
      <c r="K683" t="s">
        <v>250</v>
      </c>
      <c r="L683">
        <v>0.96</v>
      </c>
      <c r="M683">
        <v>8.4700000000000006</v>
      </c>
      <c r="N683">
        <v>37565</v>
      </c>
      <c r="O683">
        <v>25784</v>
      </c>
      <c r="P683">
        <v>1.46</v>
      </c>
      <c r="Q683">
        <v>445</v>
      </c>
      <c r="R683">
        <v>1127</v>
      </c>
      <c r="S683" t="s">
        <v>3</v>
      </c>
      <c r="T683">
        <v>25385.73</v>
      </c>
      <c r="U683" t="s">
        <v>1953</v>
      </c>
      <c r="V683" t="s">
        <v>1954</v>
      </c>
      <c r="W683">
        <v>1.1200000000000001</v>
      </c>
    </row>
    <row r="684" spans="1:23">
      <c r="A684" t="str">
        <f>"002218"</f>
        <v>002218</v>
      </c>
      <c r="B684" t="s">
        <v>1955</v>
      </c>
      <c r="C684">
        <v>11.19</v>
      </c>
      <c r="D684">
        <v>11.52</v>
      </c>
      <c r="E684">
        <v>11.12</v>
      </c>
      <c r="F684">
        <v>11.2</v>
      </c>
      <c r="G684">
        <v>90337</v>
      </c>
      <c r="H684">
        <v>101940656</v>
      </c>
      <c r="I684">
        <v>0.95</v>
      </c>
      <c r="J684" t="s">
        <v>1581</v>
      </c>
      <c r="K684" t="s">
        <v>2</v>
      </c>
      <c r="L684">
        <v>0.36</v>
      </c>
      <c r="M684">
        <v>11.28</v>
      </c>
      <c r="N684">
        <v>55993</v>
      </c>
      <c r="O684">
        <v>34344</v>
      </c>
      <c r="P684">
        <v>1.63</v>
      </c>
      <c r="Q684">
        <v>670</v>
      </c>
      <c r="R684">
        <v>600</v>
      </c>
      <c r="S684" t="s">
        <v>3</v>
      </c>
      <c r="T684">
        <v>47959.26</v>
      </c>
      <c r="U684" t="s">
        <v>1956</v>
      </c>
      <c r="V684" t="s">
        <v>1957</v>
      </c>
      <c r="W684">
        <v>0.52</v>
      </c>
    </row>
    <row r="685" spans="1:23">
      <c r="A685" t="str">
        <f>"002219"</f>
        <v>002219</v>
      </c>
      <c r="B685" t="s">
        <v>1958</v>
      </c>
      <c r="C685">
        <v>22.93</v>
      </c>
      <c r="D685">
        <v>22.93</v>
      </c>
      <c r="E685">
        <v>22.05</v>
      </c>
      <c r="F685">
        <v>22.24</v>
      </c>
      <c r="G685">
        <v>167237</v>
      </c>
      <c r="H685">
        <v>374119264</v>
      </c>
      <c r="I685">
        <v>2.2799999999999998</v>
      </c>
      <c r="J685" t="s">
        <v>321</v>
      </c>
      <c r="K685" t="s">
        <v>483</v>
      </c>
      <c r="L685">
        <v>-3.09</v>
      </c>
      <c r="M685">
        <v>22.37</v>
      </c>
      <c r="N685">
        <v>99792</v>
      </c>
      <c r="O685">
        <v>67445</v>
      </c>
      <c r="P685">
        <v>1.48</v>
      </c>
      <c r="Q685">
        <v>299</v>
      </c>
      <c r="R685">
        <v>188</v>
      </c>
      <c r="S685" t="s">
        <v>3</v>
      </c>
      <c r="T685">
        <v>60347.92</v>
      </c>
      <c r="U685" t="s">
        <v>1959</v>
      </c>
      <c r="V685" t="s">
        <v>1960</v>
      </c>
      <c r="W685">
        <v>-2.94</v>
      </c>
    </row>
    <row r="686" spans="1:23">
      <c r="A686" t="str">
        <f>"002220"</f>
        <v>002220</v>
      </c>
      <c r="B686" t="s">
        <v>1961</v>
      </c>
      <c r="C686">
        <v>7.25</v>
      </c>
      <c r="D686">
        <v>7.28</v>
      </c>
      <c r="E686">
        <v>7.17</v>
      </c>
      <c r="F686">
        <v>7.26</v>
      </c>
      <c r="G686">
        <v>64184</v>
      </c>
      <c r="H686">
        <v>46443256</v>
      </c>
      <c r="I686">
        <v>1.18</v>
      </c>
      <c r="J686" t="s">
        <v>421</v>
      </c>
      <c r="K686" t="s">
        <v>162</v>
      </c>
      <c r="L686">
        <v>0.41</v>
      </c>
      <c r="M686">
        <v>7.24</v>
      </c>
      <c r="N686">
        <v>24975</v>
      </c>
      <c r="O686">
        <v>39209</v>
      </c>
      <c r="P686">
        <v>0.64</v>
      </c>
      <c r="Q686">
        <v>56</v>
      </c>
      <c r="R686">
        <v>5640</v>
      </c>
      <c r="S686" t="s">
        <v>3</v>
      </c>
      <c r="T686">
        <v>38948.120000000003</v>
      </c>
      <c r="U686" t="s">
        <v>1962</v>
      </c>
      <c r="V686" t="s">
        <v>1963</v>
      </c>
      <c r="W686">
        <v>0.56999999999999995</v>
      </c>
    </row>
    <row r="687" spans="1:23">
      <c r="A687" t="str">
        <f>"002221"</f>
        <v>002221</v>
      </c>
      <c r="B687" t="s">
        <v>1964</v>
      </c>
      <c r="C687">
        <v>12.76</v>
      </c>
      <c r="D687">
        <v>12.81</v>
      </c>
      <c r="E687">
        <v>12.55</v>
      </c>
      <c r="F687">
        <v>12.7</v>
      </c>
      <c r="G687">
        <v>32953</v>
      </c>
      <c r="H687">
        <v>41853104</v>
      </c>
      <c r="I687">
        <v>0.79</v>
      </c>
      <c r="J687" t="s">
        <v>204</v>
      </c>
      <c r="K687" t="s">
        <v>244</v>
      </c>
      <c r="L687">
        <v>-0.55000000000000004</v>
      </c>
      <c r="M687">
        <v>12.7</v>
      </c>
      <c r="N687">
        <v>17209</v>
      </c>
      <c r="O687">
        <v>15743</v>
      </c>
      <c r="P687">
        <v>1.0900000000000001</v>
      </c>
      <c r="Q687">
        <v>174</v>
      </c>
      <c r="R687">
        <v>46</v>
      </c>
      <c r="S687" t="s">
        <v>3</v>
      </c>
      <c r="T687">
        <v>44718.82</v>
      </c>
      <c r="U687" t="s">
        <v>1965</v>
      </c>
      <c r="V687" t="s">
        <v>1966</v>
      </c>
      <c r="W687">
        <v>-0.39</v>
      </c>
    </row>
    <row r="688" spans="1:23">
      <c r="A688" t="str">
        <f>"002222"</f>
        <v>002222</v>
      </c>
      <c r="B688" t="s">
        <v>1967</v>
      </c>
      <c r="C688">
        <v>11</v>
      </c>
      <c r="D688">
        <v>11.06</v>
      </c>
      <c r="E688">
        <v>10.79</v>
      </c>
      <c r="F688">
        <v>10.94</v>
      </c>
      <c r="G688">
        <v>89166</v>
      </c>
      <c r="H688">
        <v>96910584</v>
      </c>
      <c r="I688">
        <v>0.76</v>
      </c>
      <c r="J688" t="s">
        <v>62</v>
      </c>
      <c r="K688" t="s">
        <v>414</v>
      </c>
      <c r="L688">
        <v>-0.45</v>
      </c>
      <c r="M688">
        <v>10.87</v>
      </c>
      <c r="N688">
        <v>49010</v>
      </c>
      <c r="O688">
        <v>40156</v>
      </c>
      <c r="P688">
        <v>1.22</v>
      </c>
      <c r="Q688">
        <v>1272</v>
      </c>
      <c r="R688">
        <v>287</v>
      </c>
      <c r="S688" t="s">
        <v>3</v>
      </c>
      <c r="T688">
        <v>27611.57</v>
      </c>
      <c r="U688" t="s">
        <v>1968</v>
      </c>
      <c r="V688" t="s">
        <v>1969</v>
      </c>
      <c r="W688">
        <v>-0.3</v>
      </c>
    </row>
    <row r="689" spans="1:23">
      <c r="A689" t="str">
        <f>"002223"</f>
        <v>002223</v>
      </c>
      <c r="B689" t="s">
        <v>1970</v>
      </c>
      <c r="C689">
        <v>29.18</v>
      </c>
      <c r="D689">
        <v>29.4</v>
      </c>
      <c r="E689">
        <v>28.9</v>
      </c>
      <c r="F689">
        <v>29</v>
      </c>
      <c r="G689">
        <v>45283</v>
      </c>
      <c r="H689">
        <v>131651176</v>
      </c>
      <c r="I689">
        <v>0.77</v>
      </c>
      <c r="J689" t="s">
        <v>1971</v>
      </c>
      <c r="K689" t="s">
        <v>244</v>
      </c>
      <c r="L689">
        <v>-1.02</v>
      </c>
      <c r="M689">
        <v>29.07</v>
      </c>
      <c r="N689">
        <v>27760</v>
      </c>
      <c r="O689">
        <v>17523</v>
      </c>
      <c r="P689">
        <v>1.58</v>
      </c>
      <c r="Q689">
        <v>131</v>
      </c>
      <c r="R689">
        <v>386</v>
      </c>
      <c r="S689" t="s">
        <v>3</v>
      </c>
      <c r="T689">
        <v>44566.17</v>
      </c>
      <c r="U689" t="s">
        <v>1972</v>
      </c>
      <c r="V689" t="s">
        <v>1973</v>
      </c>
      <c r="W689">
        <v>-0.87</v>
      </c>
    </row>
    <row r="690" spans="1:23">
      <c r="A690" t="str">
        <f>"002224"</f>
        <v>002224</v>
      </c>
      <c r="B690" t="s">
        <v>1974</v>
      </c>
      <c r="C690">
        <v>7.16</v>
      </c>
      <c r="D690">
        <v>7.18</v>
      </c>
      <c r="E690">
        <v>7.09</v>
      </c>
      <c r="F690">
        <v>7.11</v>
      </c>
      <c r="G690">
        <v>131272</v>
      </c>
      <c r="H690">
        <v>93489216</v>
      </c>
      <c r="I690">
        <v>0.6</v>
      </c>
      <c r="J690" t="s">
        <v>1137</v>
      </c>
      <c r="K690" t="s">
        <v>229</v>
      </c>
      <c r="L690">
        <v>-0.7</v>
      </c>
      <c r="M690">
        <v>7.12</v>
      </c>
      <c r="N690">
        <v>83930</v>
      </c>
      <c r="O690">
        <v>47341</v>
      </c>
      <c r="P690">
        <v>1.77</v>
      </c>
      <c r="Q690">
        <v>557</v>
      </c>
      <c r="R690">
        <v>1037</v>
      </c>
      <c r="S690" t="s">
        <v>3</v>
      </c>
      <c r="T690">
        <v>44120.33</v>
      </c>
      <c r="U690" t="s">
        <v>1975</v>
      </c>
      <c r="V690" t="s">
        <v>1976</v>
      </c>
      <c r="W690">
        <v>-0.54</v>
      </c>
    </row>
    <row r="691" spans="1:23">
      <c r="A691" t="str">
        <f>"002225"</f>
        <v>002225</v>
      </c>
      <c r="B691" t="s">
        <v>1977</v>
      </c>
      <c r="C691" t="s">
        <v>3</v>
      </c>
      <c r="D691" t="s">
        <v>3</v>
      </c>
      <c r="E691" t="s">
        <v>3</v>
      </c>
      <c r="F691">
        <v>0</v>
      </c>
      <c r="G691">
        <v>0</v>
      </c>
      <c r="H691">
        <v>0</v>
      </c>
      <c r="I691">
        <v>0</v>
      </c>
      <c r="J691" t="s">
        <v>150</v>
      </c>
      <c r="K691" t="s">
        <v>254</v>
      </c>
      <c r="L691" t="s">
        <v>3</v>
      </c>
      <c r="M691">
        <v>7.72</v>
      </c>
      <c r="N691">
        <v>0</v>
      </c>
      <c r="O691">
        <v>0</v>
      </c>
      <c r="P691" t="s">
        <v>3</v>
      </c>
      <c r="Q691">
        <v>0</v>
      </c>
      <c r="R691">
        <v>0</v>
      </c>
      <c r="S691" t="s">
        <v>3</v>
      </c>
      <c r="T691">
        <v>41690.42</v>
      </c>
      <c r="U691" t="s">
        <v>1978</v>
      </c>
      <c r="V691" t="s">
        <v>1979</v>
      </c>
      <c r="W691">
        <v>0.16</v>
      </c>
    </row>
    <row r="692" spans="1:23">
      <c r="A692" t="str">
        <f>"002226"</f>
        <v>002226</v>
      </c>
      <c r="B692" t="s">
        <v>1980</v>
      </c>
      <c r="C692">
        <v>11.99</v>
      </c>
      <c r="D692">
        <v>12.05</v>
      </c>
      <c r="E692">
        <v>11.75</v>
      </c>
      <c r="F692">
        <v>11.96</v>
      </c>
      <c r="G692">
        <v>48759</v>
      </c>
      <c r="H692">
        <v>58125252</v>
      </c>
      <c r="I692">
        <v>0.74</v>
      </c>
      <c r="J692" t="s">
        <v>376</v>
      </c>
      <c r="K692" t="s">
        <v>220</v>
      </c>
      <c r="L692">
        <v>0.67</v>
      </c>
      <c r="M692">
        <v>11.92</v>
      </c>
      <c r="N692">
        <v>23266</v>
      </c>
      <c r="O692">
        <v>25492</v>
      </c>
      <c r="P692">
        <v>0.91</v>
      </c>
      <c r="Q692">
        <v>0</v>
      </c>
      <c r="R692">
        <v>0</v>
      </c>
      <c r="S692" t="s">
        <v>3</v>
      </c>
      <c r="T692">
        <v>39550.44</v>
      </c>
      <c r="U692" t="s">
        <v>1981</v>
      </c>
      <c r="V692" t="s">
        <v>1982</v>
      </c>
      <c r="W692">
        <v>0.83</v>
      </c>
    </row>
    <row r="693" spans="1:23">
      <c r="A693" t="str">
        <f>"002227"</f>
        <v>002227</v>
      </c>
      <c r="B693" t="s">
        <v>1983</v>
      </c>
      <c r="C693">
        <v>24.88</v>
      </c>
      <c r="D693">
        <v>24.88</v>
      </c>
      <c r="E693">
        <v>24.35</v>
      </c>
      <c r="F693">
        <v>24.55</v>
      </c>
      <c r="G693">
        <v>29736</v>
      </c>
      <c r="H693">
        <v>72937824</v>
      </c>
      <c r="I693">
        <v>0.68</v>
      </c>
      <c r="J693" t="s">
        <v>145</v>
      </c>
      <c r="K693" t="s">
        <v>2</v>
      </c>
      <c r="L693">
        <v>-1.41</v>
      </c>
      <c r="M693">
        <v>24.53</v>
      </c>
      <c r="N693">
        <v>18559</v>
      </c>
      <c r="O693">
        <v>11176</v>
      </c>
      <c r="P693">
        <v>1.66</v>
      </c>
      <c r="Q693">
        <v>147</v>
      </c>
      <c r="R693">
        <v>51</v>
      </c>
      <c r="S693" t="s">
        <v>3</v>
      </c>
      <c r="T693">
        <v>21715.24</v>
      </c>
      <c r="U693" t="s">
        <v>1984</v>
      </c>
      <c r="V693" t="s">
        <v>1985</v>
      </c>
      <c r="W693">
        <v>-1.25</v>
      </c>
    </row>
    <row r="694" spans="1:23">
      <c r="A694" t="str">
        <f>"002228"</f>
        <v>002228</v>
      </c>
      <c r="B694" t="s">
        <v>1986</v>
      </c>
      <c r="C694">
        <v>11.29</v>
      </c>
      <c r="D694">
        <v>11.33</v>
      </c>
      <c r="E694">
        <v>11.1</v>
      </c>
      <c r="F694">
        <v>11.25</v>
      </c>
      <c r="G694">
        <v>25312</v>
      </c>
      <c r="H694">
        <v>28383444</v>
      </c>
      <c r="I694">
        <v>0.51</v>
      </c>
      <c r="J694" t="s">
        <v>707</v>
      </c>
      <c r="K694" t="s">
        <v>414</v>
      </c>
      <c r="L694">
        <v>-0.35</v>
      </c>
      <c r="M694">
        <v>11.21</v>
      </c>
      <c r="N694">
        <v>14974</v>
      </c>
      <c r="O694">
        <v>10337</v>
      </c>
      <c r="P694">
        <v>1.45</v>
      </c>
      <c r="Q694">
        <v>108</v>
      </c>
      <c r="R694">
        <v>136</v>
      </c>
      <c r="S694" t="s">
        <v>3</v>
      </c>
      <c r="T694">
        <v>34750.39</v>
      </c>
      <c r="U694" t="s">
        <v>1987</v>
      </c>
      <c r="V694" t="s">
        <v>1987</v>
      </c>
      <c r="W694">
        <v>-0.2</v>
      </c>
    </row>
    <row r="695" spans="1:23">
      <c r="A695" t="str">
        <f>"002229"</f>
        <v>002229</v>
      </c>
      <c r="B695" t="s">
        <v>1988</v>
      </c>
      <c r="C695">
        <v>17.829999999999998</v>
      </c>
      <c r="D695">
        <v>17.940000000000001</v>
      </c>
      <c r="E695">
        <v>17.5</v>
      </c>
      <c r="F695">
        <v>17.88</v>
      </c>
      <c r="G695">
        <v>117066</v>
      </c>
      <c r="H695">
        <v>207192144</v>
      </c>
      <c r="I695">
        <v>0.79</v>
      </c>
      <c r="J695" t="s">
        <v>707</v>
      </c>
      <c r="K695" t="s">
        <v>414</v>
      </c>
      <c r="L695">
        <v>-0.56000000000000005</v>
      </c>
      <c r="M695">
        <v>17.7</v>
      </c>
      <c r="N695">
        <v>58474</v>
      </c>
      <c r="O695">
        <v>58591</v>
      </c>
      <c r="P695">
        <v>1</v>
      </c>
      <c r="Q695">
        <v>456</v>
      </c>
      <c r="R695">
        <v>43</v>
      </c>
      <c r="S695" t="s">
        <v>3</v>
      </c>
      <c r="T695">
        <v>18511.88</v>
      </c>
      <c r="U695" t="s">
        <v>986</v>
      </c>
      <c r="V695" t="s">
        <v>1989</v>
      </c>
      <c r="W695">
        <v>-0.4</v>
      </c>
    </row>
    <row r="696" spans="1:23">
      <c r="A696" t="str">
        <f>"002230"</f>
        <v>002230</v>
      </c>
      <c r="B696" t="s">
        <v>1990</v>
      </c>
      <c r="C696">
        <v>28.88</v>
      </c>
      <c r="D696">
        <v>29.18</v>
      </c>
      <c r="E696">
        <v>28.38</v>
      </c>
      <c r="F696">
        <v>28.65</v>
      </c>
      <c r="G696">
        <v>180398</v>
      </c>
      <c r="H696">
        <v>518647584</v>
      </c>
      <c r="I696">
        <v>0.81</v>
      </c>
      <c r="J696" t="s">
        <v>758</v>
      </c>
      <c r="K696" t="s">
        <v>220</v>
      </c>
      <c r="L696">
        <v>0.14000000000000001</v>
      </c>
      <c r="M696">
        <v>28.75</v>
      </c>
      <c r="N696">
        <v>86157</v>
      </c>
      <c r="O696">
        <v>94241</v>
      </c>
      <c r="P696">
        <v>0.91</v>
      </c>
      <c r="Q696">
        <v>728</v>
      </c>
      <c r="R696">
        <v>272</v>
      </c>
      <c r="S696" t="s">
        <v>3</v>
      </c>
      <c r="T696">
        <v>57848.67</v>
      </c>
      <c r="U696" t="s">
        <v>1991</v>
      </c>
      <c r="V696" t="s">
        <v>1992</v>
      </c>
      <c r="W696">
        <v>0.3</v>
      </c>
    </row>
    <row r="697" spans="1:23">
      <c r="A697" t="str">
        <f>"002231"</f>
        <v>002231</v>
      </c>
      <c r="B697" t="s">
        <v>1993</v>
      </c>
      <c r="C697">
        <v>9.35</v>
      </c>
      <c r="D697">
        <v>9.3800000000000008</v>
      </c>
      <c r="E697">
        <v>9.1300000000000008</v>
      </c>
      <c r="F697">
        <v>9.2200000000000006</v>
      </c>
      <c r="G697">
        <v>66988</v>
      </c>
      <c r="H697">
        <v>61710360</v>
      </c>
      <c r="I697">
        <v>0.66</v>
      </c>
      <c r="J697" t="s">
        <v>112</v>
      </c>
      <c r="K697" t="s">
        <v>162</v>
      </c>
      <c r="L697">
        <v>-1.07</v>
      </c>
      <c r="M697">
        <v>9.2100000000000009</v>
      </c>
      <c r="N697">
        <v>37513</v>
      </c>
      <c r="O697">
        <v>29475</v>
      </c>
      <c r="P697">
        <v>1.27</v>
      </c>
      <c r="Q697">
        <v>259</v>
      </c>
      <c r="R697">
        <v>738</v>
      </c>
      <c r="S697" t="s">
        <v>3</v>
      </c>
      <c r="T697">
        <v>20369</v>
      </c>
      <c r="U697" t="s">
        <v>1994</v>
      </c>
      <c r="V697" t="s">
        <v>1995</v>
      </c>
      <c r="W697">
        <v>-0.91</v>
      </c>
    </row>
    <row r="698" spans="1:23">
      <c r="A698" t="str">
        <f>"002232"</f>
        <v>002232</v>
      </c>
      <c r="B698" t="s">
        <v>1996</v>
      </c>
      <c r="C698">
        <v>10.58</v>
      </c>
      <c r="D698">
        <v>10.78</v>
      </c>
      <c r="E698">
        <v>10.46</v>
      </c>
      <c r="F698">
        <v>10.75</v>
      </c>
      <c r="G698">
        <v>121870</v>
      </c>
      <c r="H698">
        <v>129942104</v>
      </c>
      <c r="I698">
        <v>0.9</v>
      </c>
      <c r="J698" t="s">
        <v>758</v>
      </c>
      <c r="K698" t="s">
        <v>99</v>
      </c>
      <c r="L698">
        <v>1.8</v>
      </c>
      <c r="M698">
        <v>10.66</v>
      </c>
      <c r="N698">
        <v>53041</v>
      </c>
      <c r="O698">
        <v>68829</v>
      </c>
      <c r="P698">
        <v>0.77</v>
      </c>
      <c r="Q698">
        <v>613</v>
      </c>
      <c r="R698">
        <v>1358</v>
      </c>
      <c r="S698" t="s">
        <v>3</v>
      </c>
      <c r="T698">
        <v>39797.07</v>
      </c>
      <c r="U698" t="s">
        <v>1179</v>
      </c>
      <c r="V698" t="s">
        <v>1997</v>
      </c>
      <c r="W698">
        <v>1.96</v>
      </c>
    </row>
    <row r="699" spans="1:23">
      <c r="A699" t="str">
        <f>"002233"</f>
        <v>002233</v>
      </c>
      <c r="B699" t="s">
        <v>1998</v>
      </c>
      <c r="C699">
        <v>7.31</v>
      </c>
      <c r="D699">
        <v>7.32</v>
      </c>
      <c r="E699">
        <v>7.19</v>
      </c>
      <c r="F699">
        <v>7.27</v>
      </c>
      <c r="G699">
        <v>70140</v>
      </c>
      <c r="H699">
        <v>50965904</v>
      </c>
      <c r="I699">
        <v>0.88</v>
      </c>
      <c r="J699" t="s">
        <v>258</v>
      </c>
      <c r="K699" t="s">
        <v>211</v>
      </c>
      <c r="L699">
        <v>0</v>
      </c>
      <c r="M699">
        <v>7.27</v>
      </c>
      <c r="N699">
        <v>36772</v>
      </c>
      <c r="O699">
        <v>33367</v>
      </c>
      <c r="P699">
        <v>1.1000000000000001</v>
      </c>
      <c r="Q699">
        <v>540</v>
      </c>
      <c r="R699">
        <v>1725</v>
      </c>
      <c r="S699" t="s">
        <v>3</v>
      </c>
      <c r="T699">
        <v>55565.599999999999</v>
      </c>
      <c r="U699" t="s">
        <v>1999</v>
      </c>
      <c r="V699" t="s">
        <v>2000</v>
      </c>
      <c r="W699">
        <v>0.16</v>
      </c>
    </row>
    <row r="700" spans="1:23">
      <c r="A700" t="str">
        <f>"002234"</f>
        <v>002234</v>
      </c>
      <c r="B700" t="s">
        <v>2001</v>
      </c>
      <c r="C700">
        <v>9.9</v>
      </c>
      <c r="D700">
        <v>9.92</v>
      </c>
      <c r="E700">
        <v>9.66</v>
      </c>
      <c r="F700">
        <v>9.74</v>
      </c>
      <c r="G700">
        <v>51083</v>
      </c>
      <c r="H700">
        <v>49757572</v>
      </c>
      <c r="I700">
        <v>1.1200000000000001</v>
      </c>
      <c r="J700" t="s">
        <v>169</v>
      </c>
      <c r="K700" t="s">
        <v>250</v>
      </c>
      <c r="L700">
        <v>-1.62</v>
      </c>
      <c r="M700">
        <v>9.74</v>
      </c>
      <c r="N700">
        <v>34772</v>
      </c>
      <c r="O700">
        <v>16310</v>
      </c>
      <c r="P700">
        <v>2.13</v>
      </c>
      <c r="Q700">
        <v>8</v>
      </c>
      <c r="R700">
        <v>518</v>
      </c>
      <c r="S700" t="s">
        <v>3</v>
      </c>
      <c r="T700">
        <v>20664.490000000002</v>
      </c>
      <c r="U700" t="s">
        <v>1902</v>
      </c>
      <c r="V700" t="s">
        <v>1143</v>
      </c>
      <c r="W700">
        <v>-1.46</v>
      </c>
    </row>
    <row r="701" spans="1:23">
      <c r="A701" t="str">
        <f>"002235"</f>
        <v>002235</v>
      </c>
      <c r="B701" t="s">
        <v>2002</v>
      </c>
      <c r="C701">
        <v>16.39</v>
      </c>
      <c r="D701">
        <v>16.8</v>
      </c>
      <c r="E701">
        <v>16.170000000000002</v>
      </c>
      <c r="F701">
        <v>16.79</v>
      </c>
      <c r="G701">
        <v>111320</v>
      </c>
      <c r="H701">
        <v>184540928</v>
      </c>
      <c r="I701">
        <v>1.03</v>
      </c>
      <c r="J701" t="s">
        <v>343</v>
      </c>
      <c r="K701" t="s">
        <v>414</v>
      </c>
      <c r="L701">
        <v>2.44</v>
      </c>
      <c r="M701">
        <v>16.579999999999998</v>
      </c>
      <c r="N701">
        <v>51332</v>
      </c>
      <c r="O701">
        <v>59987</v>
      </c>
      <c r="P701">
        <v>0.86</v>
      </c>
      <c r="Q701">
        <v>558</v>
      </c>
      <c r="R701">
        <v>1653</v>
      </c>
      <c r="S701" t="s">
        <v>3</v>
      </c>
      <c r="T701">
        <v>12751.45</v>
      </c>
      <c r="U701" t="s">
        <v>2003</v>
      </c>
      <c r="V701" t="s">
        <v>2004</v>
      </c>
      <c r="W701">
        <v>2.6</v>
      </c>
    </row>
    <row r="702" spans="1:23">
      <c r="A702" t="str">
        <f>"002236"</f>
        <v>002236</v>
      </c>
      <c r="B702" t="s">
        <v>2005</v>
      </c>
      <c r="C702">
        <v>27.66</v>
      </c>
      <c r="D702">
        <v>27.66</v>
      </c>
      <c r="E702">
        <v>26.8</v>
      </c>
      <c r="F702">
        <v>27.18</v>
      </c>
      <c r="G702">
        <v>297001</v>
      </c>
      <c r="H702">
        <v>806776064</v>
      </c>
      <c r="I702">
        <v>0.69</v>
      </c>
      <c r="J702" t="s">
        <v>617</v>
      </c>
      <c r="K702" t="s">
        <v>229</v>
      </c>
      <c r="L702">
        <v>-1.41</v>
      </c>
      <c r="M702">
        <v>27.16</v>
      </c>
      <c r="N702">
        <v>159724</v>
      </c>
      <c r="O702">
        <v>137277</v>
      </c>
      <c r="P702">
        <v>1.1599999999999999</v>
      </c>
      <c r="Q702">
        <v>2807</v>
      </c>
      <c r="R702">
        <v>63</v>
      </c>
      <c r="S702" t="s">
        <v>3</v>
      </c>
      <c r="T702">
        <v>66024.47</v>
      </c>
      <c r="U702" t="s">
        <v>2006</v>
      </c>
      <c r="V702" t="s">
        <v>2007</v>
      </c>
      <c r="W702">
        <v>-1.26</v>
      </c>
    </row>
    <row r="703" spans="1:23">
      <c r="A703" t="str">
        <f>"002237"</f>
        <v>002237</v>
      </c>
      <c r="B703" t="s">
        <v>2008</v>
      </c>
      <c r="C703">
        <v>14.68</v>
      </c>
      <c r="D703">
        <v>14.73</v>
      </c>
      <c r="E703">
        <v>14.51</v>
      </c>
      <c r="F703">
        <v>14.58</v>
      </c>
      <c r="G703">
        <v>62840</v>
      </c>
      <c r="H703">
        <v>91769616</v>
      </c>
      <c r="I703">
        <v>0.79</v>
      </c>
      <c r="J703" t="s">
        <v>1783</v>
      </c>
      <c r="K703" t="s">
        <v>250</v>
      </c>
      <c r="L703">
        <v>-1.35</v>
      </c>
      <c r="M703">
        <v>14.6</v>
      </c>
      <c r="N703">
        <v>38327</v>
      </c>
      <c r="O703">
        <v>24513</v>
      </c>
      <c r="P703">
        <v>1.56</v>
      </c>
      <c r="Q703">
        <v>1303</v>
      </c>
      <c r="R703">
        <v>340</v>
      </c>
      <c r="S703" t="s">
        <v>3</v>
      </c>
      <c r="T703">
        <v>40015</v>
      </c>
      <c r="U703" t="s">
        <v>2009</v>
      </c>
      <c r="V703" t="s">
        <v>2010</v>
      </c>
      <c r="W703">
        <v>-1.19</v>
      </c>
    </row>
    <row r="704" spans="1:23">
      <c r="A704" t="str">
        <f>"002238"</f>
        <v>002238</v>
      </c>
      <c r="B704" t="s">
        <v>2011</v>
      </c>
      <c r="C704">
        <v>14.3</v>
      </c>
      <c r="D704">
        <v>14.56</v>
      </c>
      <c r="E704">
        <v>14.07</v>
      </c>
      <c r="F704">
        <v>14.52</v>
      </c>
      <c r="G704">
        <v>59114</v>
      </c>
      <c r="H704">
        <v>84535760</v>
      </c>
      <c r="I704">
        <v>1.23</v>
      </c>
      <c r="J704" t="s">
        <v>228</v>
      </c>
      <c r="K704" t="s">
        <v>2</v>
      </c>
      <c r="L704">
        <v>1.82</v>
      </c>
      <c r="M704">
        <v>14.3</v>
      </c>
      <c r="N704">
        <v>22498</v>
      </c>
      <c r="O704">
        <v>36615</v>
      </c>
      <c r="P704">
        <v>0.61</v>
      </c>
      <c r="Q704">
        <v>1040</v>
      </c>
      <c r="R704">
        <v>15</v>
      </c>
      <c r="S704" t="s">
        <v>3</v>
      </c>
      <c r="T704">
        <v>32040</v>
      </c>
      <c r="U704" t="s">
        <v>2012</v>
      </c>
      <c r="V704" t="s">
        <v>2012</v>
      </c>
      <c r="W704">
        <v>1.98</v>
      </c>
    </row>
    <row r="705" spans="1:23">
      <c r="A705" t="str">
        <f>"002239"</f>
        <v>002239</v>
      </c>
      <c r="B705" t="s">
        <v>2013</v>
      </c>
      <c r="C705" t="s">
        <v>3</v>
      </c>
      <c r="D705" t="s">
        <v>3</v>
      </c>
      <c r="E705" t="s">
        <v>3</v>
      </c>
      <c r="F705">
        <v>0</v>
      </c>
      <c r="G705">
        <v>0</v>
      </c>
      <c r="H705">
        <v>0</v>
      </c>
      <c r="I705">
        <v>0</v>
      </c>
      <c r="J705" t="s">
        <v>1373</v>
      </c>
      <c r="K705" t="s">
        <v>244</v>
      </c>
      <c r="L705" t="s">
        <v>3</v>
      </c>
      <c r="M705">
        <v>5.0199999999999996</v>
      </c>
      <c r="N705">
        <v>0</v>
      </c>
      <c r="O705">
        <v>0</v>
      </c>
      <c r="P705" t="s">
        <v>3</v>
      </c>
      <c r="Q705">
        <v>0</v>
      </c>
      <c r="R705">
        <v>0</v>
      </c>
      <c r="S705" t="s">
        <v>3</v>
      </c>
      <c r="T705">
        <v>42210</v>
      </c>
      <c r="U705" t="s">
        <v>704</v>
      </c>
      <c r="V705" t="s">
        <v>704</v>
      </c>
      <c r="W705">
        <v>0.16</v>
      </c>
    </row>
    <row r="706" spans="1:23">
      <c r="A706" t="str">
        <f>"002240"</f>
        <v>002240</v>
      </c>
      <c r="B706" t="s">
        <v>2014</v>
      </c>
      <c r="C706">
        <v>24.24</v>
      </c>
      <c r="D706">
        <v>24.39</v>
      </c>
      <c r="E706">
        <v>23.93</v>
      </c>
      <c r="F706">
        <v>24.05</v>
      </c>
      <c r="G706">
        <v>86489</v>
      </c>
      <c r="H706">
        <v>208806368</v>
      </c>
      <c r="I706">
        <v>0.92</v>
      </c>
      <c r="J706" t="s">
        <v>1183</v>
      </c>
      <c r="K706" t="s">
        <v>211</v>
      </c>
      <c r="L706">
        <v>-1.47</v>
      </c>
      <c r="M706">
        <v>24.14</v>
      </c>
      <c r="N706">
        <v>54611</v>
      </c>
      <c r="O706">
        <v>31878</v>
      </c>
      <c r="P706">
        <v>1.71</v>
      </c>
      <c r="Q706">
        <v>928</v>
      </c>
      <c r="R706">
        <v>569</v>
      </c>
      <c r="S706" t="s">
        <v>3</v>
      </c>
      <c r="T706">
        <v>35647.42</v>
      </c>
      <c r="U706" t="s">
        <v>2015</v>
      </c>
      <c r="V706" t="s">
        <v>2016</v>
      </c>
      <c r="W706">
        <v>-1.32</v>
      </c>
    </row>
    <row r="707" spans="1:23">
      <c r="A707" t="str">
        <f>"002241"</f>
        <v>002241</v>
      </c>
      <c r="B707" t="s">
        <v>2017</v>
      </c>
      <c r="C707">
        <v>28.67</v>
      </c>
      <c r="D707">
        <v>28.98</v>
      </c>
      <c r="E707">
        <v>28.3</v>
      </c>
      <c r="F707">
        <v>28.7</v>
      </c>
      <c r="G707">
        <v>228993</v>
      </c>
      <c r="H707">
        <v>656388416</v>
      </c>
      <c r="I707">
        <v>1.1100000000000001</v>
      </c>
      <c r="J707" t="s">
        <v>62</v>
      </c>
      <c r="K707" t="s">
        <v>250</v>
      </c>
      <c r="L707">
        <v>7.0000000000000007E-2</v>
      </c>
      <c r="M707">
        <v>28.66</v>
      </c>
      <c r="N707">
        <v>120999</v>
      </c>
      <c r="O707">
        <v>107993</v>
      </c>
      <c r="P707">
        <v>1.1200000000000001</v>
      </c>
      <c r="Q707">
        <v>511</v>
      </c>
      <c r="R707">
        <v>654</v>
      </c>
      <c r="S707" t="s">
        <v>3</v>
      </c>
      <c r="T707">
        <v>120950</v>
      </c>
      <c r="U707" t="s">
        <v>2018</v>
      </c>
      <c r="V707" t="s">
        <v>2019</v>
      </c>
      <c r="W707">
        <v>0.23</v>
      </c>
    </row>
    <row r="708" spans="1:23">
      <c r="A708" t="str">
        <f>"002242"</f>
        <v>002242</v>
      </c>
      <c r="B708" t="s">
        <v>2020</v>
      </c>
      <c r="C708">
        <v>10.9</v>
      </c>
      <c r="D708">
        <v>10.98</v>
      </c>
      <c r="E708">
        <v>10.7</v>
      </c>
      <c r="F708">
        <v>10.8</v>
      </c>
      <c r="G708">
        <v>87283</v>
      </c>
      <c r="H708">
        <v>94276696</v>
      </c>
      <c r="I708">
        <v>0.61</v>
      </c>
      <c r="J708" t="s">
        <v>47</v>
      </c>
      <c r="K708" t="s">
        <v>250</v>
      </c>
      <c r="L708">
        <v>-0.83</v>
      </c>
      <c r="M708">
        <v>10.8</v>
      </c>
      <c r="N708">
        <v>52299</v>
      </c>
      <c r="O708">
        <v>34983</v>
      </c>
      <c r="P708">
        <v>1.49</v>
      </c>
      <c r="Q708">
        <v>651</v>
      </c>
      <c r="R708">
        <v>1424</v>
      </c>
      <c r="S708" t="s">
        <v>3</v>
      </c>
      <c r="T708">
        <v>76095</v>
      </c>
      <c r="U708" t="s">
        <v>2021</v>
      </c>
      <c r="V708" t="s">
        <v>2021</v>
      </c>
      <c r="W708">
        <v>-0.67</v>
      </c>
    </row>
    <row r="709" spans="1:23">
      <c r="A709" t="str">
        <f>"002243"</f>
        <v>002243</v>
      </c>
      <c r="B709" t="s">
        <v>2022</v>
      </c>
      <c r="C709">
        <v>7.74</v>
      </c>
      <c r="D709">
        <v>8</v>
      </c>
      <c r="E709">
        <v>7.7</v>
      </c>
      <c r="F709">
        <v>7.9</v>
      </c>
      <c r="G709">
        <v>93798</v>
      </c>
      <c r="H709">
        <v>73932184</v>
      </c>
      <c r="I709">
        <v>1.17</v>
      </c>
      <c r="J709" t="s">
        <v>273</v>
      </c>
      <c r="K709" t="s">
        <v>2</v>
      </c>
      <c r="L709">
        <v>2.6</v>
      </c>
      <c r="M709">
        <v>7.88</v>
      </c>
      <c r="N709">
        <v>41005</v>
      </c>
      <c r="O709">
        <v>52793</v>
      </c>
      <c r="P709">
        <v>0.78</v>
      </c>
      <c r="Q709">
        <v>419</v>
      </c>
      <c r="R709">
        <v>106</v>
      </c>
      <c r="S709" t="s">
        <v>3</v>
      </c>
      <c r="T709">
        <v>30990.9</v>
      </c>
      <c r="U709" t="s">
        <v>2023</v>
      </c>
      <c r="V709" t="s">
        <v>2024</v>
      </c>
      <c r="W709">
        <v>2.76</v>
      </c>
    </row>
    <row r="710" spans="1:23">
      <c r="A710" t="str">
        <f>"002244"</f>
        <v>002244</v>
      </c>
      <c r="B710" t="s">
        <v>2025</v>
      </c>
      <c r="C710">
        <v>6.59</v>
      </c>
      <c r="D710">
        <v>6.64</v>
      </c>
      <c r="E710">
        <v>6.52</v>
      </c>
      <c r="F710">
        <v>6.6</v>
      </c>
      <c r="G710">
        <v>112988</v>
      </c>
      <c r="H710">
        <v>74164592</v>
      </c>
      <c r="I710">
        <v>0.8</v>
      </c>
      <c r="J710" t="s">
        <v>15</v>
      </c>
      <c r="K710" t="s">
        <v>229</v>
      </c>
      <c r="L710">
        <v>0.15</v>
      </c>
      <c r="M710">
        <v>6.56</v>
      </c>
      <c r="N710">
        <v>62934</v>
      </c>
      <c r="O710">
        <v>50053</v>
      </c>
      <c r="P710">
        <v>1.26</v>
      </c>
      <c r="Q710">
        <v>1936</v>
      </c>
      <c r="R710">
        <v>688</v>
      </c>
      <c r="S710" t="s">
        <v>3</v>
      </c>
      <c r="T710">
        <v>114773</v>
      </c>
      <c r="U710" t="s">
        <v>2026</v>
      </c>
      <c r="V710" t="s">
        <v>2027</v>
      </c>
      <c r="W710">
        <v>0.31</v>
      </c>
    </row>
    <row r="711" spans="1:23">
      <c r="A711" t="str">
        <f>"002245"</f>
        <v>002245</v>
      </c>
      <c r="B711" t="s">
        <v>2028</v>
      </c>
      <c r="C711">
        <v>11.03</v>
      </c>
      <c r="D711">
        <v>11.08</v>
      </c>
      <c r="E711">
        <v>10.7</v>
      </c>
      <c r="F711">
        <v>10.93</v>
      </c>
      <c r="G711">
        <v>88932</v>
      </c>
      <c r="H711">
        <v>96810664</v>
      </c>
      <c r="I711">
        <v>0.75</v>
      </c>
      <c r="J711" t="s">
        <v>1859</v>
      </c>
      <c r="K711" t="s">
        <v>244</v>
      </c>
      <c r="L711">
        <v>-0.27</v>
      </c>
      <c r="M711">
        <v>10.89</v>
      </c>
      <c r="N711">
        <v>50556</v>
      </c>
      <c r="O711">
        <v>38375</v>
      </c>
      <c r="P711">
        <v>1.32</v>
      </c>
      <c r="Q711">
        <v>299</v>
      </c>
      <c r="R711">
        <v>32</v>
      </c>
      <c r="S711" t="s">
        <v>3</v>
      </c>
      <c r="T711">
        <v>33546.44</v>
      </c>
      <c r="U711" t="s">
        <v>2029</v>
      </c>
      <c r="V711" t="s">
        <v>2030</v>
      </c>
      <c r="W711">
        <v>-0.12</v>
      </c>
    </row>
    <row r="712" spans="1:23">
      <c r="A712" t="str">
        <f>"002246"</f>
        <v>002246</v>
      </c>
      <c r="B712" t="s">
        <v>2031</v>
      </c>
      <c r="C712">
        <v>9.3800000000000008</v>
      </c>
      <c r="D712">
        <v>9.64</v>
      </c>
      <c r="E712">
        <v>9.17</v>
      </c>
      <c r="F712">
        <v>9.5</v>
      </c>
      <c r="G712">
        <v>185364</v>
      </c>
      <c r="H712">
        <v>174706144</v>
      </c>
      <c r="I712">
        <v>0.74</v>
      </c>
      <c r="J712" t="s">
        <v>376</v>
      </c>
      <c r="K712" t="s">
        <v>225</v>
      </c>
      <c r="L712">
        <v>1.28</v>
      </c>
      <c r="M712">
        <v>9.43</v>
      </c>
      <c r="N712">
        <v>101471</v>
      </c>
      <c r="O712">
        <v>83893</v>
      </c>
      <c r="P712">
        <v>1.21</v>
      </c>
      <c r="Q712">
        <v>388</v>
      </c>
      <c r="R712">
        <v>795</v>
      </c>
      <c r="S712" t="s">
        <v>3</v>
      </c>
      <c r="T712">
        <v>41368.639999999999</v>
      </c>
      <c r="U712" t="s">
        <v>2032</v>
      </c>
      <c r="V712" t="s">
        <v>2032</v>
      </c>
      <c r="W712">
        <v>1.44</v>
      </c>
    </row>
    <row r="713" spans="1:23">
      <c r="A713" t="str">
        <f>"002247"</f>
        <v>002247</v>
      </c>
      <c r="B713" t="s">
        <v>2033</v>
      </c>
      <c r="C713">
        <v>11.01</v>
      </c>
      <c r="D713">
        <v>11.09</v>
      </c>
      <c r="E713">
        <v>10.78</v>
      </c>
      <c r="F713">
        <v>10.87</v>
      </c>
      <c r="G713">
        <v>43076</v>
      </c>
      <c r="H713">
        <v>46745132</v>
      </c>
      <c r="I713">
        <v>0.8</v>
      </c>
      <c r="J713" t="s">
        <v>1496</v>
      </c>
      <c r="K713" t="s">
        <v>229</v>
      </c>
      <c r="L713">
        <v>-1.36</v>
      </c>
      <c r="M713">
        <v>10.85</v>
      </c>
      <c r="N713">
        <v>28863</v>
      </c>
      <c r="O713">
        <v>14212</v>
      </c>
      <c r="P713">
        <v>2.0299999999999998</v>
      </c>
      <c r="Q713">
        <v>403</v>
      </c>
      <c r="R713">
        <v>84</v>
      </c>
      <c r="S713" t="s">
        <v>3</v>
      </c>
      <c r="T713">
        <v>22131.8</v>
      </c>
      <c r="U713" t="s">
        <v>2034</v>
      </c>
      <c r="V713" t="s">
        <v>2035</v>
      </c>
      <c r="W713">
        <v>-1.2</v>
      </c>
    </row>
    <row r="714" spans="1:23">
      <c r="A714" t="str">
        <f>"002248"</f>
        <v>002248</v>
      </c>
      <c r="B714" t="s">
        <v>2036</v>
      </c>
      <c r="C714">
        <v>8.23</v>
      </c>
      <c r="D714">
        <v>8.35</v>
      </c>
      <c r="E714">
        <v>8.15</v>
      </c>
      <c r="F714">
        <v>8.1999999999999993</v>
      </c>
      <c r="G714">
        <v>27794</v>
      </c>
      <c r="H714">
        <v>22935164</v>
      </c>
      <c r="I714">
        <v>0.62</v>
      </c>
      <c r="J714" t="s">
        <v>283</v>
      </c>
      <c r="K714" t="s">
        <v>250</v>
      </c>
      <c r="L714">
        <v>-0.36</v>
      </c>
      <c r="M714">
        <v>8.25</v>
      </c>
      <c r="N714">
        <v>16960</v>
      </c>
      <c r="O714">
        <v>10834</v>
      </c>
      <c r="P714">
        <v>1.57</v>
      </c>
      <c r="Q714">
        <v>183</v>
      </c>
      <c r="R714">
        <v>146</v>
      </c>
      <c r="S714" t="s">
        <v>3</v>
      </c>
      <c r="T714">
        <v>20291.75</v>
      </c>
      <c r="U714" t="s">
        <v>2037</v>
      </c>
      <c r="V714" t="s">
        <v>2038</v>
      </c>
      <c r="W714">
        <v>-0.21</v>
      </c>
    </row>
    <row r="715" spans="1:23">
      <c r="A715" t="str">
        <f>"002249"</f>
        <v>002249</v>
      </c>
      <c r="B715" t="s">
        <v>2039</v>
      </c>
      <c r="C715">
        <v>14.89</v>
      </c>
      <c r="D715">
        <v>15.17</v>
      </c>
      <c r="E715">
        <v>14.73</v>
      </c>
      <c r="F715">
        <v>15.08</v>
      </c>
      <c r="G715">
        <v>80698</v>
      </c>
      <c r="H715">
        <v>121343792</v>
      </c>
      <c r="I715">
        <v>1.94</v>
      </c>
      <c r="J715" t="s">
        <v>145</v>
      </c>
      <c r="K715" t="s">
        <v>211</v>
      </c>
      <c r="L715">
        <v>2.2400000000000002</v>
      </c>
      <c r="M715">
        <v>15.04</v>
      </c>
      <c r="N715">
        <v>38419</v>
      </c>
      <c r="O715">
        <v>42278</v>
      </c>
      <c r="P715">
        <v>0.91</v>
      </c>
      <c r="Q715">
        <v>112</v>
      </c>
      <c r="R715">
        <v>8</v>
      </c>
      <c r="S715" t="s">
        <v>3</v>
      </c>
      <c r="T715">
        <v>41891.67</v>
      </c>
      <c r="U715" t="s">
        <v>1764</v>
      </c>
      <c r="V715" t="s">
        <v>2040</v>
      </c>
      <c r="W715">
        <v>2.4</v>
      </c>
    </row>
    <row r="716" spans="1:23">
      <c r="A716" t="str">
        <f>"002250"</f>
        <v>002250</v>
      </c>
      <c r="B716" t="s">
        <v>2041</v>
      </c>
      <c r="C716">
        <v>15.69</v>
      </c>
      <c r="D716">
        <v>15.94</v>
      </c>
      <c r="E716">
        <v>15.62</v>
      </c>
      <c r="F716">
        <v>15.8</v>
      </c>
      <c r="G716">
        <v>67741</v>
      </c>
      <c r="H716">
        <v>107114552</v>
      </c>
      <c r="I716">
        <v>0.86</v>
      </c>
      <c r="J716" t="s">
        <v>376</v>
      </c>
      <c r="K716" t="s">
        <v>229</v>
      </c>
      <c r="L716">
        <v>0.89</v>
      </c>
      <c r="M716">
        <v>15.81</v>
      </c>
      <c r="N716">
        <v>34114</v>
      </c>
      <c r="O716">
        <v>33627</v>
      </c>
      <c r="P716">
        <v>1.01</v>
      </c>
      <c r="Q716">
        <v>304</v>
      </c>
      <c r="R716">
        <v>151</v>
      </c>
      <c r="S716" t="s">
        <v>3</v>
      </c>
      <c r="T716">
        <v>53580.98</v>
      </c>
      <c r="U716" t="s">
        <v>2042</v>
      </c>
      <c r="V716" t="s">
        <v>2043</v>
      </c>
      <c r="W716">
        <v>1.05</v>
      </c>
    </row>
    <row r="717" spans="1:23">
      <c r="A717" t="str">
        <f>"002251"</f>
        <v>002251</v>
      </c>
      <c r="B717" t="s">
        <v>2044</v>
      </c>
      <c r="C717">
        <v>13.39</v>
      </c>
      <c r="D717">
        <v>13.48</v>
      </c>
      <c r="E717">
        <v>13.24</v>
      </c>
      <c r="F717">
        <v>13.37</v>
      </c>
      <c r="G717">
        <v>69216</v>
      </c>
      <c r="H717">
        <v>92404480</v>
      </c>
      <c r="I717">
        <v>0.89</v>
      </c>
      <c r="J717" t="s">
        <v>920</v>
      </c>
      <c r="K717" t="s">
        <v>234</v>
      </c>
      <c r="L717">
        <v>-0.22</v>
      </c>
      <c r="M717">
        <v>13.35</v>
      </c>
      <c r="N717">
        <v>36701</v>
      </c>
      <c r="O717">
        <v>32514</v>
      </c>
      <c r="P717">
        <v>1.1299999999999999</v>
      </c>
      <c r="Q717">
        <v>613</v>
      </c>
      <c r="R717">
        <v>415</v>
      </c>
      <c r="S717" t="s">
        <v>3</v>
      </c>
      <c r="T717">
        <v>54401.89</v>
      </c>
      <c r="U717" t="s">
        <v>2045</v>
      </c>
      <c r="V717" t="s">
        <v>2046</v>
      </c>
      <c r="W717">
        <v>-7.0000000000000007E-2</v>
      </c>
    </row>
    <row r="718" spans="1:23">
      <c r="A718" t="str">
        <f>"002252"</f>
        <v>002252</v>
      </c>
      <c r="B718" t="s">
        <v>2047</v>
      </c>
      <c r="C718" t="s">
        <v>3</v>
      </c>
      <c r="D718" t="s">
        <v>3</v>
      </c>
      <c r="E718" t="s">
        <v>3</v>
      </c>
      <c r="F718">
        <v>0</v>
      </c>
      <c r="G718">
        <v>0</v>
      </c>
      <c r="H718">
        <v>0</v>
      </c>
      <c r="I718">
        <v>0</v>
      </c>
      <c r="J718" t="s">
        <v>11</v>
      </c>
      <c r="K718" t="s">
        <v>727</v>
      </c>
      <c r="L718" t="s">
        <v>3</v>
      </c>
      <c r="M718">
        <v>63.3</v>
      </c>
      <c r="N718">
        <v>0</v>
      </c>
      <c r="O718">
        <v>0</v>
      </c>
      <c r="P718" t="s">
        <v>3</v>
      </c>
      <c r="Q718">
        <v>0</v>
      </c>
      <c r="R718">
        <v>0</v>
      </c>
      <c r="S718" t="s">
        <v>3</v>
      </c>
      <c r="T718">
        <v>48960</v>
      </c>
      <c r="U718" t="s">
        <v>2048</v>
      </c>
      <c r="V718" t="s">
        <v>2049</v>
      </c>
      <c r="W718">
        <v>0.16</v>
      </c>
    </row>
    <row r="719" spans="1:23">
      <c r="A719" t="str">
        <f>"002253"</f>
        <v>002253</v>
      </c>
      <c r="B719" t="s">
        <v>2050</v>
      </c>
      <c r="C719">
        <v>28.54</v>
      </c>
      <c r="D719">
        <v>28.57</v>
      </c>
      <c r="E719">
        <v>27.62</v>
      </c>
      <c r="F719">
        <v>27.76</v>
      </c>
      <c r="G719">
        <v>22011</v>
      </c>
      <c r="H719">
        <v>61447472</v>
      </c>
      <c r="I719">
        <v>0.87</v>
      </c>
      <c r="J719" t="s">
        <v>758</v>
      </c>
      <c r="K719" t="s">
        <v>225</v>
      </c>
      <c r="L719">
        <v>-1.49</v>
      </c>
      <c r="M719">
        <v>27.92</v>
      </c>
      <c r="N719">
        <v>12518</v>
      </c>
      <c r="O719">
        <v>9493</v>
      </c>
      <c r="P719">
        <v>1.32</v>
      </c>
      <c r="Q719">
        <v>18</v>
      </c>
      <c r="R719">
        <v>57</v>
      </c>
      <c r="S719" t="s">
        <v>3</v>
      </c>
      <c r="T719">
        <v>12585.73</v>
      </c>
      <c r="U719" t="s">
        <v>2051</v>
      </c>
      <c r="V719" t="s">
        <v>2052</v>
      </c>
      <c r="W719">
        <v>-1.33</v>
      </c>
    </row>
    <row r="720" spans="1:23">
      <c r="A720" t="str">
        <f>"002254"</f>
        <v>002254</v>
      </c>
      <c r="B720" t="s">
        <v>2053</v>
      </c>
      <c r="C720">
        <v>11.02</v>
      </c>
      <c r="D720">
        <v>11.05</v>
      </c>
      <c r="E720">
        <v>10.87</v>
      </c>
      <c r="F720">
        <v>10.91</v>
      </c>
      <c r="G720">
        <v>82907</v>
      </c>
      <c r="H720">
        <v>90587288</v>
      </c>
      <c r="I720">
        <v>0.67</v>
      </c>
      <c r="J720" t="s">
        <v>310</v>
      </c>
      <c r="K720" t="s">
        <v>250</v>
      </c>
      <c r="L720">
        <v>-1</v>
      </c>
      <c r="M720">
        <v>10.93</v>
      </c>
      <c r="N720">
        <v>52659</v>
      </c>
      <c r="O720">
        <v>30248</v>
      </c>
      <c r="P720">
        <v>1.74</v>
      </c>
      <c r="Q720">
        <v>762</v>
      </c>
      <c r="R720">
        <v>610</v>
      </c>
      <c r="S720" t="s">
        <v>3</v>
      </c>
      <c r="T720">
        <v>50882.21</v>
      </c>
      <c r="U720" t="s">
        <v>2054</v>
      </c>
      <c r="V720" t="s">
        <v>2055</v>
      </c>
      <c r="W720">
        <v>-0.84</v>
      </c>
    </row>
    <row r="721" spans="1:23">
      <c r="A721" t="str">
        <f>"002255"</f>
        <v>002255</v>
      </c>
      <c r="B721" t="s">
        <v>2056</v>
      </c>
      <c r="C721">
        <v>12.92</v>
      </c>
      <c r="D721">
        <v>13.05</v>
      </c>
      <c r="E721">
        <v>12.74</v>
      </c>
      <c r="F721">
        <v>12.8</v>
      </c>
      <c r="G721">
        <v>44055</v>
      </c>
      <c r="H721">
        <v>56576712</v>
      </c>
      <c r="I721">
        <v>0.56999999999999995</v>
      </c>
      <c r="J721" t="s">
        <v>269</v>
      </c>
      <c r="K721" t="s">
        <v>244</v>
      </c>
      <c r="L721">
        <v>-0.62</v>
      </c>
      <c r="M721">
        <v>12.84</v>
      </c>
      <c r="N721">
        <v>26642</v>
      </c>
      <c r="O721">
        <v>17413</v>
      </c>
      <c r="P721">
        <v>1.53</v>
      </c>
      <c r="Q721">
        <v>411</v>
      </c>
      <c r="R721">
        <v>167</v>
      </c>
      <c r="S721" t="s">
        <v>3</v>
      </c>
      <c r="T721">
        <v>19860.330000000002</v>
      </c>
      <c r="U721" t="s">
        <v>2057</v>
      </c>
      <c r="V721" t="s">
        <v>2058</v>
      </c>
      <c r="W721">
        <v>-0.46</v>
      </c>
    </row>
    <row r="722" spans="1:23">
      <c r="A722" t="str">
        <f>"002256"</f>
        <v>002256</v>
      </c>
      <c r="B722" t="s">
        <v>2059</v>
      </c>
      <c r="C722">
        <v>10.66</v>
      </c>
      <c r="D722">
        <v>10.99</v>
      </c>
      <c r="E722">
        <v>10.4</v>
      </c>
      <c r="F722">
        <v>10.79</v>
      </c>
      <c r="G722">
        <v>170016</v>
      </c>
      <c r="H722">
        <v>181928224</v>
      </c>
      <c r="I722">
        <v>1</v>
      </c>
      <c r="J722" t="s">
        <v>522</v>
      </c>
      <c r="K722" t="s">
        <v>2</v>
      </c>
      <c r="L722">
        <v>1.31</v>
      </c>
      <c r="M722">
        <v>10.7</v>
      </c>
      <c r="N722">
        <v>83798</v>
      </c>
      <c r="O722">
        <v>86217</v>
      </c>
      <c r="P722">
        <v>0.97</v>
      </c>
      <c r="Q722">
        <v>505</v>
      </c>
      <c r="R722">
        <v>277</v>
      </c>
      <c r="S722" t="s">
        <v>3</v>
      </c>
      <c r="T722">
        <v>31320</v>
      </c>
      <c r="U722" t="s">
        <v>2060</v>
      </c>
      <c r="V722" t="s">
        <v>2061</v>
      </c>
      <c r="W722">
        <v>1.47</v>
      </c>
    </row>
    <row r="723" spans="1:23">
      <c r="A723" t="str">
        <f>"002258"</f>
        <v>002258</v>
      </c>
      <c r="B723" t="s">
        <v>2062</v>
      </c>
      <c r="C723">
        <v>14.48</v>
      </c>
      <c r="D723">
        <v>14.66</v>
      </c>
      <c r="E723">
        <v>14.38</v>
      </c>
      <c r="F723">
        <v>14.54</v>
      </c>
      <c r="G723">
        <v>27265</v>
      </c>
      <c r="H723">
        <v>39639240</v>
      </c>
      <c r="I723">
        <v>1.37</v>
      </c>
      <c r="J723" t="s">
        <v>224</v>
      </c>
      <c r="K723" t="s">
        <v>225</v>
      </c>
      <c r="L723">
        <v>0.55000000000000004</v>
      </c>
      <c r="M723">
        <v>14.54</v>
      </c>
      <c r="N723">
        <v>15624</v>
      </c>
      <c r="O723">
        <v>11641</v>
      </c>
      <c r="P723">
        <v>1.34</v>
      </c>
      <c r="Q723">
        <v>5</v>
      </c>
      <c r="R723">
        <v>1069</v>
      </c>
      <c r="S723" t="s">
        <v>3</v>
      </c>
      <c r="T723">
        <v>20107.91</v>
      </c>
      <c r="U723" t="s">
        <v>2063</v>
      </c>
      <c r="V723" t="s">
        <v>1905</v>
      </c>
      <c r="W723">
        <v>0.71</v>
      </c>
    </row>
    <row r="724" spans="1:23">
      <c r="A724" t="str">
        <f>"002259"</f>
        <v>002259</v>
      </c>
      <c r="B724" t="s">
        <v>2064</v>
      </c>
      <c r="C724">
        <v>6.45</v>
      </c>
      <c r="D724">
        <v>6.56</v>
      </c>
      <c r="E724">
        <v>6.42</v>
      </c>
      <c r="F724">
        <v>6.49</v>
      </c>
      <c r="G724">
        <v>211772</v>
      </c>
      <c r="H724">
        <v>137425984</v>
      </c>
      <c r="I724">
        <v>0.88</v>
      </c>
      <c r="J724" t="s">
        <v>1183</v>
      </c>
      <c r="K724" t="s">
        <v>225</v>
      </c>
      <c r="L724">
        <v>0.62</v>
      </c>
      <c r="M724">
        <v>6.49</v>
      </c>
      <c r="N724">
        <v>104284</v>
      </c>
      <c r="O724">
        <v>107487</v>
      </c>
      <c r="P724">
        <v>0.97</v>
      </c>
      <c r="Q724">
        <v>626</v>
      </c>
      <c r="R724">
        <v>834</v>
      </c>
      <c r="S724" t="s">
        <v>3</v>
      </c>
      <c r="T724">
        <v>60716.1</v>
      </c>
      <c r="U724" t="s">
        <v>2065</v>
      </c>
      <c r="V724" t="s">
        <v>2066</v>
      </c>
      <c r="W724">
        <v>0.78</v>
      </c>
    </row>
    <row r="725" spans="1:23">
      <c r="A725" t="str">
        <f>"002260"</f>
        <v>002260</v>
      </c>
      <c r="B725" t="s">
        <v>2067</v>
      </c>
      <c r="C725">
        <v>28.43</v>
      </c>
      <c r="D725">
        <v>28.46</v>
      </c>
      <c r="E725">
        <v>28.11</v>
      </c>
      <c r="F725">
        <v>28.35</v>
      </c>
      <c r="G725">
        <v>9904</v>
      </c>
      <c r="H725">
        <v>28041894</v>
      </c>
      <c r="I725">
        <v>0.86</v>
      </c>
      <c r="J725" t="s">
        <v>47</v>
      </c>
      <c r="K725" t="s">
        <v>211</v>
      </c>
      <c r="L725">
        <v>0.18</v>
      </c>
      <c r="M725">
        <v>28.31</v>
      </c>
      <c r="N725">
        <v>5546</v>
      </c>
      <c r="O725">
        <v>4358</v>
      </c>
      <c r="P725">
        <v>1.27</v>
      </c>
      <c r="Q725">
        <v>3</v>
      </c>
      <c r="R725">
        <v>66</v>
      </c>
      <c r="S725" t="s">
        <v>3</v>
      </c>
      <c r="T725">
        <v>15600</v>
      </c>
      <c r="U725" t="s">
        <v>2068</v>
      </c>
      <c r="V725" t="s">
        <v>2068</v>
      </c>
      <c r="W725">
        <v>0.34</v>
      </c>
    </row>
    <row r="726" spans="1:23">
      <c r="A726" t="str">
        <f>"002261"</f>
        <v>002261</v>
      </c>
      <c r="B726" t="s">
        <v>2069</v>
      </c>
      <c r="C726">
        <v>24.95</v>
      </c>
      <c r="D726">
        <v>25.25</v>
      </c>
      <c r="E726">
        <v>24.29</v>
      </c>
      <c r="F726">
        <v>24.65</v>
      </c>
      <c r="G726">
        <v>287954</v>
      </c>
      <c r="H726">
        <v>712431872</v>
      </c>
      <c r="I726">
        <v>0.73</v>
      </c>
      <c r="J726" t="s">
        <v>355</v>
      </c>
      <c r="K726" t="s">
        <v>234</v>
      </c>
      <c r="L726">
        <v>0.08</v>
      </c>
      <c r="M726">
        <v>24.74</v>
      </c>
      <c r="N726">
        <v>142599</v>
      </c>
      <c r="O726">
        <v>145355</v>
      </c>
      <c r="P726">
        <v>0.98</v>
      </c>
      <c r="Q726">
        <v>1458</v>
      </c>
      <c r="R726">
        <v>1494</v>
      </c>
      <c r="S726" t="s">
        <v>3</v>
      </c>
      <c r="T726">
        <v>26106.63</v>
      </c>
      <c r="U726" t="s">
        <v>2070</v>
      </c>
      <c r="V726" t="s">
        <v>2071</v>
      </c>
      <c r="W726">
        <v>0.24</v>
      </c>
    </row>
    <row r="727" spans="1:23">
      <c r="A727" t="str">
        <f>"002262"</f>
        <v>002262</v>
      </c>
      <c r="B727" t="s">
        <v>2072</v>
      </c>
      <c r="C727">
        <v>25.72</v>
      </c>
      <c r="D727">
        <v>26.3</v>
      </c>
      <c r="E727">
        <v>25.52</v>
      </c>
      <c r="F727">
        <v>26.25</v>
      </c>
      <c r="G727">
        <v>33898</v>
      </c>
      <c r="H727">
        <v>88242792</v>
      </c>
      <c r="I727">
        <v>1.3</v>
      </c>
      <c r="J727" t="s">
        <v>219</v>
      </c>
      <c r="K727" t="s">
        <v>244</v>
      </c>
      <c r="L727">
        <v>1.82</v>
      </c>
      <c r="M727">
        <v>26.03</v>
      </c>
      <c r="N727">
        <v>16484</v>
      </c>
      <c r="O727">
        <v>17413</v>
      </c>
      <c r="P727">
        <v>0.95</v>
      </c>
      <c r="Q727">
        <v>263</v>
      </c>
      <c r="R727">
        <v>91</v>
      </c>
      <c r="S727" t="s">
        <v>3</v>
      </c>
      <c r="T727">
        <v>32916.230000000003</v>
      </c>
      <c r="U727" t="s">
        <v>2073</v>
      </c>
      <c r="V727" t="s">
        <v>2074</v>
      </c>
      <c r="W727">
        <v>1.98</v>
      </c>
    </row>
    <row r="728" spans="1:23">
      <c r="A728" t="str">
        <f>"002263"</f>
        <v>002263</v>
      </c>
      <c r="B728" t="s">
        <v>2075</v>
      </c>
      <c r="C728">
        <v>6.49</v>
      </c>
      <c r="D728">
        <v>6.65</v>
      </c>
      <c r="E728">
        <v>6.44</v>
      </c>
      <c r="F728">
        <v>6.61</v>
      </c>
      <c r="G728">
        <v>310042</v>
      </c>
      <c r="H728">
        <v>203370240</v>
      </c>
      <c r="I728">
        <v>0.89</v>
      </c>
      <c r="J728" t="s">
        <v>273</v>
      </c>
      <c r="K728" t="s">
        <v>229</v>
      </c>
      <c r="L728">
        <v>0.46</v>
      </c>
      <c r="M728">
        <v>6.56</v>
      </c>
      <c r="N728">
        <v>141436</v>
      </c>
      <c r="O728">
        <v>168605</v>
      </c>
      <c r="P728">
        <v>0.84</v>
      </c>
      <c r="Q728">
        <v>1774</v>
      </c>
      <c r="R728">
        <v>2594</v>
      </c>
      <c r="S728" t="s">
        <v>3</v>
      </c>
      <c r="T728">
        <v>74898.679999999993</v>
      </c>
      <c r="U728" t="s">
        <v>2076</v>
      </c>
      <c r="V728" t="s">
        <v>2077</v>
      </c>
      <c r="W728">
        <v>0.61</v>
      </c>
    </row>
    <row r="729" spans="1:23">
      <c r="A729" t="str">
        <f>"002264"</f>
        <v>002264</v>
      </c>
      <c r="B729" t="s">
        <v>2078</v>
      </c>
      <c r="C729">
        <v>8</v>
      </c>
      <c r="D729">
        <v>8.08</v>
      </c>
      <c r="E729">
        <v>7.79</v>
      </c>
      <c r="F729">
        <v>8.02</v>
      </c>
      <c r="G729">
        <v>169918</v>
      </c>
      <c r="H729">
        <v>134572192</v>
      </c>
      <c r="I729">
        <v>1.28</v>
      </c>
      <c r="J729" t="s">
        <v>920</v>
      </c>
      <c r="K729" t="s">
        <v>414</v>
      </c>
      <c r="L729">
        <v>0.25</v>
      </c>
      <c r="M729">
        <v>7.92</v>
      </c>
      <c r="N729">
        <v>88971</v>
      </c>
      <c r="O729">
        <v>80947</v>
      </c>
      <c r="P729">
        <v>1.1000000000000001</v>
      </c>
      <c r="Q729">
        <v>456</v>
      </c>
      <c r="R729">
        <v>579</v>
      </c>
      <c r="S729" t="s">
        <v>3</v>
      </c>
      <c r="T729">
        <v>50638.42</v>
      </c>
      <c r="U729" t="s">
        <v>2079</v>
      </c>
      <c r="V729" t="s">
        <v>2080</v>
      </c>
      <c r="W729">
        <v>0.41</v>
      </c>
    </row>
    <row r="730" spans="1:23">
      <c r="A730" t="str">
        <f>"002265"</f>
        <v>002265</v>
      </c>
      <c r="B730" t="s">
        <v>2081</v>
      </c>
      <c r="C730">
        <v>10.35</v>
      </c>
      <c r="D730">
        <v>10.35</v>
      </c>
      <c r="E730">
        <v>10.08</v>
      </c>
      <c r="F730">
        <v>10.15</v>
      </c>
      <c r="G730">
        <v>35726</v>
      </c>
      <c r="H730">
        <v>36253756</v>
      </c>
      <c r="I730">
        <v>0.88</v>
      </c>
      <c r="J730" t="s">
        <v>98</v>
      </c>
      <c r="K730" t="s">
        <v>445</v>
      </c>
      <c r="L730">
        <v>-0.98</v>
      </c>
      <c r="M730">
        <v>10.15</v>
      </c>
      <c r="N730">
        <v>22609</v>
      </c>
      <c r="O730">
        <v>13116</v>
      </c>
      <c r="P730">
        <v>1.72</v>
      </c>
      <c r="Q730">
        <v>152</v>
      </c>
      <c r="R730">
        <v>98</v>
      </c>
      <c r="S730" t="s">
        <v>3</v>
      </c>
      <c r="T730">
        <v>28372.59</v>
      </c>
      <c r="U730" t="s">
        <v>2082</v>
      </c>
      <c r="V730" t="s">
        <v>2083</v>
      </c>
      <c r="W730">
        <v>-0.82</v>
      </c>
    </row>
    <row r="731" spans="1:23">
      <c r="A731" t="str">
        <f>"002266"</f>
        <v>002266</v>
      </c>
      <c r="B731" t="s">
        <v>2084</v>
      </c>
      <c r="C731">
        <v>7.84</v>
      </c>
      <c r="D731">
        <v>7.91</v>
      </c>
      <c r="E731">
        <v>7.68</v>
      </c>
      <c r="F731">
        <v>7.87</v>
      </c>
      <c r="G731">
        <v>492285</v>
      </c>
      <c r="H731">
        <v>382718752</v>
      </c>
      <c r="I731">
        <v>0.8</v>
      </c>
      <c r="J731" t="s">
        <v>145</v>
      </c>
      <c r="K731" t="s">
        <v>229</v>
      </c>
      <c r="L731">
        <v>0.38</v>
      </c>
      <c r="M731">
        <v>7.77</v>
      </c>
      <c r="N731">
        <v>230884</v>
      </c>
      <c r="O731">
        <v>261400</v>
      </c>
      <c r="P731">
        <v>0.88</v>
      </c>
      <c r="Q731">
        <v>948</v>
      </c>
      <c r="R731">
        <v>1830</v>
      </c>
      <c r="S731" t="s">
        <v>3</v>
      </c>
      <c r="T731">
        <v>101760.03</v>
      </c>
      <c r="U731" t="s">
        <v>2085</v>
      </c>
      <c r="V731" t="s">
        <v>2086</v>
      </c>
      <c r="W731">
        <v>0.54</v>
      </c>
    </row>
    <row r="732" spans="1:23">
      <c r="A732" t="str">
        <f>"002267"</f>
        <v>002267</v>
      </c>
      <c r="B732" t="s">
        <v>2087</v>
      </c>
      <c r="C732">
        <v>10.6</v>
      </c>
      <c r="D732">
        <v>10.61</v>
      </c>
      <c r="E732">
        <v>10.44</v>
      </c>
      <c r="F732">
        <v>10.47</v>
      </c>
      <c r="G732">
        <v>69018</v>
      </c>
      <c r="H732">
        <v>72403480</v>
      </c>
      <c r="I732">
        <v>1.06</v>
      </c>
      <c r="J732" t="s">
        <v>581</v>
      </c>
      <c r="K732" t="s">
        <v>389</v>
      </c>
      <c r="L732">
        <v>-1.04</v>
      </c>
      <c r="M732">
        <v>10.49</v>
      </c>
      <c r="N732">
        <v>47190</v>
      </c>
      <c r="O732">
        <v>21827</v>
      </c>
      <c r="P732">
        <v>2.16</v>
      </c>
      <c r="Q732">
        <v>998</v>
      </c>
      <c r="R732">
        <v>862</v>
      </c>
      <c r="S732" t="s">
        <v>3</v>
      </c>
      <c r="T732">
        <v>99710.15</v>
      </c>
      <c r="U732" t="s">
        <v>2088</v>
      </c>
      <c r="V732" t="s">
        <v>2089</v>
      </c>
      <c r="W732">
        <v>-0.88</v>
      </c>
    </row>
    <row r="733" spans="1:23">
      <c r="A733" t="str">
        <f>"002268"</f>
        <v>002268</v>
      </c>
      <c r="B733" t="s">
        <v>2090</v>
      </c>
      <c r="C733">
        <v>44.22</v>
      </c>
      <c r="D733">
        <v>45.26</v>
      </c>
      <c r="E733">
        <v>44</v>
      </c>
      <c r="F733">
        <v>44.9</v>
      </c>
      <c r="G733">
        <v>27725</v>
      </c>
      <c r="H733">
        <v>124533944</v>
      </c>
      <c r="I733">
        <v>0.8</v>
      </c>
      <c r="J733" t="s">
        <v>758</v>
      </c>
      <c r="K733" t="s">
        <v>225</v>
      </c>
      <c r="L733">
        <v>2.0499999999999998</v>
      </c>
      <c r="M733">
        <v>44.92</v>
      </c>
      <c r="N733">
        <v>9915</v>
      </c>
      <c r="O733">
        <v>17809</v>
      </c>
      <c r="P733">
        <v>0.56000000000000005</v>
      </c>
      <c r="Q733">
        <v>49</v>
      </c>
      <c r="R733">
        <v>13</v>
      </c>
      <c r="S733" t="s">
        <v>3</v>
      </c>
      <c r="T733">
        <v>16765.38</v>
      </c>
      <c r="U733" t="s">
        <v>2091</v>
      </c>
      <c r="V733" t="s">
        <v>2092</v>
      </c>
      <c r="W733">
        <v>2.2000000000000002</v>
      </c>
    </row>
    <row r="734" spans="1:23">
      <c r="A734" t="str">
        <f>"002269"</f>
        <v>002269</v>
      </c>
      <c r="B734" t="s">
        <v>2093</v>
      </c>
      <c r="C734">
        <v>9.5399999999999991</v>
      </c>
      <c r="D734">
        <v>9.85</v>
      </c>
      <c r="E734">
        <v>9.4700000000000006</v>
      </c>
      <c r="F734">
        <v>9.8000000000000007</v>
      </c>
      <c r="G734">
        <v>175897</v>
      </c>
      <c r="H734">
        <v>169855840</v>
      </c>
      <c r="I734">
        <v>1.45</v>
      </c>
      <c r="J734" t="s">
        <v>1373</v>
      </c>
      <c r="K734" t="s">
        <v>727</v>
      </c>
      <c r="L734">
        <v>2.94</v>
      </c>
      <c r="M734">
        <v>9.66</v>
      </c>
      <c r="N734">
        <v>77647</v>
      </c>
      <c r="O734">
        <v>98249</v>
      </c>
      <c r="P734">
        <v>0.79</v>
      </c>
      <c r="Q734">
        <v>245</v>
      </c>
      <c r="R734">
        <v>141</v>
      </c>
      <c r="S734" t="s">
        <v>3</v>
      </c>
      <c r="T734">
        <v>100500</v>
      </c>
      <c r="U734" t="s">
        <v>2094</v>
      </c>
      <c r="V734" t="s">
        <v>2095</v>
      </c>
      <c r="W734">
        <v>3.1</v>
      </c>
    </row>
    <row r="735" spans="1:23">
      <c r="A735" t="str">
        <f>"002270"</f>
        <v>002270</v>
      </c>
      <c r="B735" t="s">
        <v>2096</v>
      </c>
      <c r="C735">
        <v>9.7200000000000006</v>
      </c>
      <c r="D735">
        <v>9.84</v>
      </c>
      <c r="E735">
        <v>9.58</v>
      </c>
      <c r="F735">
        <v>9.7799999999999994</v>
      </c>
      <c r="G735">
        <v>55391</v>
      </c>
      <c r="H735">
        <v>53858596</v>
      </c>
      <c r="I735">
        <v>1.1499999999999999</v>
      </c>
      <c r="J735" t="s">
        <v>283</v>
      </c>
      <c r="K735" t="s">
        <v>250</v>
      </c>
      <c r="L735">
        <v>0.62</v>
      </c>
      <c r="M735">
        <v>9.7200000000000006</v>
      </c>
      <c r="N735">
        <v>30136</v>
      </c>
      <c r="O735">
        <v>25255</v>
      </c>
      <c r="P735">
        <v>1.19</v>
      </c>
      <c r="Q735">
        <v>372</v>
      </c>
      <c r="R735">
        <v>521</v>
      </c>
      <c r="S735" t="s">
        <v>3</v>
      </c>
      <c r="T735">
        <v>13143.7</v>
      </c>
      <c r="U735" t="s">
        <v>2097</v>
      </c>
      <c r="V735" t="s">
        <v>2098</v>
      </c>
      <c r="W735">
        <v>0.78</v>
      </c>
    </row>
    <row r="736" spans="1:23">
      <c r="A736" t="str">
        <f>"002271"</f>
        <v>002271</v>
      </c>
      <c r="B736" t="s">
        <v>2099</v>
      </c>
      <c r="C736">
        <v>26.55</v>
      </c>
      <c r="D736">
        <v>26.83</v>
      </c>
      <c r="E736">
        <v>26.2</v>
      </c>
      <c r="F736">
        <v>26.75</v>
      </c>
      <c r="G736">
        <v>28016</v>
      </c>
      <c r="H736">
        <v>74116080</v>
      </c>
      <c r="I736">
        <v>0.82</v>
      </c>
      <c r="J736" t="s">
        <v>150</v>
      </c>
      <c r="K736" t="s">
        <v>34</v>
      </c>
      <c r="L736">
        <v>0</v>
      </c>
      <c r="M736">
        <v>26.45</v>
      </c>
      <c r="N736">
        <v>13036</v>
      </c>
      <c r="O736">
        <v>14980</v>
      </c>
      <c r="P736">
        <v>0.87</v>
      </c>
      <c r="Q736">
        <v>16</v>
      </c>
      <c r="R736">
        <v>73</v>
      </c>
      <c r="S736" t="s">
        <v>3</v>
      </c>
      <c r="T736">
        <v>21572.23</v>
      </c>
      <c r="U736" t="s">
        <v>1787</v>
      </c>
      <c r="V736" t="s">
        <v>2100</v>
      </c>
      <c r="W736">
        <v>0.16</v>
      </c>
    </row>
    <row r="737" spans="1:23">
      <c r="A737" t="str">
        <f>"002272"</f>
        <v>002272</v>
      </c>
      <c r="B737" t="s">
        <v>2101</v>
      </c>
      <c r="C737">
        <v>6.16</v>
      </c>
      <c r="D737">
        <v>6.2</v>
      </c>
      <c r="E737">
        <v>6.1</v>
      </c>
      <c r="F737">
        <v>6.1</v>
      </c>
      <c r="G737">
        <v>91356</v>
      </c>
      <c r="H737">
        <v>55995408</v>
      </c>
      <c r="I737">
        <v>1.03</v>
      </c>
      <c r="J737" t="s">
        <v>398</v>
      </c>
      <c r="K737" t="s">
        <v>225</v>
      </c>
      <c r="L737">
        <v>-0.65</v>
      </c>
      <c r="M737">
        <v>6.13</v>
      </c>
      <c r="N737">
        <v>58351</v>
      </c>
      <c r="O737">
        <v>33005</v>
      </c>
      <c r="P737">
        <v>1.77</v>
      </c>
      <c r="Q737">
        <v>1149</v>
      </c>
      <c r="R737">
        <v>236</v>
      </c>
      <c r="S737" t="s">
        <v>3</v>
      </c>
      <c r="T737">
        <v>30572.97</v>
      </c>
      <c r="U737" t="s">
        <v>2102</v>
      </c>
      <c r="V737" t="s">
        <v>2103</v>
      </c>
      <c r="W737">
        <v>-0.49</v>
      </c>
    </row>
    <row r="738" spans="1:23">
      <c r="A738" t="str">
        <f>"002273"</f>
        <v>002273</v>
      </c>
      <c r="B738" t="s">
        <v>2104</v>
      </c>
      <c r="C738">
        <v>22.58</v>
      </c>
      <c r="D738">
        <v>22.63</v>
      </c>
      <c r="E738">
        <v>22.02</v>
      </c>
      <c r="F738">
        <v>22.2</v>
      </c>
      <c r="G738">
        <v>109723</v>
      </c>
      <c r="H738">
        <v>243808288</v>
      </c>
      <c r="I738">
        <v>0.52</v>
      </c>
      <c r="J738" t="s">
        <v>62</v>
      </c>
      <c r="K738" t="s">
        <v>229</v>
      </c>
      <c r="L738">
        <v>-1.2</v>
      </c>
      <c r="M738">
        <v>22.22</v>
      </c>
      <c r="N738">
        <v>65432</v>
      </c>
      <c r="O738">
        <v>44291</v>
      </c>
      <c r="P738">
        <v>1.48</v>
      </c>
      <c r="Q738">
        <v>962</v>
      </c>
      <c r="R738">
        <v>113</v>
      </c>
      <c r="S738" t="s">
        <v>3</v>
      </c>
      <c r="T738">
        <v>34044.39</v>
      </c>
      <c r="U738" t="s">
        <v>2105</v>
      </c>
      <c r="V738" t="s">
        <v>2106</v>
      </c>
      <c r="W738">
        <v>-1.04</v>
      </c>
    </row>
    <row r="739" spans="1:23">
      <c r="A739" t="str">
        <f>"002274"</f>
        <v>002274</v>
      </c>
      <c r="B739" t="s">
        <v>2107</v>
      </c>
      <c r="C739">
        <v>7.7</v>
      </c>
      <c r="D739">
        <v>7.74</v>
      </c>
      <c r="E739">
        <v>7.55</v>
      </c>
      <c r="F739">
        <v>7.62</v>
      </c>
      <c r="G739">
        <v>191882</v>
      </c>
      <c r="H739">
        <v>145981920</v>
      </c>
      <c r="I739">
        <v>0.94</v>
      </c>
      <c r="J739" t="s">
        <v>224</v>
      </c>
      <c r="K739" t="s">
        <v>244</v>
      </c>
      <c r="L739">
        <v>-1.42</v>
      </c>
      <c r="M739">
        <v>7.61</v>
      </c>
      <c r="N739">
        <v>111733</v>
      </c>
      <c r="O739">
        <v>80149</v>
      </c>
      <c r="P739">
        <v>1.39</v>
      </c>
      <c r="Q739">
        <v>384</v>
      </c>
      <c r="R739">
        <v>623</v>
      </c>
      <c r="S739" t="s">
        <v>3</v>
      </c>
      <c r="T739">
        <v>49063.26</v>
      </c>
      <c r="U739" t="s">
        <v>2108</v>
      </c>
      <c r="V739" t="s">
        <v>1184</v>
      </c>
      <c r="W739">
        <v>-1.26</v>
      </c>
    </row>
    <row r="740" spans="1:23">
      <c r="A740" t="str">
        <f>"002275"</f>
        <v>002275</v>
      </c>
      <c r="B740" t="s">
        <v>2109</v>
      </c>
      <c r="C740">
        <v>18.39</v>
      </c>
      <c r="D740">
        <v>18.48</v>
      </c>
      <c r="E740">
        <v>18.059999999999999</v>
      </c>
      <c r="F740">
        <v>18.14</v>
      </c>
      <c r="G740">
        <v>29370</v>
      </c>
      <c r="H740">
        <v>53554456</v>
      </c>
      <c r="I740">
        <v>0.77</v>
      </c>
      <c r="J740" t="s">
        <v>321</v>
      </c>
      <c r="K740" t="s">
        <v>417</v>
      </c>
      <c r="L740">
        <v>-1.31</v>
      </c>
      <c r="M740">
        <v>18.23</v>
      </c>
      <c r="N740">
        <v>17417</v>
      </c>
      <c r="O740">
        <v>11953</v>
      </c>
      <c r="P740">
        <v>1.46</v>
      </c>
      <c r="Q740">
        <v>51</v>
      </c>
      <c r="R740">
        <v>70</v>
      </c>
      <c r="S740" t="s">
        <v>3</v>
      </c>
      <c r="T740">
        <v>52434.82</v>
      </c>
      <c r="U740" t="s">
        <v>2110</v>
      </c>
      <c r="V740" t="s">
        <v>843</v>
      </c>
      <c r="W740">
        <v>-1.1499999999999999</v>
      </c>
    </row>
    <row r="741" spans="1:23">
      <c r="A741" t="str">
        <f>"002276"</f>
        <v>002276</v>
      </c>
      <c r="B741" t="s">
        <v>2111</v>
      </c>
      <c r="C741">
        <v>8.4</v>
      </c>
      <c r="D741">
        <v>8.59</v>
      </c>
      <c r="E741">
        <v>8.32</v>
      </c>
      <c r="F741">
        <v>8.58</v>
      </c>
      <c r="G741">
        <v>151934</v>
      </c>
      <c r="H741">
        <v>128634160</v>
      </c>
      <c r="I741">
        <v>1.24</v>
      </c>
      <c r="J741" t="s">
        <v>145</v>
      </c>
      <c r="K741" t="s">
        <v>229</v>
      </c>
      <c r="L741">
        <v>2.14</v>
      </c>
      <c r="M741">
        <v>8.4700000000000006</v>
      </c>
      <c r="N741">
        <v>69121</v>
      </c>
      <c r="O741">
        <v>82812</v>
      </c>
      <c r="P741">
        <v>0.83</v>
      </c>
      <c r="Q741">
        <v>1153</v>
      </c>
      <c r="R741">
        <v>1999</v>
      </c>
      <c r="S741" t="s">
        <v>3</v>
      </c>
      <c r="T741">
        <v>80718.47</v>
      </c>
      <c r="U741" t="s">
        <v>2112</v>
      </c>
      <c r="V741" t="s">
        <v>2113</v>
      </c>
      <c r="W741">
        <v>2.2999999999999998</v>
      </c>
    </row>
    <row r="742" spans="1:23">
      <c r="A742" t="str">
        <f>"002277"</f>
        <v>002277</v>
      </c>
      <c r="B742" t="s">
        <v>2114</v>
      </c>
      <c r="C742">
        <v>16.88</v>
      </c>
      <c r="D742">
        <v>17.91</v>
      </c>
      <c r="E742">
        <v>16.66</v>
      </c>
      <c r="F742">
        <v>17.71</v>
      </c>
      <c r="G742">
        <v>1148163</v>
      </c>
      <c r="H742">
        <v>2012419584</v>
      </c>
      <c r="I742">
        <v>1.26</v>
      </c>
      <c r="J742" t="s">
        <v>297</v>
      </c>
      <c r="K742" t="s">
        <v>234</v>
      </c>
      <c r="L742">
        <v>8.7799999999999994</v>
      </c>
      <c r="M742">
        <v>17.53</v>
      </c>
      <c r="N742">
        <v>576976</v>
      </c>
      <c r="O742">
        <v>571186</v>
      </c>
      <c r="P742">
        <v>1.01</v>
      </c>
      <c r="Q742">
        <v>191</v>
      </c>
      <c r="R742">
        <v>706</v>
      </c>
      <c r="S742" t="s">
        <v>3</v>
      </c>
      <c r="T742">
        <v>56163.85</v>
      </c>
      <c r="U742" t="s">
        <v>734</v>
      </c>
      <c r="V742" t="s">
        <v>734</v>
      </c>
      <c r="W742">
        <v>8.94</v>
      </c>
    </row>
    <row r="743" spans="1:23">
      <c r="A743" t="str">
        <f>"002278"</f>
        <v>002278</v>
      </c>
      <c r="B743" t="s">
        <v>2115</v>
      </c>
      <c r="C743">
        <v>11.73</v>
      </c>
      <c r="D743">
        <v>11.93</v>
      </c>
      <c r="E743">
        <v>11.58</v>
      </c>
      <c r="F743">
        <v>11.85</v>
      </c>
      <c r="G743">
        <v>85270</v>
      </c>
      <c r="H743">
        <v>100191904</v>
      </c>
      <c r="I743">
        <v>1.02</v>
      </c>
      <c r="J743" t="s">
        <v>1082</v>
      </c>
      <c r="K743" t="s">
        <v>727</v>
      </c>
      <c r="L743">
        <v>1.02</v>
      </c>
      <c r="M743">
        <v>11.75</v>
      </c>
      <c r="N743">
        <v>38156</v>
      </c>
      <c r="O743">
        <v>47114</v>
      </c>
      <c r="P743">
        <v>0.81</v>
      </c>
      <c r="Q743">
        <v>96</v>
      </c>
      <c r="R743">
        <v>334</v>
      </c>
      <c r="S743" t="s">
        <v>3</v>
      </c>
      <c r="T743">
        <v>19879.419999999998</v>
      </c>
      <c r="U743" t="s">
        <v>1928</v>
      </c>
      <c r="V743" t="s">
        <v>2116</v>
      </c>
      <c r="W743">
        <v>1.18</v>
      </c>
    </row>
    <row r="744" spans="1:23">
      <c r="A744" t="str">
        <f>"002279"</f>
        <v>002279</v>
      </c>
      <c r="B744" t="s">
        <v>2117</v>
      </c>
      <c r="C744" t="s">
        <v>3</v>
      </c>
      <c r="D744" t="s">
        <v>3</v>
      </c>
      <c r="E744" t="s">
        <v>3</v>
      </c>
      <c r="F744">
        <v>0</v>
      </c>
      <c r="G744">
        <v>0</v>
      </c>
      <c r="H744">
        <v>0</v>
      </c>
      <c r="I744">
        <v>0</v>
      </c>
      <c r="J744" t="s">
        <v>758</v>
      </c>
      <c r="K744" t="s">
        <v>34</v>
      </c>
      <c r="L744" t="s">
        <v>3</v>
      </c>
      <c r="M744">
        <v>20.65</v>
      </c>
      <c r="N744">
        <v>0</v>
      </c>
      <c r="O744">
        <v>0</v>
      </c>
      <c r="P744" t="s">
        <v>3</v>
      </c>
      <c r="Q744">
        <v>0</v>
      </c>
      <c r="R744">
        <v>0</v>
      </c>
      <c r="S744" t="s">
        <v>3</v>
      </c>
      <c r="T744">
        <v>15107.2</v>
      </c>
      <c r="U744" t="s">
        <v>2118</v>
      </c>
      <c r="V744" t="s">
        <v>2119</v>
      </c>
      <c r="W744">
        <v>0.16</v>
      </c>
    </row>
    <row r="745" spans="1:23">
      <c r="A745" t="str">
        <f>"002280"</f>
        <v>002280</v>
      </c>
      <c r="B745" t="s">
        <v>2120</v>
      </c>
      <c r="C745">
        <v>35.880000000000003</v>
      </c>
      <c r="D745">
        <v>36.950000000000003</v>
      </c>
      <c r="E745">
        <v>35.6</v>
      </c>
      <c r="F745">
        <v>36.450000000000003</v>
      </c>
      <c r="G745">
        <v>26965</v>
      </c>
      <c r="H745">
        <v>98164392</v>
      </c>
      <c r="I745">
        <v>0.46</v>
      </c>
      <c r="J745" t="s">
        <v>758</v>
      </c>
      <c r="K745" t="s">
        <v>229</v>
      </c>
      <c r="L745">
        <v>1.25</v>
      </c>
      <c r="M745">
        <v>36.4</v>
      </c>
      <c r="N745">
        <v>13288</v>
      </c>
      <c r="O745">
        <v>13676</v>
      </c>
      <c r="P745">
        <v>0.97</v>
      </c>
      <c r="Q745">
        <v>27</v>
      </c>
      <c r="R745">
        <v>67</v>
      </c>
      <c r="S745" t="s">
        <v>3</v>
      </c>
      <c r="T745">
        <v>5785.6</v>
      </c>
      <c r="U745" t="s">
        <v>2121</v>
      </c>
      <c r="V745" t="s">
        <v>2122</v>
      </c>
      <c r="W745">
        <v>1.41</v>
      </c>
    </row>
    <row r="746" spans="1:23">
      <c r="A746" t="str">
        <f>"002281"</f>
        <v>002281</v>
      </c>
      <c r="B746" t="s">
        <v>2123</v>
      </c>
      <c r="C746">
        <v>37.979999999999997</v>
      </c>
      <c r="D746">
        <v>38.200000000000003</v>
      </c>
      <c r="E746">
        <v>37.58</v>
      </c>
      <c r="F746">
        <v>37.74</v>
      </c>
      <c r="G746">
        <v>16872</v>
      </c>
      <c r="H746">
        <v>63910780</v>
      </c>
      <c r="I746">
        <v>0.63</v>
      </c>
      <c r="J746" t="s">
        <v>112</v>
      </c>
      <c r="K746" t="s">
        <v>317</v>
      </c>
      <c r="L746">
        <v>-0.45</v>
      </c>
      <c r="M746">
        <v>37.880000000000003</v>
      </c>
      <c r="N746">
        <v>9389</v>
      </c>
      <c r="O746">
        <v>7482</v>
      </c>
      <c r="P746">
        <v>1.25</v>
      </c>
      <c r="Q746">
        <v>29</v>
      </c>
      <c r="R746">
        <v>56</v>
      </c>
      <c r="S746" t="s">
        <v>3</v>
      </c>
      <c r="T746">
        <v>16000</v>
      </c>
      <c r="U746" t="s">
        <v>2124</v>
      </c>
      <c r="V746" t="s">
        <v>2125</v>
      </c>
      <c r="W746">
        <v>-0.28999999999999998</v>
      </c>
    </row>
    <row r="747" spans="1:23">
      <c r="A747" t="str">
        <f>"002282"</f>
        <v>002282</v>
      </c>
      <c r="B747" t="s">
        <v>2126</v>
      </c>
      <c r="C747">
        <v>10.99</v>
      </c>
      <c r="D747">
        <v>11.36</v>
      </c>
      <c r="E747">
        <v>10.96</v>
      </c>
      <c r="F747">
        <v>11.03</v>
      </c>
      <c r="G747">
        <v>51455</v>
      </c>
      <c r="H747">
        <v>57234836</v>
      </c>
      <c r="I747">
        <v>1.37</v>
      </c>
      <c r="J747" t="s">
        <v>124</v>
      </c>
      <c r="K747" t="s">
        <v>238</v>
      </c>
      <c r="L747">
        <v>0.64</v>
      </c>
      <c r="M747">
        <v>11.12</v>
      </c>
      <c r="N747">
        <v>24883</v>
      </c>
      <c r="O747">
        <v>26572</v>
      </c>
      <c r="P747">
        <v>0.94</v>
      </c>
      <c r="Q747">
        <v>52</v>
      </c>
      <c r="R747">
        <v>25</v>
      </c>
      <c r="S747" t="s">
        <v>3</v>
      </c>
      <c r="T747">
        <v>11982.66</v>
      </c>
      <c r="U747" t="s">
        <v>2127</v>
      </c>
      <c r="V747" t="s">
        <v>2128</v>
      </c>
      <c r="W747">
        <v>0.8</v>
      </c>
    </row>
    <row r="748" spans="1:23">
      <c r="A748" t="str">
        <f>"002283"</f>
        <v>002283</v>
      </c>
      <c r="B748" t="s">
        <v>2129</v>
      </c>
      <c r="C748">
        <v>7.91</v>
      </c>
      <c r="D748">
        <v>8.1300000000000008</v>
      </c>
      <c r="E748">
        <v>7.84</v>
      </c>
      <c r="F748">
        <v>8.1300000000000008</v>
      </c>
      <c r="G748">
        <v>171440</v>
      </c>
      <c r="H748">
        <v>137257680</v>
      </c>
      <c r="I748">
        <v>2.0099999999999998</v>
      </c>
      <c r="J748" t="s">
        <v>98</v>
      </c>
      <c r="K748" t="s">
        <v>250</v>
      </c>
      <c r="L748">
        <v>2.91</v>
      </c>
      <c r="M748">
        <v>8.01</v>
      </c>
      <c r="N748">
        <v>71401</v>
      </c>
      <c r="O748">
        <v>100038</v>
      </c>
      <c r="P748">
        <v>0.71</v>
      </c>
      <c r="Q748">
        <v>5003</v>
      </c>
      <c r="R748">
        <v>1674</v>
      </c>
      <c r="S748" t="s">
        <v>3</v>
      </c>
      <c r="T748">
        <v>55941.17</v>
      </c>
      <c r="U748" t="s">
        <v>2130</v>
      </c>
      <c r="V748" t="s">
        <v>2130</v>
      </c>
      <c r="W748">
        <v>3.07</v>
      </c>
    </row>
    <row r="749" spans="1:23">
      <c r="A749" t="str">
        <f>"002284"</f>
        <v>002284</v>
      </c>
      <c r="B749" t="s">
        <v>2131</v>
      </c>
      <c r="C749">
        <v>16.63</v>
      </c>
      <c r="D749">
        <v>16.95</v>
      </c>
      <c r="E749">
        <v>16.43</v>
      </c>
      <c r="F749">
        <v>16.52</v>
      </c>
      <c r="G749">
        <v>85325</v>
      </c>
      <c r="H749">
        <v>142762048</v>
      </c>
      <c r="I749">
        <v>1.57</v>
      </c>
      <c r="J749" t="s">
        <v>98</v>
      </c>
      <c r="K749" t="s">
        <v>229</v>
      </c>
      <c r="L749">
        <v>0.79</v>
      </c>
      <c r="M749">
        <v>16.73</v>
      </c>
      <c r="N749">
        <v>49863</v>
      </c>
      <c r="O749">
        <v>35462</v>
      </c>
      <c r="P749">
        <v>1.41</v>
      </c>
      <c r="Q749">
        <v>97</v>
      </c>
      <c r="R749">
        <v>65</v>
      </c>
      <c r="S749" t="s">
        <v>3</v>
      </c>
      <c r="T749">
        <v>26067.17</v>
      </c>
      <c r="U749" t="s">
        <v>2132</v>
      </c>
      <c r="V749" t="s">
        <v>2133</v>
      </c>
      <c r="W749">
        <v>0.95</v>
      </c>
    </row>
    <row r="750" spans="1:23">
      <c r="A750" t="str">
        <f>"002285"</f>
        <v>002285</v>
      </c>
      <c r="B750" t="s">
        <v>2134</v>
      </c>
      <c r="C750">
        <v>11.9</v>
      </c>
      <c r="D750">
        <v>12.44</v>
      </c>
      <c r="E750">
        <v>11.85</v>
      </c>
      <c r="F750">
        <v>12.13</v>
      </c>
      <c r="G750">
        <v>150297</v>
      </c>
      <c r="H750">
        <v>183172912</v>
      </c>
      <c r="I750">
        <v>0.83</v>
      </c>
      <c r="J750" t="s">
        <v>154</v>
      </c>
      <c r="K750" t="s">
        <v>2</v>
      </c>
      <c r="L750">
        <v>2.02</v>
      </c>
      <c r="M750">
        <v>12.19</v>
      </c>
      <c r="N750">
        <v>76520</v>
      </c>
      <c r="O750">
        <v>73776</v>
      </c>
      <c r="P750">
        <v>1.04</v>
      </c>
      <c r="Q750">
        <v>477</v>
      </c>
      <c r="R750">
        <v>17</v>
      </c>
      <c r="S750" t="s">
        <v>3</v>
      </c>
      <c r="T750">
        <v>76352.17</v>
      </c>
      <c r="U750" t="s">
        <v>2135</v>
      </c>
      <c r="V750" t="s">
        <v>2136</v>
      </c>
      <c r="W750">
        <v>2.1800000000000002</v>
      </c>
    </row>
    <row r="751" spans="1:23">
      <c r="A751" t="str">
        <f>"002286"</f>
        <v>002286</v>
      </c>
      <c r="B751" t="s">
        <v>2137</v>
      </c>
      <c r="C751">
        <v>9.24</v>
      </c>
      <c r="D751">
        <v>9.27</v>
      </c>
      <c r="E751">
        <v>9.1</v>
      </c>
      <c r="F751">
        <v>9.19</v>
      </c>
      <c r="G751">
        <v>92189</v>
      </c>
      <c r="H751">
        <v>84729672</v>
      </c>
      <c r="I751">
        <v>1.1599999999999999</v>
      </c>
      <c r="J751" t="s">
        <v>421</v>
      </c>
      <c r="K751" t="s">
        <v>250</v>
      </c>
      <c r="L751">
        <v>-0.54</v>
      </c>
      <c r="M751">
        <v>9.19</v>
      </c>
      <c r="N751">
        <v>51242</v>
      </c>
      <c r="O751">
        <v>40946</v>
      </c>
      <c r="P751">
        <v>1.25</v>
      </c>
      <c r="Q751">
        <v>814</v>
      </c>
      <c r="R751">
        <v>489</v>
      </c>
      <c r="S751" t="s">
        <v>3</v>
      </c>
      <c r="T751">
        <v>24269.07</v>
      </c>
      <c r="U751" t="s">
        <v>155</v>
      </c>
      <c r="V751" t="s">
        <v>1475</v>
      </c>
      <c r="W751">
        <v>-0.38</v>
      </c>
    </row>
    <row r="752" spans="1:23">
      <c r="A752" t="str">
        <f>"002287"</f>
        <v>002287</v>
      </c>
      <c r="B752" t="s">
        <v>2138</v>
      </c>
      <c r="C752">
        <v>22.53</v>
      </c>
      <c r="D752">
        <v>22.88</v>
      </c>
      <c r="E752">
        <v>22.39</v>
      </c>
      <c r="F752">
        <v>22.77</v>
      </c>
      <c r="G752">
        <v>14841</v>
      </c>
      <c r="H752">
        <v>33561900</v>
      </c>
      <c r="I752">
        <v>1.34</v>
      </c>
      <c r="J752" t="s">
        <v>321</v>
      </c>
      <c r="K752" t="s">
        <v>905</v>
      </c>
      <c r="L752">
        <v>1.02</v>
      </c>
      <c r="M752">
        <v>22.61</v>
      </c>
      <c r="N752">
        <v>7355</v>
      </c>
      <c r="O752">
        <v>7485</v>
      </c>
      <c r="P752">
        <v>0.98</v>
      </c>
      <c r="Q752">
        <v>6</v>
      </c>
      <c r="R752">
        <v>40</v>
      </c>
      <c r="S752" t="s">
        <v>3</v>
      </c>
      <c r="T752">
        <v>40600</v>
      </c>
      <c r="U752" t="s">
        <v>2139</v>
      </c>
      <c r="V752" t="s">
        <v>2139</v>
      </c>
      <c r="W752">
        <v>1.18</v>
      </c>
    </row>
    <row r="753" spans="1:23">
      <c r="A753" t="str">
        <f>"002288"</f>
        <v>002288</v>
      </c>
      <c r="B753" t="s">
        <v>2140</v>
      </c>
      <c r="C753">
        <v>10.6</v>
      </c>
      <c r="D753">
        <v>10.71</v>
      </c>
      <c r="E753">
        <v>10.47</v>
      </c>
      <c r="F753">
        <v>10.6</v>
      </c>
      <c r="G753">
        <v>121044</v>
      </c>
      <c r="H753">
        <v>127861144</v>
      </c>
      <c r="I753">
        <v>1.04</v>
      </c>
      <c r="J753" t="s">
        <v>62</v>
      </c>
      <c r="K753" t="s">
        <v>211</v>
      </c>
      <c r="L753">
        <v>-0.09</v>
      </c>
      <c r="M753">
        <v>10.56</v>
      </c>
      <c r="N753">
        <v>64617</v>
      </c>
      <c r="O753">
        <v>56426</v>
      </c>
      <c r="P753">
        <v>1.1499999999999999</v>
      </c>
      <c r="Q753">
        <v>158</v>
      </c>
      <c r="R753">
        <v>1939</v>
      </c>
      <c r="S753" t="s">
        <v>3</v>
      </c>
      <c r="T753">
        <v>29468.78</v>
      </c>
      <c r="U753" t="s">
        <v>2141</v>
      </c>
      <c r="V753" t="s">
        <v>2142</v>
      </c>
      <c r="W753">
        <v>0.06</v>
      </c>
    </row>
    <row r="754" spans="1:23">
      <c r="A754" t="str">
        <f>"002289"</f>
        <v>002289</v>
      </c>
      <c r="B754" t="s">
        <v>2143</v>
      </c>
      <c r="C754">
        <v>20.59</v>
      </c>
      <c r="D754">
        <v>20.95</v>
      </c>
      <c r="E754">
        <v>20.52</v>
      </c>
      <c r="F754">
        <v>20.69</v>
      </c>
      <c r="G754">
        <v>36499</v>
      </c>
      <c r="H754">
        <v>75718016</v>
      </c>
      <c r="I754">
        <v>0.62</v>
      </c>
      <c r="J754" t="s">
        <v>62</v>
      </c>
      <c r="K754" t="s">
        <v>2</v>
      </c>
      <c r="L754">
        <v>-0.28999999999999998</v>
      </c>
      <c r="M754">
        <v>20.75</v>
      </c>
      <c r="N754">
        <v>22082</v>
      </c>
      <c r="O754">
        <v>14416</v>
      </c>
      <c r="P754">
        <v>1.53</v>
      </c>
      <c r="Q754">
        <v>95</v>
      </c>
      <c r="R754">
        <v>159</v>
      </c>
      <c r="S754" t="s">
        <v>3</v>
      </c>
      <c r="T754">
        <v>9588.8700000000008</v>
      </c>
      <c r="U754" t="s">
        <v>1669</v>
      </c>
      <c r="V754" t="s">
        <v>2144</v>
      </c>
      <c r="W754">
        <v>-0.13</v>
      </c>
    </row>
    <row r="755" spans="1:23">
      <c r="A755" t="str">
        <f>"002290"</f>
        <v>002290</v>
      </c>
      <c r="B755" t="s">
        <v>2145</v>
      </c>
      <c r="C755">
        <v>15</v>
      </c>
      <c r="D755">
        <v>15.14</v>
      </c>
      <c r="E755">
        <v>14.61</v>
      </c>
      <c r="F755">
        <v>14.85</v>
      </c>
      <c r="G755">
        <v>77051</v>
      </c>
      <c r="H755">
        <v>114277648</v>
      </c>
      <c r="I755">
        <v>1.73</v>
      </c>
      <c r="J755" t="s">
        <v>47</v>
      </c>
      <c r="K755" t="s">
        <v>244</v>
      </c>
      <c r="L755">
        <v>-1.92</v>
      </c>
      <c r="M755">
        <v>14.83</v>
      </c>
      <c r="N755">
        <v>42813</v>
      </c>
      <c r="O755">
        <v>34238</v>
      </c>
      <c r="P755">
        <v>1.25</v>
      </c>
      <c r="Q755">
        <v>654</v>
      </c>
      <c r="R755">
        <v>234</v>
      </c>
      <c r="S755" t="s">
        <v>3</v>
      </c>
      <c r="T755">
        <v>13391.49</v>
      </c>
      <c r="U755" t="s">
        <v>2146</v>
      </c>
      <c r="V755" t="s">
        <v>2147</v>
      </c>
      <c r="W755">
        <v>-1.76</v>
      </c>
    </row>
    <row r="756" spans="1:23">
      <c r="A756" t="str">
        <f>"002291"</f>
        <v>002291</v>
      </c>
      <c r="B756" t="s">
        <v>2148</v>
      </c>
      <c r="C756" t="s">
        <v>3</v>
      </c>
      <c r="D756" t="s">
        <v>3</v>
      </c>
      <c r="E756" t="s">
        <v>3</v>
      </c>
      <c r="F756">
        <v>0</v>
      </c>
      <c r="G756">
        <v>0</v>
      </c>
      <c r="H756">
        <v>0</v>
      </c>
      <c r="I756">
        <v>0</v>
      </c>
      <c r="J756" t="s">
        <v>1373</v>
      </c>
      <c r="K756" t="s">
        <v>211</v>
      </c>
      <c r="L756" t="s">
        <v>3</v>
      </c>
      <c r="M756">
        <v>7.49</v>
      </c>
      <c r="N756">
        <v>0</v>
      </c>
      <c r="O756">
        <v>0</v>
      </c>
      <c r="P756" t="s">
        <v>3</v>
      </c>
      <c r="Q756">
        <v>0</v>
      </c>
      <c r="R756">
        <v>0</v>
      </c>
      <c r="S756" t="s">
        <v>3</v>
      </c>
      <c r="T756">
        <v>36335</v>
      </c>
      <c r="U756" t="s">
        <v>2149</v>
      </c>
      <c r="V756" t="s">
        <v>2149</v>
      </c>
      <c r="W756">
        <v>0.16</v>
      </c>
    </row>
    <row r="757" spans="1:23">
      <c r="A757" t="str">
        <f>"002292"</f>
        <v>002292</v>
      </c>
      <c r="B757" t="s">
        <v>2150</v>
      </c>
      <c r="C757">
        <v>35.86</v>
      </c>
      <c r="D757">
        <v>35.99</v>
      </c>
      <c r="E757">
        <v>35.299999999999997</v>
      </c>
      <c r="F757">
        <v>35.71</v>
      </c>
      <c r="G757">
        <v>32153</v>
      </c>
      <c r="H757">
        <v>114594432</v>
      </c>
      <c r="I757">
        <v>0.56000000000000005</v>
      </c>
      <c r="J757" t="s">
        <v>228</v>
      </c>
      <c r="K757" t="s">
        <v>211</v>
      </c>
      <c r="L757">
        <v>-0.7</v>
      </c>
      <c r="M757">
        <v>35.64</v>
      </c>
      <c r="N757">
        <v>16582</v>
      </c>
      <c r="O757">
        <v>15571</v>
      </c>
      <c r="P757">
        <v>1.06</v>
      </c>
      <c r="Q757">
        <v>425</v>
      </c>
      <c r="R757">
        <v>191</v>
      </c>
      <c r="S757" t="s">
        <v>3</v>
      </c>
      <c r="T757">
        <v>32064</v>
      </c>
      <c r="U757" t="s">
        <v>2151</v>
      </c>
      <c r="V757" t="s">
        <v>2152</v>
      </c>
      <c r="W757">
        <v>-0.54</v>
      </c>
    </row>
    <row r="758" spans="1:23">
      <c r="A758" t="str">
        <f>"002293"</f>
        <v>002293</v>
      </c>
      <c r="B758" t="s">
        <v>2153</v>
      </c>
      <c r="C758">
        <v>21.85</v>
      </c>
      <c r="D758">
        <v>21.9</v>
      </c>
      <c r="E758">
        <v>21.51</v>
      </c>
      <c r="F758">
        <v>21.67</v>
      </c>
      <c r="G758">
        <v>23292</v>
      </c>
      <c r="H758">
        <v>50491416</v>
      </c>
      <c r="I758">
        <v>1.2</v>
      </c>
      <c r="J758" t="s">
        <v>1373</v>
      </c>
      <c r="K758" t="s">
        <v>244</v>
      </c>
      <c r="L758">
        <v>-0.82</v>
      </c>
      <c r="M758">
        <v>21.68</v>
      </c>
      <c r="N758">
        <v>12505</v>
      </c>
      <c r="O758">
        <v>10787</v>
      </c>
      <c r="P758">
        <v>1.1599999999999999</v>
      </c>
      <c r="Q758">
        <v>37</v>
      </c>
      <c r="R758">
        <v>5</v>
      </c>
      <c r="S758" t="s">
        <v>3</v>
      </c>
      <c r="T758">
        <v>28072.61</v>
      </c>
      <c r="U758" t="s">
        <v>2154</v>
      </c>
      <c r="V758" t="s">
        <v>2154</v>
      </c>
      <c r="W758">
        <v>-0.67</v>
      </c>
    </row>
    <row r="759" spans="1:23">
      <c r="A759" t="str">
        <f>"002294"</f>
        <v>002294</v>
      </c>
      <c r="B759" t="s">
        <v>2155</v>
      </c>
      <c r="C759">
        <v>31.6</v>
      </c>
      <c r="D759">
        <v>31.73</v>
      </c>
      <c r="E759">
        <v>31.3</v>
      </c>
      <c r="F759">
        <v>31.36</v>
      </c>
      <c r="G759">
        <v>39654</v>
      </c>
      <c r="H759">
        <v>124702056</v>
      </c>
      <c r="I759">
        <v>1.03</v>
      </c>
      <c r="J759" t="s">
        <v>219</v>
      </c>
      <c r="K759" t="s">
        <v>2</v>
      </c>
      <c r="L759">
        <v>-0.88</v>
      </c>
      <c r="M759">
        <v>31.45</v>
      </c>
      <c r="N759">
        <v>22575</v>
      </c>
      <c r="O759">
        <v>17079</v>
      </c>
      <c r="P759">
        <v>1.32</v>
      </c>
      <c r="Q759">
        <v>206</v>
      </c>
      <c r="R759">
        <v>151</v>
      </c>
      <c r="S759" t="s">
        <v>3</v>
      </c>
      <c r="T759">
        <v>28698.46</v>
      </c>
      <c r="U759" t="s">
        <v>2156</v>
      </c>
      <c r="V759" t="s">
        <v>2157</v>
      </c>
      <c r="W759">
        <v>-0.73</v>
      </c>
    </row>
    <row r="760" spans="1:23">
      <c r="A760" t="str">
        <f>"002295"</f>
        <v>002295</v>
      </c>
      <c r="B760" t="s">
        <v>2158</v>
      </c>
      <c r="C760">
        <v>9.44</v>
      </c>
      <c r="D760">
        <v>9.4499999999999993</v>
      </c>
      <c r="E760">
        <v>9.33</v>
      </c>
      <c r="F760">
        <v>9.41</v>
      </c>
      <c r="G760">
        <v>37578</v>
      </c>
      <c r="H760">
        <v>35273776</v>
      </c>
      <c r="I760">
        <v>0.83</v>
      </c>
      <c r="J760" t="s">
        <v>670</v>
      </c>
      <c r="K760" t="s">
        <v>211</v>
      </c>
      <c r="L760">
        <v>-0.42</v>
      </c>
      <c r="M760">
        <v>9.39</v>
      </c>
      <c r="N760">
        <v>21481</v>
      </c>
      <c r="O760">
        <v>16097</v>
      </c>
      <c r="P760">
        <v>1.33</v>
      </c>
      <c r="Q760">
        <v>116</v>
      </c>
      <c r="R760">
        <v>875</v>
      </c>
      <c r="S760" t="s">
        <v>3</v>
      </c>
      <c r="T760">
        <v>18136.330000000002</v>
      </c>
      <c r="U760" t="s">
        <v>2159</v>
      </c>
      <c r="V760" t="s">
        <v>914</v>
      </c>
      <c r="W760">
        <v>-0.26</v>
      </c>
    </row>
    <row r="761" spans="1:23">
      <c r="A761" t="str">
        <f>"002296"</f>
        <v>002296</v>
      </c>
      <c r="B761" t="s">
        <v>2160</v>
      </c>
      <c r="C761">
        <v>31.75</v>
      </c>
      <c r="D761">
        <v>31.92</v>
      </c>
      <c r="E761">
        <v>31.03</v>
      </c>
      <c r="F761">
        <v>31.88</v>
      </c>
      <c r="G761">
        <v>20015</v>
      </c>
      <c r="H761">
        <v>63128848</v>
      </c>
      <c r="I761">
        <v>0.56000000000000005</v>
      </c>
      <c r="J761" t="s">
        <v>112</v>
      </c>
      <c r="K761" t="s">
        <v>254</v>
      </c>
      <c r="L761">
        <v>0.25</v>
      </c>
      <c r="M761">
        <v>31.54</v>
      </c>
      <c r="N761">
        <v>10058</v>
      </c>
      <c r="O761">
        <v>9956</v>
      </c>
      <c r="P761">
        <v>1.01</v>
      </c>
      <c r="Q761">
        <v>28</v>
      </c>
      <c r="R761">
        <v>55</v>
      </c>
      <c r="S761" t="s">
        <v>3</v>
      </c>
      <c r="T761">
        <v>7709.35</v>
      </c>
      <c r="U761" t="s">
        <v>425</v>
      </c>
      <c r="V761" t="s">
        <v>2161</v>
      </c>
      <c r="W761">
        <v>0.41</v>
      </c>
    </row>
    <row r="762" spans="1:23">
      <c r="A762" t="str">
        <f>"002297"</f>
        <v>002297</v>
      </c>
      <c r="B762" t="s">
        <v>2162</v>
      </c>
      <c r="C762">
        <v>13.27</v>
      </c>
      <c r="D762">
        <v>13.5</v>
      </c>
      <c r="E762">
        <v>13.04</v>
      </c>
      <c r="F762">
        <v>13.5</v>
      </c>
      <c r="G762">
        <v>103299</v>
      </c>
      <c r="H762">
        <v>137565136</v>
      </c>
      <c r="I762">
        <v>1.18</v>
      </c>
      <c r="J762" t="s">
        <v>380</v>
      </c>
      <c r="K762" t="s">
        <v>234</v>
      </c>
      <c r="L762">
        <v>2.97</v>
      </c>
      <c r="M762">
        <v>13.32</v>
      </c>
      <c r="N762">
        <v>48116</v>
      </c>
      <c r="O762">
        <v>55182</v>
      </c>
      <c r="P762">
        <v>0.87</v>
      </c>
      <c r="Q762">
        <v>598</v>
      </c>
      <c r="R762">
        <v>388</v>
      </c>
      <c r="S762" t="s">
        <v>3</v>
      </c>
      <c r="T762">
        <v>21180.75</v>
      </c>
      <c r="U762" t="s">
        <v>2163</v>
      </c>
      <c r="V762" t="s">
        <v>2164</v>
      </c>
      <c r="W762">
        <v>3.13</v>
      </c>
    </row>
    <row r="763" spans="1:23">
      <c r="A763" t="str">
        <f>"002298"</f>
        <v>002298</v>
      </c>
      <c r="B763" t="s">
        <v>2165</v>
      </c>
      <c r="C763">
        <v>8.0299999999999994</v>
      </c>
      <c r="D763">
        <v>8.27</v>
      </c>
      <c r="E763">
        <v>8.0299999999999994</v>
      </c>
      <c r="F763">
        <v>8.15</v>
      </c>
      <c r="G763">
        <v>188995</v>
      </c>
      <c r="H763">
        <v>153985056</v>
      </c>
      <c r="I763">
        <v>1.63</v>
      </c>
      <c r="J763" t="s">
        <v>145</v>
      </c>
      <c r="K763" t="s">
        <v>220</v>
      </c>
      <c r="L763">
        <v>1.24</v>
      </c>
      <c r="M763">
        <v>8.15</v>
      </c>
      <c r="N763">
        <v>88483</v>
      </c>
      <c r="O763">
        <v>100511</v>
      </c>
      <c r="P763">
        <v>0.88</v>
      </c>
      <c r="Q763">
        <v>709</v>
      </c>
      <c r="R763">
        <v>1047</v>
      </c>
      <c r="S763" t="s">
        <v>3</v>
      </c>
      <c r="T763">
        <v>34894.67</v>
      </c>
      <c r="U763" t="s">
        <v>597</v>
      </c>
      <c r="V763" t="s">
        <v>2166</v>
      </c>
      <c r="W763">
        <v>1.4</v>
      </c>
    </row>
    <row r="764" spans="1:23">
      <c r="A764" t="str">
        <f>"002299"</f>
        <v>002299</v>
      </c>
      <c r="B764" t="s">
        <v>2167</v>
      </c>
      <c r="C764">
        <v>15.09</v>
      </c>
      <c r="D764">
        <v>15.13</v>
      </c>
      <c r="E764">
        <v>14.51</v>
      </c>
      <c r="F764">
        <v>14.8</v>
      </c>
      <c r="G764">
        <v>66852</v>
      </c>
      <c r="H764">
        <v>98459936</v>
      </c>
      <c r="I764">
        <v>0.94</v>
      </c>
      <c r="J764" t="s">
        <v>169</v>
      </c>
      <c r="K764" t="s">
        <v>414</v>
      </c>
      <c r="L764">
        <v>-1.33</v>
      </c>
      <c r="M764">
        <v>14.73</v>
      </c>
      <c r="N764">
        <v>36258</v>
      </c>
      <c r="O764">
        <v>30594</v>
      </c>
      <c r="P764">
        <v>1.19</v>
      </c>
      <c r="Q764">
        <v>584</v>
      </c>
      <c r="R764">
        <v>171</v>
      </c>
      <c r="S764" t="s">
        <v>3</v>
      </c>
      <c r="T764">
        <v>89911.54</v>
      </c>
      <c r="U764" t="s">
        <v>2168</v>
      </c>
      <c r="V764" t="s">
        <v>2169</v>
      </c>
      <c r="W764">
        <v>-1.17</v>
      </c>
    </row>
    <row r="765" spans="1:23">
      <c r="A765" t="str">
        <f>"002300"</f>
        <v>002300</v>
      </c>
      <c r="B765" t="s">
        <v>2170</v>
      </c>
      <c r="C765">
        <v>7.01</v>
      </c>
      <c r="D765">
        <v>7.03</v>
      </c>
      <c r="E765">
        <v>6.93</v>
      </c>
      <c r="F765">
        <v>6.98</v>
      </c>
      <c r="G765">
        <v>47434</v>
      </c>
      <c r="H765">
        <v>33079110</v>
      </c>
      <c r="I765">
        <v>0.87</v>
      </c>
      <c r="J765" t="s">
        <v>145</v>
      </c>
      <c r="K765" t="s">
        <v>414</v>
      </c>
      <c r="L765">
        <v>-0.43</v>
      </c>
      <c r="M765">
        <v>6.97</v>
      </c>
      <c r="N765">
        <v>25613</v>
      </c>
      <c r="O765">
        <v>21821</v>
      </c>
      <c r="P765">
        <v>1.17</v>
      </c>
      <c r="Q765">
        <v>741</v>
      </c>
      <c r="R765">
        <v>1714</v>
      </c>
      <c r="S765" t="s">
        <v>3</v>
      </c>
      <c r="T765">
        <v>45220.82</v>
      </c>
      <c r="U765" t="s">
        <v>2171</v>
      </c>
      <c r="V765" t="s">
        <v>1494</v>
      </c>
      <c r="W765">
        <v>-0.27</v>
      </c>
    </row>
    <row r="766" spans="1:23">
      <c r="A766" t="str">
        <f>"002301"</f>
        <v>002301</v>
      </c>
      <c r="B766" t="s">
        <v>2172</v>
      </c>
      <c r="C766" t="s">
        <v>3</v>
      </c>
      <c r="D766" t="s">
        <v>3</v>
      </c>
      <c r="E766" t="s">
        <v>3</v>
      </c>
      <c r="F766">
        <v>0</v>
      </c>
      <c r="G766">
        <v>0</v>
      </c>
      <c r="H766">
        <v>0</v>
      </c>
      <c r="I766">
        <v>0</v>
      </c>
      <c r="J766" t="s">
        <v>51</v>
      </c>
      <c r="K766" t="s">
        <v>2</v>
      </c>
      <c r="L766" t="s">
        <v>3</v>
      </c>
      <c r="M766">
        <v>8.1199999999999992</v>
      </c>
      <c r="N766">
        <v>0</v>
      </c>
      <c r="O766">
        <v>0</v>
      </c>
      <c r="P766" t="s">
        <v>3</v>
      </c>
      <c r="Q766">
        <v>0</v>
      </c>
      <c r="R766">
        <v>0</v>
      </c>
      <c r="S766" t="s">
        <v>3</v>
      </c>
      <c r="T766">
        <v>34120</v>
      </c>
      <c r="U766" t="s">
        <v>2173</v>
      </c>
      <c r="V766" t="s">
        <v>2174</v>
      </c>
      <c r="W766">
        <v>0.16</v>
      </c>
    </row>
    <row r="767" spans="1:23">
      <c r="A767" t="str">
        <f>"002302"</f>
        <v>002302</v>
      </c>
      <c r="B767" t="s">
        <v>2175</v>
      </c>
      <c r="C767">
        <v>11.85</v>
      </c>
      <c r="D767">
        <v>11.98</v>
      </c>
      <c r="E767">
        <v>11.74</v>
      </c>
      <c r="F767">
        <v>11.83</v>
      </c>
      <c r="G767">
        <v>46874</v>
      </c>
      <c r="H767">
        <v>55521596</v>
      </c>
      <c r="I767">
        <v>1.03</v>
      </c>
      <c r="J767" t="s">
        <v>258</v>
      </c>
      <c r="K767" t="s">
        <v>241</v>
      </c>
      <c r="L767">
        <v>0.51</v>
      </c>
      <c r="M767">
        <v>11.84</v>
      </c>
      <c r="N767">
        <v>24684</v>
      </c>
      <c r="O767">
        <v>22190</v>
      </c>
      <c r="P767">
        <v>1.1100000000000001</v>
      </c>
      <c r="Q767">
        <v>380</v>
      </c>
      <c r="R767">
        <v>10</v>
      </c>
      <c r="S767" t="s">
        <v>3</v>
      </c>
      <c r="T767">
        <v>27091.33</v>
      </c>
      <c r="U767" t="s">
        <v>2176</v>
      </c>
      <c r="V767" t="s">
        <v>2177</v>
      </c>
      <c r="W767">
        <v>0.67</v>
      </c>
    </row>
    <row r="768" spans="1:23">
      <c r="A768" t="str">
        <f>"002303"</f>
        <v>002303</v>
      </c>
      <c r="B768" t="s">
        <v>2178</v>
      </c>
      <c r="C768" t="s">
        <v>3</v>
      </c>
      <c r="D768" t="s">
        <v>3</v>
      </c>
      <c r="E768" t="s">
        <v>3</v>
      </c>
      <c r="F768">
        <v>0</v>
      </c>
      <c r="G768">
        <v>0</v>
      </c>
      <c r="H768">
        <v>0</v>
      </c>
      <c r="I768">
        <v>0</v>
      </c>
      <c r="J768" t="s">
        <v>343</v>
      </c>
      <c r="K768" t="s">
        <v>2</v>
      </c>
      <c r="L768" t="s">
        <v>3</v>
      </c>
      <c r="M768">
        <v>14.24</v>
      </c>
      <c r="N768">
        <v>0</v>
      </c>
      <c r="O768">
        <v>0</v>
      </c>
      <c r="P768" t="s">
        <v>3</v>
      </c>
      <c r="Q768">
        <v>0</v>
      </c>
      <c r="R768">
        <v>0</v>
      </c>
      <c r="S768" t="s">
        <v>3</v>
      </c>
      <c r="T768">
        <v>36014.83</v>
      </c>
      <c r="U768" t="s">
        <v>2179</v>
      </c>
      <c r="V768" t="s">
        <v>2180</v>
      </c>
      <c r="W768">
        <v>0.16</v>
      </c>
    </row>
    <row r="769" spans="1:23">
      <c r="A769" t="str">
        <f>"002304"</f>
        <v>002304</v>
      </c>
      <c r="B769" t="s">
        <v>2181</v>
      </c>
      <c r="C769">
        <v>67.61</v>
      </c>
      <c r="D769">
        <v>68.3</v>
      </c>
      <c r="E769">
        <v>66.5</v>
      </c>
      <c r="F769">
        <v>66.88</v>
      </c>
      <c r="G769">
        <v>13331</v>
      </c>
      <c r="H769">
        <v>89753600</v>
      </c>
      <c r="I769">
        <v>0.69</v>
      </c>
      <c r="J769" t="s">
        <v>531</v>
      </c>
      <c r="K769" t="s">
        <v>244</v>
      </c>
      <c r="L769">
        <v>-1.5</v>
      </c>
      <c r="M769">
        <v>67.33</v>
      </c>
      <c r="N769">
        <v>6960</v>
      </c>
      <c r="O769">
        <v>6371</v>
      </c>
      <c r="P769">
        <v>1.0900000000000001</v>
      </c>
      <c r="Q769">
        <v>76</v>
      </c>
      <c r="R769">
        <v>3</v>
      </c>
      <c r="S769" t="s">
        <v>3</v>
      </c>
      <c r="T769">
        <v>87925.92</v>
      </c>
      <c r="U769" t="s">
        <v>2182</v>
      </c>
      <c r="V769" t="s">
        <v>2183</v>
      </c>
      <c r="W769">
        <v>-1.34</v>
      </c>
    </row>
    <row r="770" spans="1:23">
      <c r="A770" t="str">
        <f>"002305"</f>
        <v>002305</v>
      </c>
      <c r="B770" t="s">
        <v>2184</v>
      </c>
      <c r="C770">
        <v>6.74</v>
      </c>
      <c r="D770">
        <v>6.75</v>
      </c>
      <c r="E770">
        <v>6.62</v>
      </c>
      <c r="F770">
        <v>6.69</v>
      </c>
      <c r="G770">
        <v>49775</v>
      </c>
      <c r="H770">
        <v>33299984</v>
      </c>
      <c r="I770">
        <v>0.68</v>
      </c>
      <c r="J770" t="s">
        <v>15</v>
      </c>
      <c r="K770" t="s">
        <v>317</v>
      </c>
      <c r="L770">
        <v>-1.33</v>
      </c>
      <c r="M770">
        <v>6.69</v>
      </c>
      <c r="N770">
        <v>27690</v>
      </c>
      <c r="O770">
        <v>22084</v>
      </c>
      <c r="P770">
        <v>1.25</v>
      </c>
      <c r="Q770">
        <v>659</v>
      </c>
      <c r="R770">
        <v>98</v>
      </c>
      <c r="S770" t="s">
        <v>3</v>
      </c>
      <c r="T770">
        <v>66064.960000000006</v>
      </c>
      <c r="U770" t="s">
        <v>2185</v>
      </c>
      <c r="V770" t="s">
        <v>2186</v>
      </c>
      <c r="W770">
        <v>-1.17</v>
      </c>
    </row>
    <row r="771" spans="1:23">
      <c r="A771" t="str">
        <f>"002306"</f>
        <v>002306</v>
      </c>
      <c r="B771" t="s">
        <v>2187</v>
      </c>
      <c r="C771" t="s">
        <v>3</v>
      </c>
      <c r="D771" t="s">
        <v>3</v>
      </c>
      <c r="E771" t="s">
        <v>3</v>
      </c>
      <c r="F771">
        <v>0</v>
      </c>
      <c r="G771">
        <v>0</v>
      </c>
      <c r="H771">
        <v>0</v>
      </c>
      <c r="I771">
        <v>0</v>
      </c>
      <c r="J771" t="s">
        <v>758</v>
      </c>
      <c r="K771" t="s">
        <v>34</v>
      </c>
      <c r="L771" t="s">
        <v>3</v>
      </c>
      <c r="M771">
        <v>9.1</v>
      </c>
      <c r="N771">
        <v>0</v>
      </c>
      <c r="O771">
        <v>0</v>
      </c>
      <c r="P771" t="s">
        <v>3</v>
      </c>
      <c r="Q771">
        <v>0</v>
      </c>
      <c r="R771">
        <v>0</v>
      </c>
      <c r="S771" t="s">
        <v>3</v>
      </c>
      <c r="T771">
        <v>64904.3</v>
      </c>
      <c r="U771" t="s">
        <v>2188</v>
      </c>
      <c r="V771" t="s">
        <v>2189</v>
      </c>
      <c r="W771">
        <v>0.16</v>
      </c>
    </row>
    <row r="772" spans="1:23">
      <c r="A772" t="str">
        <f>"002307"</f>
        <v>002307</v>
      </c>
      <c r="B772" t="s">
        <v>2190</v>
      </c>
      <c r="C772">
        <v>7.35</v>
      </c>
      <c r="D772">
        <v>7.43</v>
      </c>
      <c r="E772">
        <v>7.09</v>
      </c>
      <c r="F772">
        <v>7.25</v>
      </c>
      <c r="G772">
        <v>405097</v>
      </c>
      <c r="H772">
        <v>294251456</v>
      </c>
      <c r="I772">
        <v>1.39</v>
      </c>
      <c r="J772" t="s">
        <v>33</v>
      </c>
      <c r="K772" t="s">
        <v>241</v>
      </c>
      <c r="L772">
        <v>0.83</v>
      </c>
      <c r="M772">
        <v>7.26</v>
      </c>
      <c r="N772">
        <v>198682</v>
      </c>
      <c r="O772">
        <v>206414</v>
      </c>
      <c r="P772">
        <v>0.96</v>
      </c>
      <c r="Q772">
        <v>342</v>
      </c>
      <c r="R772">
        <v>3291</v>
      </c>
      <c r="S772" t="s">
        <v>3</v>
      </c>
      <c r="T772">
        <v>55731.3</v>
      </c>
      <c r="U772" t="s">
        <v>2191</v>
      </c>
      <c r="V772" t="s">
        <v>2191</v>
      </c>
      <c r="W772">
        <v>0.99</v>
      </c>
    </row>
    <row r="773" spans="1:23">
      <c r="A773" t="str">
        <f>"002308"</f>
        <v>002308</v>
      </c>
      <c r="B773" t="s">
        <v>2192</v>
      </c>
      <c r="C773">
        <v>8.92</v>
      </c>
      <c r="D773">
        <v>8.92</v>
      </c>
      <c r="E773">
        <v>8.68</v>
      </c>
      <c r="F773">
        <v>8.86</v>
      </c>
      <c r="G773">
        <v>151121</v>
      </c>
      <c r="H773">
        <v>132827160</v>
      </c>
      <c r="I773">
        <v>0.45</v>
      </c>
      <c r="J773" t="s">
        <v>66</v>
      </c>
      <c r="K773" t="s">
        <v>211</v>
      </c>
      <c r="L773">
        <v>-0.34</v>
      </c>
      <c r="M773">
        <v>8.7899999999999991</v>
      </c>
      <c r="N773">
        <v>88721</v>
      </c>
      <c r="O773">
        <v>62399</v>
      </c>
      <c r="P773">
        <v>1.42</v>
      </c>
      <c r="Q773">
        <v>716</v>
      </c>
      <c r="R773">
        <v>1218</v>
      </c>
      <c r="S773" t="s">
        <v>3</v>
      </c>
      <c r="T773">
        <v>83550.63</v>
      </c>
      <c r="U773" t="s">
        <v>2193</v>
      </c>
      <c r="V773" t="s">
        <v>2193</v>
      </c>
      <c r="W773">
        <v>-0.18</v>
      </c>
    </row>
    <row r="774" spans="1:23">
      <c r="A774" t="str">
        <f>"002309"</f>
        <v>002309</v>
      </c>
      <c r="B774" t="s">
        <v>2194</v>
      </c>
      <c r="C774">
        <v>21.9</v>
      </c>
      <c r="D774">
        <v>22.09</v>
      </c>
      <c r="E774">
        <v>21.58</v>
      </c>
      <c r="F774">
        <v>21.9</v>
      </c>
      <c r="G774">
        <v>41384</v>
      </c>
      <c r="H774">
        <v>90540752</v>
      </c>
      <c r="I774">
        <v>0.42</v>
      </c>
      <c r="J774" t="s">
        <v>145</v>
      </c>
      <c r="K774" t="s">
        <v>244</v>
      </c>
      <c r="L774">
        <v>-0.45</v>
      </c>
      <c r="M774">
        <v>21.88</v>
      </c>
      <c r="N774">
        <v>25746</v>
      </c>
      <c r="O774">
        <v>15638</v>
      </c>
      <c r="P774">
        <v>1.65</v>
      </c>
      <c r="Q774">
        <v>13</v>
      </c>
      <c r="R774">
        <v>34</v>
      </c>
      <c r="S774" t="s">
        <v>3</v>
      </c>
      <c r="T774">
        <v>27190.83</v>
      </c>
      <c r="U774" t="s">
        <v>2195</v>
      </c>
      <c r="V774" t="s">
        <v>2196</v>
      </c>
      <c r="W774">
        <v>-0.3</v>
      </c>
    </row>
    <row r="775" spans="1:23">
      <c r="A775" t="str">
        <f>"002310"</f>
        <v>002310</v>
      </c>
      <c r="B775" t="s">
        <v>2197</v>
      </c>
      <c r="C775">
        <v>18.37</v>
      </c>
      <c r="D775">
        <v>18.5</v>
      </c>
      <c r="E775">
        <v>18.27</v>
      </c>
      <c r="F775">
        <v>18.489999999999998</v>
      </c>
      <c r="G775">
        <v>94218</v>
      </c>
      <c r="H775">
        <v>173226672</v>
      </c>
      <c r="I775">
        <v>1.1299999999999999</v>
      </c>
      <c r="J775" t="s">
        <v>33</v>
      </c>
      <c r="K775" t="s">
        <v>34</v>
      </c>
      <c r="L775">
        <v>0.65</v>
      </c>
      <c r="M775">
        <v>18.39</v>
      </c>
      <c r="N775">
        <v>46592</v>
      </c>
      <c r="O775">
        <v>47625</v>
      </c>
      <c r="P775">
        <v>0.98</v>
      </c>
      <c r="Q775">
        <v>120</v>
      </c>
      <c r="R775">
        <v>251</v>
      </c>
      <c r="S775" t="s">
        <v>3</v>
      </c>
      <c r="T775">
        <v>45269.53</v>
      </c>
      <c r="U775" t="s">
        <v>2198</v>
      </c>
      <c r="V775" t="s">
        <v>2199</v>
      </c>
      <c r="W775">
        <v>0.81</v>
      </c>
    </row>
    <row r="776" spans="1:23">
      <c r="A776" t="str">
        <f>"002311"</f>
        <v>002311</v>
      </c>
      <c r="B776" t="s">
        <v>2200</v>
      </c>
      <c r="C776">
        <v>11.48</v>
      </c>
      <c r="D776">
        <v>11.53</v>
      </c>
      <c r="E776">
        <v>11.37</v>
      </c>
      <c r="F776">
        <v>11.4</v>
      </c>
      <c r="G776">
        <v>62741</v>
      </c>
      <c r="H776">
        <v>71621384</v>
      </c>
      <c r="I776">
        <v>1.03</v>
      </c>
      <c r="J776" t="s">
        <v>141</v>
      </c>
      <c r="K776" t="s">
        <v>211</v>
      </c>
      <c r="L776">
        <v>-0.7</v>
      </c>
      <c r="M776">
        <v>11.42</v>
      </c>
      <c r="N776">
        <v>41835</v>
      </c>
      <c r="O776">
        <v>20905</v>
      </c>
      <c r="P776">
        <v>2</v>
      </c>
      <c r="Q776">
        <v>331</v>
      </c>
      <c r="R776">
        <v>68</v>
      </c>
      <c r="S776" t="s">
        <v>3</v>
      </c>
      <c r="T776">
        <v>100090.92</v>
      </c>
      <c r="U776" t="s">
        <v>2201</v>
      </c>
      <c r="V776" t="s">
        <v>2202</v>
      </c>
      <c r="W776">
        <v>-0.54</v>
      </c>
    </row>
    <row r="777" spans="1:23">
      <c r="A777" t="str">
        <f>"002312"</f>
        <v>002312</v>
      </c>
      <c r="B777" t="s">
        <v>2203</v>
      </c>
      <c r="C777">
        <v>27.02</v>
      </c>
      <c r="D777">
        <v>27.39</v>
      </c>
      <c r="E777">
        <v>26.69</v>
      </c>
      <c r="F777">
        <v>26.72</v>
      </c>
      <c r="G777">
        <v>48778</v>
      </c>
      <c r="H777">
        <v>130856952</v>
      </c>
      <c r="I777">
        <v>1.0900000000000001</v>
      </c>
      <c r="J777" t="s">
        <v>66</v>
      </c>
      <c r="K777" t="s">
        <v>225</v>
      </c>
      <c r="L777">
        <v>-1.04</v>
      </c>
      <c r="M777">
        <v>26.83</v>
      </c>
      <c r="N777">
        <v>30388</v>
      </c>
      <c r="O777">
        <v>18390</v>
      </c>
      <c r="P777">
        <v>1.65</v>
      </c>
      <c r="Q777">
        <v>252</v>
      </c>
      <c r="R777">
        <v>1</v>
      </c>
      <c r="S777" t="s">
        <v>3</v>
      </c>
      <c r="T777">
        <v>25434.73</v>
      </c>
      <c r="U777" t="s">
        <v>2204</v>
      </c>
      <c r="V777" t="s">
        <v>2205</v>
      </c>
      <c r="W777">
        <v>-0.88</v>
      </c>
    </row>
    <row r="778" spans="1:23">
      <c r="A778" t="str">
        <f>"002313"</f>
        <v>002313</v>
      </c>
      <c r="B778" t="s">
        <v>2206</v>
      </c>
      <c r="C778">
        <v>14.01</v>
      </c>
      <c r="D778">
        <v>14.13</v>
      </c>
      <c r="E778">
        <v>13.81</v>
      </c>
      <c r="F778">
        <v>14.08</v>
      </c>
      <c r="G778">
        <v>105888</v>
      </c>
      <c r="H778">
        <v>148303232</v>
      </c>
      <c r="I778">
        <v>0.93</v>
      </c>
      <c r="J778" t="s">
        <v>112</v>
      </c>
      <c r="K778" t="s">
        <v>2</v>
      </c>
      <c r="L778">
        <v>0.56999999999999995</v>
      </c>
      <c r="M778">
        <v>14.01</v>
      </c>
      <c r="N778">
        <v>52971</v>
      </c>
      <c r="O778">
        <v>52917</v>
      </c>
      <c r="P778">
        <v>1</v>
      </c>
      <c r="Q778">
        <v>163</v>
      </c>
      <c r="R778">
        <v>434</v>
      </c>
      <c r="S778" t="s">
        <v>3</v>
      </c>
      <c r="T778">
        <v>23497.09</v>
      </c>
      <c r="U778" t="s">
        <v>2207</v>
      </c>
      <c r="V778" t="s">
        <v>2208</v>
      </c>
      <c r="W778">
        <v>0.73</v>
      </c>
    </row>
    <row r="779" spans="1:23">
      <c r="A779" t="str">
        <f>"002314"</f>
        <v>002314</v>
      </c>
      <c r="B779" t="s">
        <v>2209</v>
      </c>
      <c r="C779">
        <v>5.22</v>
      </c>
      <c r="D779">
        <v>5.24</v>
      </c>
      <c r="E779">
        <v>5.16</v>
      </c>
      <c r="F779">
        <v>5.23</v>
      </c>
      <c r="G779">
        <v>104373</v>
      </c>
      <c r="H779">
        <v>54250400</v>
      </c>
      <c r="I779">
        <v>0.88</v>
      </c>
      <c r="J779" t="s">
        <v>150</v>
      </c>
      <c r="K779" t="s">
        <v>2</v>
      </c>
      <c r="L779">
        <v>-0.38</v>
      </c>
      <c r="M779">
        <v>5.2</v>
      </c>
      <c r="N779">
        <v>62816</v>
      </c>
      <c r="O779">
        <v>41556</v>
      </c>
      <c r="P779">
        <v>1.51</v>
      </c>
      <c r="Q779">
        <v>852</v>
      </c>
      <c r="R779">
        <v>1324</v>
      </c>
      <c r="S779" t="s">
        <v>3</v>
      </c>
      <c r="T779">
        <v>57977.46</v>
      </c>
      <c r="U779" t="s">
        <v>2210</v>
      </c>
      <c r="V779" t="s">
        <v>2211</v>
      </c>
      <c r="W779">
        <v>-0.22</v>
      </c>
    </row>
    <row r="780" spans="1:23">
      <c r="A780" t="str">
        <f>"002315"</f>
        <v>002315</v>
      </c>
      <c r="B780" t="s">
        <v>2212</v>
      </c>
      <c r="C780">
        <v>47.28</v>
      </c>
      <c r="D780">
        <v>47.28</v>
      </c>
      <c r="E780">
        <v>46.4</v>
      </c>
      <c r="F780">
        <v>47.07</v>
      </c>
      <c r="G780">
        <v>20681</v>
      </c>
      <c r="H780">
        <v>96780472</v>
      </c>
      <c r="I780">
        <v>1</v>
      </c>
      <c r="J780" t="s">
        <v>355</v>
      </c>
      <c r="K780" t="s">
        <v>244</v>
      </c>
      <c r="L780">
        <v>-0.44</v>
      </c>
      <c r="M780">
        <v>46.8</v>
      </c>
      <c r="N780">
        <v>11326</v>
      </c>
      <c r="O780">
        <v>9354</v>
      </c>
      <c r="P780">
        <v>1.21</v>
      </c>
      <c r="Q780">
        <v>2</v>
      </c>
      <c r="R780">
        <v>100</v>
      </c>
      <c r="S780" t="s">
        <v>3</v>
      </c>
      <c r="T780">
        <v>6021.45</v>
      </c>
      <c r="U780" t="s">
        <v>2213</v>
      </c>
      <c r="V780" t="s">
        <v>2214</v>
      </c>
      <c r="W780">
        <v>-0.28999999999999998</v>
      </c>
    </row>
    <row r="781" spans="1:23">
      <c r="A781" t="str">
        <f>"002316"</f>
        <v>002316</v>
      </c>
      <c r="B781" t="s">
        <v>2215</v>
      </c>
      <c r="C781">
        <v>10.35</v>
      </c>
      <c r="D781">
        <v>10.36</v>
      </c>
      <c r="E781">
        <v>10.119999999999999</v>
      </c>
      <c r="F781">
        <v>10.220000000000001</v>
      </c>
      <c r="G781">
        <v>60425</v>
      </c>
      <c r="H781">
        <v>61929332</v>
      </c>
      <c r="I781">
        <v>0.68</v>
      </c>
      <c r="J781" t="s">
        <v>758</v>
      </c>
      <c r="K781" t="s">
        <v>2</v>
      </c>
      <c r="L781">
        <v>-1.26</v>
      </c>
      <c r="M781">
        <v>10.25</v>
      </c>
      <c r="N781">
        <v>34028</v>
      </c>
      <c r="O781">
        <v>26397</v>
      </c>
      <c r="P781">
        <v>1.29</v>
      </c>
      <c r="Q781">
        <v>430</v>
      </c>
      <c r="R781">
        <v>212</v>
      </c>
      <c r="S781" t="s">
        <v>3</v>
      </c>
      <c r="T781">
        <v>39267.760000000002</v>
      </c>
      <c r="U781" t="s">
        <v>2216</v>
      </c>
      <c r="V781" t="s">
        <v>2217</v>
      </c>
      <c r="W781">
        <v>-1.1000000000000001</v>
      </c>
    </row>
    <row r="782" spans="1:23">
      <c r="A782" t="str">
        <f>"002317"</f>
        <v>002317</v>
      </c>
      <c r="B782" t="s">
        <v>2218</v>
      </c>
      <c r="C782">
        <v>20.84</v>
      </c>
      <c r="D782">
        <v>20.89</v>
      </c>
      <c r="E782">
        <v>20.399999999999999</v>
      </c>
      <c r="F782">
        <v>20.5</v>
      </c>
      <c r="G782">
        <v>68193</v>
      </c>
      <c r="H782">
        <v>140272528</v>
      </c>
      <c r="I782">
        <v>2.4300000000000002</v>
      </c>
      <c r="J782" t="s">
        <v>321</v>
      </c>
      <c r="K782" t="s">
        <v>211</v>
      </c>
      <c r="L782">
        <v>-1.63</v>
      </c>
      <c r="M782">
        <v>20.57</v>
      </c>
      <c r="N782">
        <v>46325</v>
      </c>
      <c r="O782">
        <v>21867</v>
      </c>
      <c r="P782">
        <v>2.12</v>
      </c>
      <c r="Q782">
        <v>187</v>
      </c>
      <c r="R782">
        <v>46</v>
      </c>
      <c r="S782" t="s">
        <v>3</v>
      </c>
      <c r="T782">
        <v>22879.39</v>
      </c>
      <c r="U782" t="s">
        <v>2219</v>
      </c>
      <c r="V782" t="s">
        <v>2220</v>
      </c>
      <c r="W782">
        <v>-1.47</v>
      </c>
    </row>
    <row r="783" spans="1:23">
      <c r="A783" t="str">
        <f>"002318"</f>
        <v>002318</v>
      </c>
      <c r="B783" t="s">
        <v>2221</v>
      </c>
      <c r="C783">
        <v>21.03</v>
      </c>
      <c r="D783">
        <v>22.86</v>
      </c>
      <c r="E783">
        <v>20.92</v>
      </c>
      <c r="F783">
        <v>22.5</v>
      </c>
      <c r="G783">
        <v>96955</v>
      </c>
      <c r="H783">
        <v>211794816</v>
      </c>
      <c r="I783">
        <v>1.06</v>
      </c>
      <c r="J783" t="s">
        <v>815</v>
      </c>
      <c r="K783" t="s">
        <v>229</v>
      </c>
      <c r="L783">
        <v>6.89</v>
      </c>
      <c r="M783">
        <v>21.84</v>
      </c>
      <c r="N783">
        <v>39541</v>
      </c>
      <c r="O783">
        <v>57413</v>
      </c>
      <c r="P783">
        <v>0.69</v>
      </c>
      <c r="Q783">
        <v>198</v>
      </c>
      <c r="R783">
        <v>123</v>
      </c>
      <c r="S783" t="s">
        <v>3</v>
      </c>
      <c r="T783">
        <v>29783.83</v>
      </c>
      <c r="U783" t="s">
        <v>2222</v>
      </c>
      <c r="V783" t="s">
        <v>2223</v>
      </c>
      <c r="W783">
        <v>7.05</v>
      </c>
    </row>
    <row r="784" spans="1:23">
      <c r="A784" t="str">
        <f>"002319"</f>
        <v>002319</v>
      </c>
      <c r="B784" t="s">
        <v>2224</v>
      </c>
      <c r="C784">
        <v>10.19</v>
      </c>
      <c r="D784">
        <v>10.51</v>
      </c>
      <c r="E784">
        <v>10.01</v>
      </c>
      <c r="F784">
        <v>10.24</v>
      </c>
      <c r="G784">
        <v>106100</v>
      </c>
      <c r="H784">
        <v>109232160</v>
      </c>
      <c r="I784">
        <v>0.95</v>
      </c>
      <c r="J784" t="s">
        <v>522</v>
      </c>
      <c r="K784" t="s">
        <v>211</v>
      </c>
      <c r="L784">
        <v>0.59</v>
      </c>
      <c r="M784">
        <v>10.3</v>
      </c>
      <c r="N784">
        <v>52796</v>
      </c>
      <c r="O784">
        <v>53304</v>
      </c>
      <c r="P784">
        <v>0.99</v>
      </c>
      <c r="Q784">
        <v>242</v>
      </c>
      <c r="R784">
        <v>81</v>
      </c>
      <c r="S784" t="s">
        <v>3</v>
      </c>
      <c r="T784">
        <v>19979.53</v>
      </c>
      <c r="U784" t="s">
        <v>583</v>
      </c>
      <c r="V784" t="s">
        <v>715</v>
      </c>
      <c r="W784">
        <v>0.75</v>
      </c>
    </row>
    <row r="785" spans="1:23">
      <c r="A785" t="str">
        <f>"002320"</f>
        <v>002320</v>
      </c>
      <c r="B785" t="s">
        <v>2225</v>
      </c>
      <c r="C785">
        <v>10.98</v>
      </c>
      <c r="D785">
        <v>12.05</v>
      </c>
      <c r="E785">
        <v>10.75</v>
      </c>
      <c r="F785">
        <v>11.51</v>
      </c>
      <c r="G785">
        <v>151517</v>
      </c>
      <c r="H785">
        <v>172722208</v>
      </c>
      <c r="I785">
        <v>1.33</v>
      </c>
      <c r="J785" t="s">
        <v>2226</v>
      </c>
      <c r="K785" t="s">
        <v>356</v>
      </c>
      <c r="L785">
        <v>4.83</v>
      </c>
      <c r="M785">
        <v>11.4</v>
      </c>
      <c r="N785">
        <v>70964</v>
      </c>
      <c r="O785">
        <v>80552</v>
      </c>
      <c r="P785">
        <v>0.88</v>
      </c>
      <c r="Q785">
        <v>1229</v>
      </c>
      <c r="R785">
        <v>310</v>
      </c>
      <c r="S785" t="s">
        <v>3</v>
      </c>
      <c r="T785">
        <v>42587.6</v>
      </c>
      <c r="U785" t="s">
        <v>2227</v>
      </c>
      <c r="V785" t="s">
        <v>2227</v>
      </c>
      <c r="W785">
        <v>4.99</v>
      </c>
    </row>
    <row r="786" spans="1:23">
      <c r="A786" t="str">
        <f>"002321"</f>
        <v>002321</v>
      </c>
      <c r="B786" t="s">
        <v>2228</v>
      </c>
      <c r="C786">
        <v>6.92</v>
      </c>
      <c r="D786">
        <v>6.94</v>
      </c>
      <c r="E786">
        <v>6.7</v>
      </c>
      <c r="F786">
        <v>6.77</v>
      </c>
      <c r="G786">
        <v>109832</v>
      </c>
      <c r="H786">
        <v>74349400</v>
      </c>
      <c r="I786">
        <v>1.56</v>
      </c>
      <c r="J786" t="s">
        <v>169</v>
      </c>
      <c r="K786" t="s">
        <v>254</v>
      </c>
      <c r="L786">
        <v>-2.17</v>
      </c>
      <c r="M786">
        <v>6.77</v>
      </c>
      <c r="N786">
        <v>73473</v>
      </c>
      <c r="O786">
        <v>36358</v>
      </c>
      <c r="P786">
        <v>2.02</v>
      </c>
      <c r="Q786">
        <v>43</v>
      </c>
      <c r="R786">
        <v>455</v>
      </c>
      <c r="S786" t="s">
        <v>3</v>
      </c>
      <c r="T786">
        <v>42318.25</v>
      </c>
      <c r="U786" t="s">
        <v>2229</v>
      </c>
      <c r="V786" t="s">
        <v>2024</v>
      </c>
      <c r="W786">
        <v>-2.0099999999999998</v>
      </c>
    </row>
    <row r="787" spans="1:23">
      <c r="A787" t="str">
        <f>"002322"</f>
        <v>002322</v>
      </c>
      <c r="B787" t="s">
        <v>2230</v>
      </c>
      <c r="C787">
        <v>12.56</v>
      </c>
      <c r="D787">
        <v>12.65</v>
      </c>
      <c r="E787">
        <v>12.44</v>
      </c>
      <c r="F787">
        <v>12.54</v>
      </c>
      <c r="G787">
        <v>39070</v>
      </c>
      <c r="H787">
        <v>48866160</v>
      </c>
      <c r="I787">
        <v>0.87</v>
      </c>
      <c r="J787" t="s">
        <v>145</v>
      </c>
      <c r="K787" t="s">
        <v>229</v>
      </c>
      <c r="L787">
        <v>-0.63</v>
      </c>
      <c r="M787">
        <v>12.51</v>
      </c>
      <c r="N787">
        <v>21111</v>
      </c>
      <c r="O787">
        <v>17959</v>
      </c>
      <c r="P787">
        <v>1.18</v>
      </c>
      <c r="Q787">
        <v>324</v>
      </c>
      <c r="R787">
        <v>202</v>
      </c>
      <c r="S787" t="s">
        <v>3</v>
      </c>
      <c r="T787">
        <v>26027.85</v>
      </c>
      <c r="U787" t="s">
        <v>991</v>
      </c>
      <c r="V787" t="s">
        <v>2231</v>
      </c>
      <c r="W787">
        <v>-0.48</v>
      </c>
    </row>
    <row r="788" spans="1:23">
      <c r="A788" t="str">
        <f>"002323"</f>
        <v>002323</v>
      </c>
      <c r="B788" t="s">
        <v>2232</v>
      </c>
      <c r="C788">
        <v>18.149999999999999</v>
      </c>
      <c r="D788">
        <v>18.27</v>
      </c>
      <c r="E788">
        <v>17.899999999999999</v>
      </c>
      <c r="F788">
        <v>18.16</v>
      </c>
      <c r="G788">
        <v>11028</v>
      </c>
      <c r="H788">
        <v>19909024</v>
      </c>
      <c r="I788">
        <v>0.75</v>
      </c>
      <c r="J788" t="s">
        <v>145</v>
      </c>
      <c r="K788" t="s">
        <v>244</v>
      </c>
      <c r="L788">
        <v>0.11</v>
      </c>
      <c r="M788">
        <v>18.05</v>
      </c>
      <c r="N788">
        <v>6093</v>
      </c>
      <c r="O788">
        <v>4934</v>
      </c>
      <c r="P788">
        <v>1.23</v>
      </c>
      <c r="Q788">
        <v>65</v>
      </c>
      <c r="R788">
        <v>102</v>
      </c>
      <c r="S788" t="s">
        <v>3</v>
      </c>
      <c r="T788">
        <v>8350.16</v>
      </c>
      <c r="U788" t="s">
        <v>2233</v>
      </c>
      <c r="V788" t="s">
        <v>2234</v>
      </c>
      <c r="W788">
        <v>0.27</v>
      </c>
    </row>
    <row r="789" spans="1:23">
      <c r="A789" t="str">
        <f>"002324"</f>
        <v>002324</v>
      </c>
      <c r="B789" t="s">
        <v>2235</v>
      </c>
      <c r="C789">
        <v>17.71</v>
      </c>
      <c r="D789">
        <v>17.96</v>
      </c>
      <c r="E789">
        <v>17.600000000000001</v>
      </c>
      <c r="F789">
        <v>17.739999999999998</v>
      </c>
      <c r="G789">
        <v>28236</v>
      </c>
      <c r="H789">
        <v>50166300</v>
      </c>
      <c r="I789">
        <v>0.56000000000000005</v>
      </c>
      <c r="J789" t="s">
        <v>273</v>
      </c>
      <c r="K789" t="s">
        <v>727</v>
      </c>
      <c r="L789">
        <v>0.23</v>
      </c>
      <c r="M789">
        <v>17.77</v>
      </c>
      <c r="N789">
        <v>14904</v>
      </c>
      <c r="O789">
        <v>13331</v>
      </c>
      <c r="P789">
        <v>1.1200000000000001</v>
      </c>
      <c r="Q789">
        <v>47</v>
      </c>
      <c r="R789">
        <v>109</v>
      </c>
      <c r="S789" t="s">
        <v>3</v>
      </c>
      <c r="T789">
        <v>15582.66</v>
      </c>
      <c r="U789" t="s">
        <v>2236</v>
      </c>
      <c r="V789" t="s">
        <v>2237</v>
      </c>
      <c r="W789">
        <v>0.38</v>
      </c>
    </row>
    <row r="790" spans="1:23">
      <c r="A790" t="str">
        <f>"002325"</f>
        <v>002325</v>
      </c>
      <c r="B790" t="s">
        <v>2238</v>
      </c>
      <c r="C790">
        <v>10.07</v>
      </c>
      <c r="D790">
        <v>10.1</v>
      </c>
      <c r="E790">
        <v>9.81</v>
      </c>
      <c r="F790">
        <v>9.91</v>
      </c>
      <c r="G790">
        <v>107942</v>
      </c>
      <c r="H790">
        <v>107071752</v>
      </c>
      <c r="I790">
        <v>0.78</v>
      </c>
      <c r="J790" t="s">
        <v>1496</v>
      </c>
      <c r="K790" t="s">
        <v>2</v>
      </c>
      <c r="L790">
        <v>-1.2</v>
      </c>
      <c r="M790">
        <v>9.92</v>
      </c>
      <c r="N790">
        <v>65256</v>
      </c>
      <c r="O790">
        <v>42686</v>
      </c>
      <c r="P790">
        <v>1.53</v>
      </c>
      <c r="Q790">
        <v>182</v>
      </c>
      <c r="R790">
        <v>547</v>
      </c>
      <c r="S790" t="s">
        <v>3</v>
      </c>
      <c r="T790">
        <v>49715</v>
      </c>
      <c r="U790" t="s">
        <v>2239</v>
      </c>
      <c r="V790" t="s">
        <v>2240</v>
      </c>
      <c r="W790">
        <v>-1.04</v>
      </c>
    </row>
    <row r="791" spans="1:23">
      <c r="A791" t="str">
        <f>"002326"</f>
        <v>002326</v>
      </c>
      <c r="B791" t="s">
        <v>2241</v>
      </c>
      <c r="C791">
        <v>16.09</v>
      </c>
      <c r="D791">
        <v>17.18</v>
      </c>
      <c r="E791">
        <v>15.98</v>
      </c>
      <c r="F791">
        <v>16.59</v>
      </c>
      <c r="G791">
        <v>93127</v>
      </c>
      <c r="H791">
        <v>154663376</v>
      </c>
      <c r="I791">
        <v>2.2400000000000002</v>
      </c>
      <c r="J791" t="s">
        <v>376</v>
      </c>
      <c r="K791" t="s">
        <v>229</v>
      </c>
      <c r="L791">
        <v>3.04</v>
      </c>
      <c r="M791">
        <v>16.61</v>
      </c>
      <c r="N791">
        <v>44234</v>
      </c>
      <c r="O791">
        <v>48893</v>
      </c>
      <c r="P791">
        <v>0.9</v>
      </c>
      <c r="Q791">
        <v>97</v>
      </c>
      <c r="R791">
        <v>81</v>
      </c>
      <c r="S791" t="s">
        <v>3</v>
      </c>
      <c r="T791">
        <v>14475.37</v>
      </c>
      <c r="U791" t="s">
        <v>2242</v>
      </c>
      <c r="V791" t="s">
        <v>2243</v>
      </c>
      <c r="W791">
        <v>3.2</v>
      </c>
    </row>
    <row r="792" spans="1:23">
      <c r="A792" t="str">
        <f>"002327"</f>
        <v>002327</v>
      </c>
      <c r="B792" t="s">
        <v>2244</v>
      </c>
      <c r="C792">
        <v>13.18</v>
      </c>
      <c r="D792">
        <v>13.36</v>
      </c>
      <c r="E792">
        <v>13.1</v>
      </c>
      <c r="F792">
        <v>13.34</v>
      </c>
      <c r="G792">
        <v>51785</v>
      </c>
      <c r="H792">
        <v>68546112</v>
      </c>
      <c r="I792">
        <v>0.77</v>
      </c>
      <c r="J792" t="s">
        <v>1373</v>
      </c>
      <c r="K792" t="s">
        <v>2</v>
      </c>
      <c r="L792">
        <v>1.21</v>
      </c>
      <c r="M792">
        <v>13.24</v>
      </c>
      <c r="N792">
        <v>22148</v>
      </c>
      <c r="O792">
        <v>29637</v>
      </c>
      <c r="P792">
        <v>0.75</v>
      </c>
      <c r="Q792">
        <v>32</v>
      </c>
      <c r="R792">
        <v>782</v>
      </c>
      <c r="S792" t="s">
        <v>3</v>
      </c>
      <c r="T792">
        <v>22056.6</v>
      </c>
      <c r="U792" t="s">
        <v>1143</v>
      </c>
      <c r="V792" t="s">
        <v>2245</v>
      </c>
      <c r="W792">
        <v>1.37</v>
      </c>
    </row>
    <row r="793" spans="1:23">
      <c r="A793" t="str">
        <f>"002328"</f>
        <v>002328</v>
      </c>
      <c r="B793" t="s">
        <v>2246</v>
      </c>
      <c r="C793" t="s">
        <v>3</v>
      </c>
      <c r="D793" t="s">
        <v>3</v>
      </c>
      <c r="E793" t="s">
        <v>3</v>
      </c>
      <c r="F793">
        <v>0</v>
      </c>
      <c r="G793">
        <v>0</v>
      </c>
      <c r="H793">
        <v>0</v>
      </c>
      <c r="I793">
        <v>0</v>
      </c>
      <c r="J793" t="s">
        <v>269</v>
      </c>
      <c r="K793" t="s">
        <v>727</v>
      </c>
      <c r="L793" t="s">
        <v>3</v>
      </c>
      <c r="M793">
        <v>11.53</v>
      </c>
      <c r="N793">
        <v>0</v>
      </c>
      <c r="O793">
        <v>0</v>
      </c>
      <c r="P793" t="s">
        <v>3</v>
      </c>
      <c r="Q793">
        <v>0</v>
      </c>
      <c r="R793">
        <v>0</v>
      </c>
      <c r="S793" t="s">
        <v>3</v>
      </c>
      <c r="T793">
        <v>32719.9</v>
      </c>
      <c r="U793" t="s">
        <v>2247</v>
      </c>
      <c r="V793" t="s">
        <v>2248</v>
      </c>
      <c r="W793">
        <v>0.16</v>
      </c>
    </row>
    <row r="794" spans="1:23">
      <c r="A794" t="str">
        <f>"002329"</f>
        <v>002329</v>
      </c>
      <c r="B794" t="s">
        <v>2249</v>
      </c>
      <c r="C794">
        <v>17.55</v>
      </c>
      <c r="D794">
        <v>18.27</v>
      </c>
      <c r="E794">
        <v>17.55</v>
      </c>
      <c r="F794">
        <v>17.899999999999999</v>
      </c>
      <c r="G794">
        <v>62458</v>
      </c>
      <c r="H794">
        <v>112038736</v>
      </c>
      <c r="I794">
        <v>1.68</v>
      </c>
      <c r="J794" t="s">
        <v>2250</v>
      </c>
      <c r="K794" t="s">
        <v>417</v>
      </c>
      <c r="L794">
        <v>2.4</v>
      </c>
      <c r="M794">
        <v>17.940000000000001</v>
      </c>
      <c r="N794">
        <v>32295</v>
      </c>
      <c r="O794">
        <v>30163</v>
      </c>
      <c r="P794">
        <v>1.07</v>
      </c>
      <c r="Q794">
        <v>305</v>
      </c>
      <c r="R794">
        <v>54</v>
      </c>
      <c r="S794" t="s">
        <v>3</v>
      </c>
      <c r="T794">
        <v>14499.03</v>
      </c>
      <c r="U794" t="s">
        <v>889</v>
      </c>
      <c r="V794" t="s">
        <v>2251</v>
      </c>
      <c r="W794">
        <v>2.56</v>
      </c>
    </row>
    <row r="795" spans="1:23">
      <c r="A795" t="str">
        <f>"002330"</f>
        <v>002330</v>
      </c>
      <c r="B795" t="s">
        <v>2252</v>
      </c>
      <c r="C795" t="s">
        <v>3</v>
      </c>
      <c r="D795" t="s">
        <v>3</v>
      </c>
      <c r="E795" t="s">
        <v>3</v>
      </c>
      <c r="F795">
        <v>0</v>
      </c>
      <c r="G795">
        <v>0</v>
      </c>
      <c r="H795">
        <v>0</v>
      </c>
      <c r="I795">
        <v>0</v>
      </c>
      <c r="J795" t="s">
        <v>421</v>
      </c>
      <c r="K795" t="s">
        <v>250</v>
      </c>
      <c r="L795" t="s">
        <v>3</v>
      </c>
      <c r="M795">
        <v>7.68</v>
      </c>
      <c r="N795">
        <v>0</v>
      </c>
      <c r="O795">
        <v>0</v>
      </c>
      <c r="P795" t="s">
        <v>3</v>
      </c>
      <c r="Q795">
        <v>0</v>
      </c>
      <c r="R795">
        <v>0</v>
      </c>
      <c r="S795" t="s">
        <v>3</v>
      </c>
      <c r="T795">
        <v>37228</v>
      </c>
      <c r="U795" t="s">
        <v>2163</v>
      </c>
      <c r="V795" t="s">
        <v>2253</v>
      </c>
      <c r="W795">
        <v>0.16</v>
      </c>
    </row>
    <row r="796" spans="1:23">
      <c r="A796" t="str">
        <f>"002331"</f>
        <v>002331</v>
      </c>
      <c r="B796" t="s">
        <v>2254</v>
      </c>
      <c r="C796">
        <v>14.7</v>
      </c>
      <c r="D796">
        <v>14.98</v>
      </c>
      <c r="E796">
        <v>13.93</v>
      </c>
      <c r="F796">
        <v>14.24</v>
      </c>
      <c r="G796">
        <v>147504</v>
      </c>
      <c r="H796">
        <v>211037056</v>
      </c>
      <c r="I796">
        <v>2.21</v>
      </c>
      <c r="J796" t="s">
        <v>758</v>
      </c>
      <c r="K796" t="s">
        <v>220</v>
      </c>
      <c r="L796">
        <v>7.0000000000000007E-2</v>
      </c>
      <c r="M796">
        <v>14.31</v>
      </c>
      <c r="N796">
        <v>77158</v>
      </c>
      <c r="O796">
        <v>70346</v>
      </c>
      <c r="P796">
        <v>1.1000000000000001</v>
      </c>
      <c r="Q796">
        <v>110</v>
      </c>
      <c r="R796">
        <v>396</v>
      </c>
      <c r="S796" t="s">
        <v>3</v>
      </c>
      <c r="T796">
        <v>13553.28</v>
      </c>
      <c r="U796" t="s">
        <v>2255</v>
      </c>
      <c r="V796" t="s">
        <v>2256</v>
      </c>
      <c r="W796">
        <v>0.23</v>
      </c>
    </row>
    <row r="797" spans="1:23">
      <c r="A797" t="str">
        <f>"002332"</f>
        <v>002332</v>
      </c>
      <c r="B797" t="s">
        <v>2257</v>
      </c>
      <c r="C797">
        <v>11.21</v>
      </c>
      <c r="D797">
        <v>11.45</v>
      </c>
      <c r="E797">
        <v>10.98</v>
      </c>
      <c r="F797">
        <v>11.39</v>
      </c>
      <c r="G797">
        <v>151319</v>
      </c>
      <c r="H797">
        <v>170000736</v>
      </c>
      <c r="I797">
        <v>1.07</v>
      </c>
      <c r="J797" t="s">
        <v>11</v>
      </c>
      <c r="K797" t="s">
        <v>229</v>
      </c>
      <c r="L797">
        <v>1.61</v>
      </c>
      <c r="M797">
        <v>11.23</v>
      </c>
      <c r="N797">
        <v>75210</v>
      </c>
      <c r="O797">
        <v>76108</v>
      </c>
      <c r="P797">
        <v>0.99</v>
      </c>
      <c r="Q797">
        <v>313</v>
      </c>
      <c r="R797">
        <v>1529</v>
      </c>
      <c r="S797" t="s">
        <v>3</v>
      </c>
      <c r="T797">
        <v>45613.120000000003</v>
      </c>
      <c r="U797" t="s">
        <v>2258</v>
      </c>
      <c r="V797" t="s">
        <v>2259</v>
      </c>
      <c r="W797">
        <v>1.76</v>
      </c>
    </row>
    <row r="798" spans="1:23">
      <c r="A798" t="str">
        <f>"002333"</f>
        <v>002333</v>
      </c>
      <c r="B798" t="s">
        <v>2260</v>
      </c>
      <c r="C798">
        <v>11.26</v>
      </c>
      <c r="D798">
        <v>11.3</v>
      </c>
      <c r="E798">
        <v>11.11</v>
      </c>
      <c r="F798">
        <v>11.22</v>
      </c>
      <c r="G798">
        <v>23358</v>
      </c>
      <c r="H798">
        <v>26173632</v>
      </c>
      <c r="I798">
        <v>1.01</v>
      </c>
      <c r="J798" t="s">
        <v>632</v>
      </c>
      <c r="K798" t="s">
        <v>244</v>
      </c>
      <c r="L798">
        <v>-0.36</v>
      </c>
      <c r="M798">
        <v>11.21</v>
      </c>
      <c r="N798">
        <v>13234</v>
      </c>
      <c r="O798">
        <v>10124</v>
      </c>
      <c r="P798">
        <v>1.31</v>
      </c>
      <c r="Q798">
        <v>24</v>
      </c>
      <c r="R798">
        <v>86</v>
      </c>
      <c r="S798" t="s">
        <v>3</v>
      </c>
      <c r="T798">
        <v>24248.49</v>
      </c>
      <c r="U798" t="s">
        <v>2149</v>
      </c>
      <c r="V798" t="s">
        <v>2261</v>
      </c>
      <c r="W798">
        <v>-0.2</v>
      </c>
    </row>
    <row r="799" spans="1:23">
      <c r="A799" t="str">
        <f>"002334"</f>
        <v>002334</v>
      </c>
      <c r="B799" t="s">
        <v>2262</v>
      </c>
      <c r="C799">
        <v>15.7</v>
      </c>
      <c r="D799">
        <v>15.77</v>
      </c>
      <c r="E799">
        <v>15.44</v>
      </c>
      <c r="F799">
        <v>15.58</v>
      </c>
      <c r="G799">
        <v>62092</v>
      </c>
      <c r="H799">
        <v>96404480</v>
      </c>
      <c r="I799">
        <v>1.08</v>
      </c>
      <c r="J799" t="s">
        <v>145</v>
      </c>
      <c r="K799" t="s">
        <v>2</v>
      </c>
      <c r="L799">
        <v>-0.76</v>
      </c>
      <c r="M799">
        <v>15.53</v>
      </c>
      <c r="N799">
        <v>36267</v>
      </c>
      <c r="O799">
        <v>25825</v>
      </c>
      <c r="P799">
        <v>1.4</v>
      </c>
      <c r="Q799">
        <v>219</v>
      </c>
      <c r="R799">
        <v>51</v>
      </c>
      <c r="S799" t="s">
        <v>3</v>
      </c>
      <c r="T799">
        <v>25181.5</v>
      </c>
      <c r="U799" t="s">
        <v>2263</v>
      </c>
      <c r="V799" t="s">
        <v>2054</v>
      </c>
      <c r="W799">
        <v>-0.61</v>
      </c>
    </row>
    <row r="800" spans="1:23">
      <c r="A800" t="str">
        <f>"002335"</f>
        <v>002335</v>
      </c>
      <c r="B800" t="s">
        <v>2264</v>
      </c>
      <c r="C800">
        <v>17.649999999999999</v>
      </c>
      <c r="D800">
        <v>18.45</v>
      </c>
      <c r="E800">
        <v>17.62</v>
      </c>
      <c r="F800">
        <v>18.14</v>
      </c>
      <c r="G800">
        <v>34507</v>
      </c>
      <c r="H800">
        <v>62253360</v>
      </c>
      <c r="I800">
        <v>1.05</v>
      </c>
      <c r="J800" t="s">
        <v>145</v>
      </c>
      <c r="K800" t="s">
        <v>414</v>
      </c>
      <c r="L800">
        <v>1.45</v>
      </c>
      <c r="M800">
        <v>18.04</v>
      </c>
      <c r="N800">
        <v>15769</v>
      </c>
      <c r="O800">
        <v>18738</v>
      </c>
      <c r="P800">
        <v>0.84</v>
      </c>
      <c r="Q800">
        <v>70</v>
      </c>
      <c r="R800">
        <v>149</v>
      </c>
      <c r="S800" t="s">
        <v>3</v>
      </c>
      <c r="T800">
        <v>18281.48</v>
      </c>
      <c r="U800" t="s">
        <v>2265</v>
      </c>
      <c r="V800" t="s">
        <v>426</v>
      </c>
      <c r="W800">
        <v>1.61</v>
      </c>
    </row>
    <row r="801" spans="1:23">
      <c r="A801" t="str">
        <f>"002336"</f>
        <v>002336</v>
      </c>
      <c r="B801" t="s">
        <v>2266</v>
      </c>
      <c r="C801">
        <v>11.41</v>
      </c>
      <c r="D801">
        <v>11.55</v>
      </c>
      <c r="E801">
        <v>11.39</v>
      </c>
      <c r="F801">
        <v>11.51</v>
      </c>
      <c r="G801">
        <v>30414</v>
      </c>
      <c r="H801">
        <v>34917792</v>
      </c>
      <c r="I801">
        <v>1.1100000000000001</v>
      </c>
      <c r="J801" t="s">
        <v>920</v>
      </c>
      <c r="K801" t="s">
        <v>2</v>
      </c>
      <c r="L801">
        <v>0.79</v>
      </c>
      <c r="M801">
        <v>11.48</v>
      </c>
      <c r="N801">
        <v>11359</v>
      </c>
      <c r="O801">
        <v>19055</v>
      </c>
      <c r="P801">
        <v>0.6</v>
      </c>
      <c r="Q801">
        <v>218</v>
      </c>
      <c r="R801">
        <v>52</v>
      </c>
      <c r="S801" t="s">
        <v>3</v>
      </c>
      <c r="T801">
        <v>40000</v>
      </c>
      <c r="U801" t="s">
        <v>2267</v>
      </c>
      <c r="V801" t="s">
        <v>2267</v>
      </c>
      <c r="W801">
        <v>0.95</v>
      </c>
    </row>
    <row r="802" spans="1:23">
      <c r="A802" t="str">
        <f>"002337"</f>
        <v>002337</v>
      </c>
      <c r="B802" t="s">
        <v>2268</v>
      </c>
      <c r="C802">
        <v>13.76</v>
      </c>
      <c r="D802">
        <v>13.76</v>
      </c>
      <c r="E802">
        <v>13.32</v>
      </c>
      <c r="F802">
        <v>13.62</v>
      </c>
      <c r="G802">
        <v>50430</v>
      </c>
      <c r="H802">
        <v>68211296</v>
      </c>
      <c r="I802">
        <v>1.37</v>
      </c>
      <c r="J802" t="s">
        <v>1082</v>
      </c>
      <c r="K802" t="s">
        <v>442</v>
      </c>
      <c r="L802">
        <v>-1.73</v>
      </c>
      <c r="M802">
        <v>13.53</v>
      </c>
      <c r="N802">
        <v>29118</v>
      </c>
      <c r="O802">
        <v>21312</v>
      </c>
      <c r="P802">
        <v>1.37</v>
      </c>
      <c r="Q802">
        <v>125</v>
      </c>
      <c r="R802">
        <v>76</v>
      </c>
      <c r="S802" t="s">
        <v>3</v>
      </c>
      <c r="T802">
        <v>18436.5</v>
      </c>
      <c r="U802" t="s">
        <v>2269</v>
      </c>
      <c r="V802" t="s">
        <v>2270</v>
      </c>
      <c r="W802">
        <v>-1.57</v>
      </c>
    </row>
    <row r="803" spans="1:23">
      <c r="A803" t="str">
        <f>"002338"</f>
        <v>002338</v>
      </c>
      <c r="B803" t="s">
        <v>2271</v>
      </c>
      <c r="C803">
        <v>42.44</v>
      </c>
      <c r="D803">
        <v>42.8</v>
      </c>
      <c r="E803">
        <v>41.31</v>
      </c>
      <c r="F803">
        <v>42.05</v>
      </c>
      <c r="G803">
        <v>23765</v>
      </c>
      <c r="H803">
        <v>99178272</v>
      </c>
      <c r="I803">
        <v>0.93</v>
      </c>
      <c r="J803" t="s">
        <v>617</v>
      </c>
      <c r="K803" t="s">
        <v>99</v>
      </c>
      <c r="L803">
        <v>-1.64</v>
      </c>
      <c r="M803">
        <v>41.73</v>
      </c>
      <c r="N803">
        <v>13832</v>
      </c>
      <c r="O803">
        <v>9933</v>
      </c>
      <c r="P803">
        <v>1.39</v>
      </c>
      <c r="Q803">
        <v>23</v>
      </c>
      <c r="R803">
        <v>10</v>
      </c>
      <c r="S803" t="s">
        <v>3</v>
      </c>
      <c r="T803">
        <v>11863.95</v>
      </c>
      <c r="U803" t="s">
        <v>2272</v>
      </c>
      <c r="V803" t="s">
        <v>1632</v>
      </c>
      <c r="W803">
        <v>-1.48</v>
      </c>
    </row>
    <row r="804" spans="1:23">
      <c r="A804" t="str">
        <f>"002339"</f>
        <v>002339</v>
      </c>
      <c r="B804" t="s">
        <v>2273</v>
      </c>
      <c r="C804">
        <v>9.8000000000000007</v>
      </c>
      <c r="D804">
        <v>9.8800000000000008</v>
      </c>
      <c r="E804">
        <v>9.6999999999999993</v>
      </c>
      <c r="F804">
        <v>9.77</v>
      </c>
      <c r="G804">
        <v>62364</v>
      </c>
      <c r="H804">
        <v>60982764</v>
      </c>
      <c r="I804">
        <v>0.87</v>
      </c>
      <c r="J804" t="s">
        <v>758</v>
      </c>
      <c r="K804" t="s">
        <v>250</v>
      </c>
      <c r="L804">
        <v>-0.31</v>
      </c>
      <c r="M804">
        <v>9.7799999999999994</v>
      </c>
      <c r="N804">
        <v>36220</v>
      </c>
      <c r="O804">
        <v>26143</v>
      </c>
      <c r="P804">
        <v>1.39</v>
      </c>
      <c r="Q804">
        <v>393</v>
      </c>
      <c r="R804">
        <v>44</v>
      </c>
      <c r="S804" t="s">
        <v>3</v>
      </c>
      <c r="T804">
        <v>28414.25</v>
      </c>
      <c r="U804" t="s">
        <v>2274</v>
      </c>
      <c r="V804" t="s">
        <v>2275</v>
      </c>
      <c r="W804">
        <v>-0.15</v>
      </c>
    </row>
    <row r="805" spans="1:23">
      <c r="A805" t="str">
        <f>"002340"</f>
        <v>002340</v>
      </c>
      <c r="B805" t="s">
        <v>2276</v>
      </c>
      <c r="C805">
        <v>12.93</v>
      </c>
      <c r="D805">
        <v>13.08</v>
      </c>
      <c r="E805">
        <v>12.84</v>
      </c>
      <c r="F805">
        <v>13.04</v>
      </c>
      <c r="G805">
        <v>206074</v>
      </c>
      <c r="H805">
        <v>267505712</v>
      </c>
      <c r="I805">
        <v>0.98</v>
      </c>
      <c r="J805" t="s">
        <v>328</v>
      </c>
      <c r="K805" t="s">
        <v>2</v>
      </c>
      <c r="L805">
        <v>0.93</v>
      </c>
      <c r="M805">
        <v>12.98</v>
      </c>
      <c r="N805">
        <v>97926</v>
      </c>
      <c r="O805">
        <v>108148</v>
      </c>
      <c r="P805">
        <v>0.91</v>
      </c>
      <c r="Q805">
        <v>339</v>
      </c>
      <c r="R805">
        <v>4400</v>
      </c>
      <c r="S805" t="s">
        <v>3</v>
      </c>
      <c r="T805">
        <v>75344.960000000006</v>
      </c>
      <c r="U805" t="s">
        <v>2277</v>
      </c>
      <c r="V805" t="s">
        <v>2278</v>
      </c>
      <c r="W805">
        <v>1.0900000000000001</v>
      </c>
    </row>
    <row r="806" spans="1:23">
      <c r="A806" t="str">
        <f>"002341"</f>
        <v>002341</v>
      </c>
      <c r="B806" t="s">
        <v>2279</v>
      </c>
      <c r="C806">
        <v>20.55</v>
      </c>
      <c r="D806">
        <v>20.68</v>
      </c>
      <c r="E806">
        <v>20.48</v>
      </c>
      <c r="F806">
        <v>20.52</v>
      </c>
      <c r="G806">
        <v>36978</v>
      </c>
      <c r="H806">
        <v>76063184</v>
      </c>
      <c r="I806">
        <v>0.95</v>
      </c>
      <c r="J806" t="s">
        <v>376</v>
      </c>
      <c r="K806" t="s">
        <v>2</v>
      </c>
      <c r="L806">
        <v>-0.1</v>
      </c>
      <c r="M806">
        <v>20.57</v>
      </c>
      <c r="N806">
        <v>20102</v>
      </c>
      <c r="O806">
        <v>16875</v>
      </c>
      <c r="P806">
        <v>1.19</v>
      </c>
      <c r="Q806">
        <v>108</v>
      </c>
      <c r="R806">
        <v>40</v>
      </c>
      <c r="S806" t="s">
        <v>3</v>
      </c>
      <c r="T806">
        <v>25085.19</v>
      </c>
      <c r="U806" t="s">
        <v>2280</v>
      </c>
      <c r="V806" t="s">
        <v>2281</v>
      </c>
      <c r="W806">
        <v>0.06</v>
      </c>
    </row>
    <row r="807" spans="1:23">
      <c r="A807" t="str">
        <f>"002342"</f>
        <v>002342</v>
      </c>
      <c r="B807" t="s">
        <v>2282</v>
      </c>
      <c r="C807">
        <v>7.05</v>
      </c>
      <c r="D807">
        <v>7.61</v>
      </c>
      <c r="E807">
        <v>7.05</v>
      </c>
      <c r="F807">
        <v>7.51</v>
      </c>
      <c r="G807">
        <v>596026</v>
      </c>
      <c r="H807">
        <v>438175104</v>
      </c>
      <c r="I807">
        <v>1.58</v>
      </c>
      <c r="J807" t="s">
        <v>398</v>
      </c>
      <c r="K807" t="s">
        <v>238</v>
      </c>
      <c r="L807">
        <v>6.98</v>
      </c>
      <c r="M807">
        <v>7.35</v>
      </c>
      <c r="N807">
        <v>275432</v>
      </c>
      <c r="O807">
        <v>320593</v>
      </c>
      <c r="P807">
        <v>0.86</v>
      </c>
      <c r="Q807">
        <v>50</v>
      </c>
      <c r="R807">
        <v>1545</v>
      </c>
      <c r="S807" t="s">
        <v>3</v>
      </c>
      <c r="T807">
        <v>78615.5</v>
      </c>
      <c r="U807" t="s">
        <v>2283</v>
      </c>
      <c r="V807" t="s">
        <v>2284</v>
      </c>
      <c r="W807">
        <v>7.14</v>
      </c>
    </row>
    <row r="808" spans="1:23">
      <c r="A808" t="str">
        <f>"002343"</f>
        <v>002343</v>
      </c>
      <c r="B808" t="s">
        <v>2285</v>
      </c>
      <c r="C808" t="s">
        <v>3</v>
      </c>
      <c r="D808" t="s">
        <v>3</v>
      </c>
      <c r="E808" t="s">
        <v>3</v>
      </c>
      <c r="F808">
        <v>0</v>
      </c>
      <c r="G808">
        <v>0</v>
      </c>
      <c r="H808">
        <v>0</v>
      </c>
      <c r="I808">
        <v>0</v>
      </c>
      <c r="J808" t="s">
        <v>273</v>
      </c>
      <c r="K808" t="s">
        <v>229</v>
      </c>
      <c r="L808" t="s">
        <v>3</v>
      </c>
      <c r="M808">
        <v>9.19</v>
      </c>
      <c r="N808">
        <v>0</v>
      </c>
      <c r="O808">
        <v>0</v>
      </c>
      <c r="P808" t="s">
        <v>3</v>
      </c>
      <c r="Q808">
        <v>0</v>
      </c>
      <c r="R808">
        <v>0</v>
      </c>
      <c r="S808" t="s">
        <v>3</v>
      </c>
      <c r="T808">
        <v>14341.34</v>
      </c>
      <c r="U808" t="s">
        <v>2286</v>
      </c>
      <c r="V808" t="s">
        <v>2287</v>
      </c>
      <c r="W808">
        <v>0.16</v>
      </c>
    </row>
    <row r="809" spans="1:23">
      <c r="A809" t="str">
        <f>"002344"</f>
        <v>002344</v>
      </c>
      <c r="B809" t="s">
        <v>2288</v>
      </c>
      <c r="C809">
        <v>14.66</v>
      </c>
      <c r="D809">
        <v>14.69</v>
      </c>
      <c r="E809">
        <v>14.38</v>
      </c>
      <c r="F809">
        <v>14.52</v>
      </c>
      <c r="G809">
        <v>113589</v>
      </c>
      <c r="H809">
        <v>164487536</v>
      </c>
      <c r="I809">
        <v>0.92</v>
      </c>
      <c r="J809" t="s">
        <v>2289</v>
      </c>
      <c r="K809" t="s">
        <v>229</v>
      </c>
      <c r="L809">
        <v>-1.02</v>
      </c>
      <c r="M809">
        <v>14.48</v>
      </c>
      <c r="N809">
        <v>60383</v>
      </c>
      <c r="O809">
        <v>53206</v>
      </c>
      <c r="P809">
        <v>1.1299999999999999</v>
      </c>
      <c r="Q809">
        <v>592</v>
      </c>
      <c r="R809">
        <v>1540</v>
      </c>
      <c r="S809" t="s">
        <v>3</v>
      </c>
      <c r="T809">
        <v>109970.96</v>
      </c>
      <c r="U809" t="s">
        <v>2290</v>
      </c>
      <c r="V809" t="s">
        <v>2291</v>
      </c>
      <c r="W809">
        <v>-0.86</v>
      </c>
    </row>
    <row r="810" spans="1:23">
      <c r="A810" t="str">
        <f>"002345"</f>
        <v>002345</v>
      </c>
      <c r="B810" t="s">
        <v>2292</v>
      </c>
      <c r="C810">
        <v>17.399999999999999</v>
      </c>
      <c r="D810">
        <v>17.84</v>
      </c>
      <c r="E810">
        <v>17.399999999999999</v>
      </c>
      <c r="F810">
        <v>17.78</v>
      </c>
      <c r="G810">
        <v>58514</v>
      </c>
      <c r="H810">
        <v>103078840</v>
      </c>
      <c r="I810">
        <v>1.89</v>
      </c>
      <c r="J810" t="s">
        <v>1373</v>
      </c>
      <c r="K810" t="s">
        <v>211</v>
      </c>
      <c r="L810">
        <v>2.1800000000000002</v>
      </c>
      <c r="M810">
        <v>17.62</v>
      </c>
      <c r="N810">
        <v>26219</v>
      </c>
      <c r="O810">
        <v>32294</v>
      </c>
      <c r="P810">
        <v>0.81</v>
      </c>
      <c r="Q810">
        <v>188</v>
      </c>
      <c r="R810">
        <v>361</v>
      </c>
      <c r="S810" t="s">
        <v>3</v>
      </c>
      <c r="T810">
        <v>35976</v>
      </c>
      <c r="U810" t="s">
        <v>2293</v>
      </c>
      <c r="V810" t="s">
        <v>2294</v>
      </c>
      <c r="W810">
        <v>2.34</v>
      </c>
    </row>
    <row r="811" spans="1:23">
      <c r="A811" t="str">
        <f>"002346"</f>
        <v>002346</v>
      </c>
      <c r="B811" t="s">
        <v>2295</v>
      </c>
      <c r="C811">
        <v>11.75</v>
      </c>
      <c r="D811">
        <v>11.75</v>
      </c>
      <c r="E811">
        <v>11.29</v>
      </c>
      <c r="F811">
        <v>11.61</v>
      </c>
      <c r="G811">
        <v>81565</v>
      </c>
      <c r="H811">
        <v>93336240</v>
      </c>
      <c r="I811">
        <v>1.06</v>
      </c>
      <c r="J811" t="s">
        <v>258</v>
      </c>
      <c r="K811" t="s">
        <v>727</v>
      </c>
      <c r="L811">
        <v>-0.77</v>
      </c>
      <c r="M811">
        <v>11.44</v>
      </c>
      <c r="N811">
        <v>48380</v>
      </c>
      <c r="O811">
        <v>33185</v>
      </c>
      <c r="P811">
        <v>1.46</v>
      </c>
      <c r="Q811">
        <v>2</v>
      </c>
      <c r="R811">
        <v>254</v>
      </c>
      <c r="S811" t="s">
        <v>3</v>
      </c>
      <c r="T811">
        <v>7000</v>
      </c>
      <c r="U811" t="s">
        <v>2296</v>
      </c>
      <c r="V811" t="s">
        <v>2297</v>
      </c>
      <c r="W811">
        <v>-0.61</v>
      </c>
    </row>
    <row r="812" spans="1:23">
      <c r="A812" t="str">
        <f>"002347"</f>
        <v>002347</v>
      </c>
      <c r="B812" t="s">
        <v>2298</v>
      </c>
      <c r="C812">
        <v>10.76</v>
      </c>
      <c r="D812">
        <v>11.08</v>
      </c>
      <c r="E812">
        <v>10.69</v>
      </c>
      <c r="F812">
        <v>11.01</v>
      </c>
      <c r="G812">
        <v>25037</v>
      </c>
      <c r="H812">
        <v>27358432</v>
      </c>
      <c r="I812">
        <v>0.79</v>
      </c>
      <c r="J812" t="s">
        <v>398</v>
      </c>
      <c r="K812" t="s">
        <v>220</v>
      </c>
      <c r="L812">
        <v>2.13</v>
      </c>
      <c r="M812">
        <v>10.93</v>
      </c>
      <c r="N812">
        <v>10714</v>
      </c>
      <c r="O812">
        <v>14322</v>
      </c>
      <c r="P812">
        <v>0.75</v>
      </c>
      <c r="Q812">
        <v>90</v>
      </c>
      <c r="R812">
        <v>109</v>
      </c>
      <c r="S812" t="s">
        <v>3</v>
      </c>
      <c r="T812">
        <v>9864.25</v>
      </c>
      <c r="U812" t="s">
        <v>2299</v>
      </c>
      <c r="V812" t="s">
        <v>1523</v>
      </c>
      <c r="W812">
        <v>2.29</v>
      </c>
    </row>
    <row r="813" spans="1:23">
      <c r="A813" t="str">
        <f>"002348"</f>
        <v>002348</v>
      </c>
      <c r="B813" t="s">
        <v>2300</v>
      </c>
      <c r="C813">
        <v>9.23</v>
      </c>
      <c r="D813">
        <v>9.3699999999999992</v>
      </c>
      <c r="E813">
        <v>9.08</v>
      </c>
      <c r="F813">
        <v>9.25</v>
      </c>
      <c r="G813">
        <v>89915</v>
      </c>
      <c r="H813">
        <v>82907760</v>
      </c>
      <c r="I813">
        <v>0.71</v>
      </c>
      <c r="J813" t="s">
        <v>51</v>
      </c>
      <c r="K813" t="s">
        <v>211</v>
      </c>
      <c r="L813">
        <v>0.22</v>
      </c>
      <c r="M813">
        <v>9.2200000000000006</v>
      </c>
      <c r="N813">
        <v>52227</v>
      </c>
      <c r="O813">
        <v>37687</v>
      </c>
      <c r="P813">
        <v>1.39</v>
      </c>
      <c r="Q813">
        <v>407</v>
      </c>
      <c r="R813">
        <v>785</v>
      </c>
      <c r="S813" t="s">
        <v>3</v>
      </c>
      <c r="T813">
        <v>33766.39</v>
      </c>
      <c r="U813" t="s">
        <v>2301</v>
      </c>
      <c r="V813" t="s">
        <v>2302</v>
      </c>
      <c r="W813">
        <v>0.38</v>
      </c>
    </row>
    <row r="814" spans="1:23">
      <c r="A814" t="str">
        <f>"002349"</f>
        <v>002349</v>
      </c>
      <c r="B814" t="s">
        <v>2303</v>
      </c>
      <c r="C814">
        <v>21.2</v>
      </c>
      <c r="D814">
        <v>22.3</v>
      </c>
      <c r="E814">
        <v>21</v>
      </c>
      <c r="F814">
        <v>21.79</v>
      </c>
      <c r="G814">
        <v>35728</v>
      </c>
      <c r="H814">
        <v>77631256</v>
      </c>
      <c r="I814">
        <v>1.39</v>
      </c>
      <c r="J814" t="s">
        <v>321</v>
      </c>
      <c r="K814" t="s">
        <v>244</v>
      </c>
      <c r="L814">
        <v>3.76</v>
      </c>
      <c r="M814">
        <v>21.73</v>
      </c>
      <c r="N814">
        <v>12907</v>
      </c>
      <c r="O814">
        <v>22820</v>
      </c>
      <c r="P814">
        <v>0.56999999999999995</v>
      </c>
      <c r="Q814">
        <v>91</v>
      </c>
      <c r="R814">
        <v>26</v>
      </c>
      <c r="S814" t="s">
        <v>3</v>
      </c>
      <c r="T814">
        <v>19737.91</v>
      </c>
      <c r="U814" t="s">
        <v>1020</v>
      </c>
      <c r="V814" t="s">
        <v>2304</v>
      </c>
      <c r="W814">
        <v>3.92</v>
      </c>
    </row>
    <row r="815" spans="1:23">
      <c r="A815" t="str">
        <f>"002350"</f>
        <v>002350</v>
      </c>
      <c r="B815" t="s">
        <v>2305</v>
      </c>
      <c r="C815">
        <v>11.81</v>
      </c>
      <c r="D815">
        <v>11.98</v>
      </c>
      <c r="E815">
        <v>11.74</v>
      </c>
      <c r="F815">
        <v>11.9</v>
      </c>
      <c r="G815">
        <v>30193</v>
      </c>
      <c r="H815">
        <v>35832656</v>
      </c>
      <c r="I815">
        <v>0.9</v>
      </c>
      <c r="J815" t="s">
        <v>145</v>
      </c>
      <c r="K815" t="s">
        <v>34</v>
      </c>
      <c r="L815">
        <v>1.02</v>
      </c>
      <c r="M815">
        <v>11.87</v>
      </c>
      <c r="N815">
        <v>14595</v>
      </c>
      <c r="O815">
        <v>15598</v>
      </c>
      <c r="P815">
        <v>0.94</v>
      </c>
      <c r="Q815">
        <v>61</v>
      </c>
      <c r="R815">
        <v>285</v>
      </c>
      <c r="S815" t="s">
        <v>3</v>
      </c>
      <c r="T815">
        <v>21821.63</v>
      </c>
      <c r="U815" t="s">
        <v>2306</v>
      </c>
      <c r="V815" t="s">
        <v>2307</v>
      </c>
      <c r="W815">
        <v>1.18</v>
      </c>
    </row>
    <row r="816" spans="1:23">
      <c r="A816" t="str">
        <f>"002351"</f>
        <v>002351</v>
      </c>
      <c r="B816" t="s">
        <v>2308</v>
      </c>
      <c r="C816">
        <v>14.16</v>
      </c>
      <c r="D816">
        <v>14.35</v>
      </c>
      <c r="E816">
        <v>14.01</v>
      </c>
      <c r="F816">
        <v>14.32</v>
      </c>
      <c r="G816">
        <v>35169</v>
      </c>
      <c r="H816">
        <v>49915044</v>
      </c>
      <c r="I816">
        <v>0.56999999999999995</v>
      </c>
      <c r="J816" t="s">
        <v>66</v>
      </c>
      <c r="K816" t="s">
        <v>2</v>
      </c>
      <c r="L816">
        <v>1.34</v>
      </c>
      <c r="M816">
        <v>14.19</v>
      </c>
      <c r="N816">
        <v>15538</v>
      </c>
      <c r="O816">
        <v>19630</v>
      </c>
      <c r="P816">
        <v>0.79</v>
      </c>
      <c r="Q816">
        <v>212</v>
      </c>
      <c r="R816">
        <v>174</v>
      </c>
      <c r="S816" t="s">
        <v>3</v>
      </c>
      <c r="T816">
        <v>12439.8</v>
      </c>
      <c r="U816" t="s">
        <v>2309</v>
      </c>
      <c r="V816" t="s">
        <v>2310</v>
      </c>
      <c r="W816">
        <v>1.5</v>
      </c>
    </row>
    <row r="817" spans="1:23">
      <c r="A817" t="str">
        <f>"002352"</f>
        <v>002352</v>
      </c>
      <c r="B817" t="s">
        <v>2311</v>
      </c>
      <c r="C817">
        <v>24.12</v>
      </c>
      <c r="D817">
        <v>24.55</v>
      </c>
      <c r="E817">
        <v>24.11</v>
      </c>
      <c r="F817">
        <v>24.36</v>
      </c>
      <c r="G817">
        <v>7785</v>
      </c>
      <c r="H817">
        <v>18964442</v>
      </c>
      <c r="I817">
        <v>0.79</v>
      </c>
      <c r="J817" t="s">
        <v>838</v>
      </c>
      <c r="K817" t="s">
        <v>220</v>
      </c>
      <c r="L817">
        <v>0.62</v>
      </c>
      <c r="M817">
        <v>24.36</v>
      </c>
      <c r="N817">
        <v>4291</v>
      </c>
      <c r="O817">
        <v>3494</v>
      </c>
      <c r="P817">
        <v>1.23</v>
      </c>
      <c r="Q817">
        <v>33</v>
      </c>
      <c r="R817">
        <v>33</v>
      </c>
      <c r="S817" t="s">
        <v>3</v>
      </c>
      <c r="T817">
        <v>3839.22</v>
      </c>
      <c r="U817" t="s">
        <v>2312</v>
      </c>
      <c r="V817" t="s">
        <v>2313</v>
      </c>
      <c r="W817">
        <v>0.78</v>
      </c>
    </row>
    <row r="818" spans="1:23">
      <c r="A818" t="str">
        <f>"002353"</f>
        <v>002353</v>
      </c>
      <c r="B818" t="s">
        <v>2314</v>
      </c>
      <c r="C818">
        <v>41.26</v>
      </c>
      <c r="D818">
        <v>43.8</v>
      </c>
      <c r="E818">
        <v>41.26</v>
      </c>
      <c r="F818">
        <v>43.07</v>
      </c>
      <c r="G818">
        <v>144226</v>
      </c>
      <c r="H818">
        <v>619193408</v>
      </c>
      <c r="I818">
        <v>1.3</v>
      </c>
      <c r="J818" t="s">
        <v>1082</v>
      </c>
      <c r="K818" t="s">
        <v>250</v>
      </c>
      <c r="L818">
        <v>4.3899999999999997</v>
      </c>
      <c r="M818">
        <v>42.93</v>
      </c>
      <c r="N818">
        <v>66548</v>
      </c>
      <c r="O818">
        <v>77678</v>
      </c>
      <c r="P818">
        <v>0.86</v>
      </c>
      <c r="Q818">
        <v>183</v>
      </c>
      <c r="R818">
        <v>312</v>
      </c>
      <c r="S818" t="s">
        <v>3</v>
      </c>
      <c r="T818">
        <v>53036.67</v>
      </c>
      <c r="U818" t="s">
        <v>2315</v>
      </c>
      <c r="V818" t="s">
        <v>2316</v>
      </c>
      <c r="W818">
        <v>4.55</v>
      </c>
    </row>
    <row r="819" spans="1:23">
      <c r="A819" t="str">
        <f>"002354"</f>
        <v>002354</v>
      </c>
      <c r="B819" t="s">
        <v>2317</v>
      </c>
      <c r="C819">
        <v>47.61</v>
      </c>
      <c r="D819">
        <v>49.89</v>
      </c>
      <c r="E819">
        <v>47.61</v>
      </c>
      <c r="F819">
        <v>49.59</v>
      </c>
      <c r="G819">
        <v>14164</v>
      </c>
      <c r="H819">
        <v>69355856</v>
      </c>
      <c r="I819">
        <v>2.27</v>
      </c>
      <c r="J819" t="s">
        <v>1183</v>
      </c>
      <c r="K819" t="s">
        <v>162</v>
      </c>
      <c r="L819">
        <v>4.38</v>
      </c>
      <c r="M819">
        <v>48.97</v>
      </c>
      <c r="N819">
        <v>4745</v>
      </c>
      <c r="O819">
        <v>9418</v>
      </c>
      <c r="P819">
        <v>0.5</v>
      </c>
      <c r="Q819">
        <v>74</v>
      </c>
      <c r="R819">
        <v>170</v>
      </c>
      <c r="S819" t="s">
        <v>3</v>
      </c>
      <c r="T819">
        <v>6531.25</v>
      </c>
      <c r="U819" t="s">
        <v>2318</v>
      </c>
      <c r="V819" t="s">
        <v>2319</v>
      </c>
      <c r="W819">
        <v>4.54</v>
      </c>
    </row>
    <row r="820" spans="1:23">
      <c r="A820" t="str">
        <f>"002355"</f>
        <v>002355</v>
      </c>
      <c r="B820" t="s">
        <v>2320</v>
      </c>
      <c r="C820">
        <v>7.05</v>
      </c>
      <c r="D820">
        <v>7.13</v>
      </c>
      <c r="E820">
        <v>6.96</v>
      </c>
      <c r="F820">
        <v>7.06</v>
      </c>
      <c r="G820">
        <v>140882</v>
      </c>
      <c r="H820">
        <v>99143464</v>
      </c>
      <c r="I820">
        <v>0.99</v>
      </c>
      <c r="J820" t="s">
        <v>98</v>
      </c>
      <c r="K820" t="s">
        <v>250</v>
      </c>
      <c r="L820">
        <v>-0.28000000000000003</v>
      </c>
      <c r="M820">
        <v>7.04</v>
      </c>
      <c r="N820">
        <v>82134</v>
      </c>
      <c r="O820">
        <v>58748</v>
      </c>
      <c r="P820">
        <v>1.4</v>
      </c>
      <c r="Q820">
        <v>794</v>
      </c>
      <c r="R820">
        <v>227</v>
      </c>
      <c r="S820" t="s">
        <v>3</v>
      </c>
      <c r="T820">
        <v>33964.69</v>
      </c>
      <c r="U820" t="s">
        <v>2321</v>
      </c>
      <c r="V820" t="s">
        <v>2322</v>
      </c>
      <c r="W820">
        <v>-0.12</v>
      </c>
    </row>
    <row r="821" spans="1:23">
      <c r="A821" t="str">
        <f>"002356"</f>
        <v>002356</v>
      </c>
      <c r="B821" t="s">
        <v>2323</v>
      </c>
      <c r="C821">
        <v>42.39</v>
      </c>
      <c r="D821">
        <v>42.99</v>
      </c>
      <c r="E821">
        <v>41.25</v>
      </c>
      <c r="F821">
        <v>42.3</v>
      </c>
      <c r="G821">
        <v>10470</v>
      </c>
      <c r="H821">
        <v>44210448</v>
      </c>
      <c r="I821">
        <v>0.75</v>
      </c>
      <c r="J821" t="s">
        <v>617</v>
      </c>
      <c r="K821" t="s">
        <v>2</v>
      </c>
      <c r="L821">
        <v>-0.49</v>
      </c>
      <c r="M821">
        <v>42.22</v>
      </c>
      <c r="N821">
        <v>6185</v>
      </c>
      <c r="O821">
        <v>4285</v>
      </c>
      <c r="P821">
        <v>1.44</v>
      </c>
      <c r="Q821">
        <v>7</v>
      </c>
      <c r="R821">
        <v>173</v>
      </c>
      <c r="S821" t="s">
        <v>3</v>
      </c>
      <c r="T821">
        <v>8000</v>
      </c>
      <c r="U821" t="s">
        <v>2324</v>
      </c>
      <c r="V821" t="s">
        <v>2324</v>
      </c>
      <c r="W821">
        <v>-0.34</v>
      </c>
    </row>
    <row r="822" spans="1:23">
      <c r="A822" t="str">
        <f>"002357"</f>
        <v>002357</v>
      </c>
      <c r="B822" t="s">
        <v>2325</v>
      </c>
      <c r="C822">
        <v>15.9</v>
      </c>
      <c r="D822">
        <v>16.45</v>
      </c>
      <c r="E822">
        <v>15.78</v>
      </c>
      <c r="F822">
        <v>15.95</v>
      </c>
      <c r="G822">
        <v>39260</v>
      </c>
      <c r="H822">
        <v>63134740</v>
      </c>
      <c r="I822">
        <v>0.89</v>
      </c>
      <c r="J822" t="s">
        <v>1350</v>
      </c>
      <c r="K822" t="s">
        <v>225</v>
      </c>
      <c r="L822">
        <v>0.06</v>
      </c>
      <c r="M822">
        <v>16.079999999999998</v>
      </c>
      <c r="N822">
        <v>21110</v>
      </c>
      <c r="O822">
        <v>18150</v>
      </c>
      <c r="P822">
        <v>1.1599999999999999</v>
      </c>
      <c r="Q822">
        <v>76</v>
      </c>
      <c r="R822">
        <v>42</v>
      </c>
      <c r="S822" t="s">
        <v>3</v>
      </c>
      <c r="T822">
        <v>19472.84</v>
      </c>
      <c r="U822" t="s">
        <v>2326</v>
      </c>
      <c r="V822" t="s">
        <v>2327</v>
      </c>
      <c r="W822">
        <v>0.22</v>
      </c>
    </row>
    <row r="823" spans="1:23">
      <c r="A823" t="str">
        <f>"002358"</f>
        <v>002358</v>
      </c>
      <c r="B823" t="s">
        <v>2328</v>
      </c>
      <c r="C823" t="s">
        <v>3</v>
      </c>
      <c r="D823" t="s">
        <v>3</v>
      </c>
      <c r="E823" t="s">
        <v>3</v>
      </c>
      <c r="F823">
        <v>0</v>
      </c>
      <c r="G823">
        <v>0</v>
      </c>
      <c r="H823">
        <v>0</v>
      </c>
      <c r="I823">
        <v>0</v>
      </c>
      <c r="J823" t="s">
        <v>145</v>
      </c>
      <c r="K823" t="s">
        <v>254</v>
      </c>
      <c r="L823" t="s">
        <v>3</v>
      </c>
      <c r="M823">
        <v>30.9</v>
      </c>
      <c r="N823">
        <v>0</v>
      </c>
      <c r="O823">
        <v>0</v>
      </c>
      <c r="P823" t="s">
        <v>3</v>
      </c>
      <c r="Q823">
        <v>0</v>
      </c>
      <c r="R823">
        <v>0</v>
      </c>
      <c r="S823" t="s">
        <v>3</v>
      </c>
      <c r="T823">
        <v>15073.24</v>
      </c>
      <c r="U823" t="s">
        <v>2329</v>
      </c>
      <c r="V823" t="s">
        <v>2330</v>
      </c>
      <c r="W823">
        <v>0.16</v>
      </c>
    </row>
    <row r="824" spans="1:23">
      <c r="A824" t="str">
        <f>"002359"</f>
        <v>002359</v>
      </c>
      <c r="B824" t="s">
        <v>2331</v>
      </c>
      <c r="C824">
        <v>7.14</v>
      </c>
      <c r="D824">
        <v>7.14</v>
      </c>
      <c r="E824">
        <v>7.02</v>
      </c>
      <c r="F824">
        <v>7.1</v>
      </c>
      <c r="G824">
        <v>84789</v>
      </c>
      <c r="H824">
        <v>60018912</v>
      </c>
      <c r="I824">
        <v>0.72</v>
      </c>
      <c r="J824" t="s">
        <v>838</v>
      </c>
      <c r="K824" t="s">
        <v>250</v>
      </c>
      <c r="L824">
        <v>-0.7</v>
      </c>
      <c r="M824">
        <v>7.08</v>
      </c>
      <c r="N824">
        <v>50486</v>
      </c>
      <c r="O824">
        <v>34303</v>
      </c>
      <c r="P824">
        <v>1.47</v>
      </c>
      <c r="Q824">
        <v>144</v>
      </c>
      <c r="R824">
        <v>33</v>
      </c>
      <c r="S824" t="s">
        <v>3</v>
      </c>
      <c r="T824">
        <v>34848.639999999999</v>
      </c>
      <c r="U824" t="s">
        <v>2332</v>
      </c>
      <c r="V824" t="s">
        <v>190</v>
      </c>
      <c r="W824">
        <v>-0.54</v>
      </c>
    </row>
    <row r="825" spans="1:23">
      <c r="A825" t="str">
        <f>"002360"</f>
        <v>002360</v>
      </c>
      <c r="B825" t="s">
        <v>2333</v>
      </c>
      <c r="C825">
        <v>7.88</v>
      </c>
      <c r="D825">
        <v>8.27</v>
      </c>
      <c r="E825">
        <v>7.82</v>
      </c>
      <c r="F825">
        <v>8.24</v>
      </c>
      <c r="G825">
        <v>177934</v>
      </c>
      <c r="H825">
        <v>144046208</v>
      </c>
      <c r="I825">
        <v>1.57</v>
      </c>
      <c r="J825" t="s">
        <v>376</v>
      </c>
      <c r="K825" t="s">
        <v>742</v>
      </c>
      <c r="L825">
        <v>4.7</v>
      </c>
      <c r="M825">
        <v>8.1</v>
      </c>
      <c r="N825">
        <v>73869</v>
      </c>
      <c r="O825">
        <v>104065</v>
      </c>
      <c r="P825">
        <v>0.71</v>
      </c>
      <c r="Q825">
        <v>4369</v>
      </c>
      <c r="R825">
        <v>963</v>
      </c>
      <c r="S825" t="s">
        <v>3</v>
      </c>
      <c r="T825">
        <v>23059.14</v>
      </c>
      <c r="U825" t="s">
        <v>2334</v>
      </c>
      <c r="V825" t="s">
        <v>2335</v>
      </c>
      <c r="W825">
        <v>4.8600000000000003</v>
      </c>
    </row>
    <row r="826" spans="1:23">
      <c r="A826" t="str">
        <f>"002361"</f>
        <v>002361</v>
      </c>
      <c r="B826" t="s">
        <v>2336</v>
      </c>
      <c r="C826">
        <v>7.35</v>
      </c>
      <c r="D826">
        <v>7.42</v>
      </c>
      <c r="E826">
        <v>7.29</v>
      </c>
      <c r="F826">
        <v>7.36</v>
      </c>
      <c r="G826">
        <v>52840</v>
      </c>
      <c r="H826">
        <v>38833176</v>
      </c>
      <c r="I826">
        <v>1.03</v>
      </c>
      <c r="J826" t="s">
        <v>376</v>
      </c>
      <c r="K826" t="s">
        <v>220</v>
      </c>
      <c r="L826">
        <v>0.55000000000000004</v>
      </c>
      <c r="M826">
        <v>7.35</v>
      </c>
      <c r="N826">
        <v>27886</v>
      </c>
      <c r="O826">
        <v>24954</v>
      </c>
      <c r="P826">
        <v>1.1200000000000001</v>
      </c>
      <c r="Q826">
        <v>316</v>
      </c>
      <c r="R826">
        <v>677</v>
      </c>
      <c r="S826" t="s">
        <v>3</v>
      </c>
      <c r="T826">
        <v>17698.189999999999</v>
      </c>
      <c r="U826" t="s">
        <v>2337</v>
      </c>
      <c r="V826" t="s">
        <v>2338</v>
      </c>
      <c r="W826">
        <v>0.7</v>
      </c>
    </row>
    <row r="827" spans="1:23">
      <c r="A827" t="str">
        <f>"002362"</f>
        <v>002362</v>
      </c>
      <c r="B827" t="s">
        <v>2339</v>
      </c>
      <c r="C827">
        <v>20.75</v>
      </c>
      <c r="D827">
        <v>20.98</v>
      </c>
      <c r="E827">
        <v>20.3</v>
      </c>
      <c r="F827">
        <v>20.38</v>
      </c>
      <c r="G827">
        <v>88669</v>
      </c>
      <c r="H827">
        <v>182326032</v>
      </c>
      <c r="I827">
        <v>1</v>
      </c>
      <c r="J827" t="s">
        <v>66</v>
      </c>
      <c r="K827" t="s">
        <v>34</v>
      </c>
      <c r="L827">
        <v>-0.78</v>
      </c>
      <c r="M827">
        <v>20.56</v>
      </c>
      <c r="N827">
        <v>48114</v>
      </c>
      <c r="O827">
        <v>40555</v>
      </c>
      <c r="P827">
        <v>1.19</v>
      </c>
      <c r="Q827">
        <v>171</v>
      </c>
      <c r="R827">
        <v>10</v>
      </c>
      <c r="S827" t="s">
        <v>3</v>
      </c>
      <c r="T827">
        <v>17550.88</v>
      </c>
      <c r="U827" t="s">
        <v>2340</v>
      </c>
      <c r="V827" t="s">
        <v>333</v>
      </c>
      <c r="W827">
        <v>-0.62</v>
      </c>
    </row>
    <row r="828" spans="1:23">
      <c r="A828" t="str">
        <f>"002363"</f>
        <v>002363</v>
      </c>
      <c r="B828" t="s">
        <v>2341</v>
      </c>
      <c r="C828">
        <v>10.96</v>
      </c>
      <c r="D828">
        <v>11.35</v>
      </c>
      <c r="E828">
        <v>10.59</v>
      </c>
      <c r="F828">
        <v>11.28</v>
      </c>
      <c r="G828">
        <v>136851</v>
      </c>
      <c r="H828">
        <v>151108384</v>
      </c>
      <c r="I828">
        <v>1.4</v>
      </c>
      <c r="J828" t="s">
        <v>98</v>
      </c>
      <c r="K828" t="s">
        <v>250</v>
      </c>
      <c r="L828">
        <v>3.49</v>
      </c>
      <c r="M828">
        <v>11.04</v>
      </c>
      <c r="N828">
        <v>63822</v>
      </c>
      <c r="O828">
        <v>73028</v>
      </c>
      <c r="P828">
        <v>0.87</v>
      </c>
      <c r="Q828">
        <v>287</v>
      </c>
      <c r="R828">
        <v>886</v>
      </c>
      <c r="S828" t="s">
        <v>3</v>
      </c>
      <c r="T828">
        <v>29880</v>
      </c>
      <c r="U828" t="s">
        <v>2342</v>
      </c>
      <c r="V828" t="s">
        <v>2342</v>
      </c>
      <c r="W828">
        <v>3.64</v>
      </c>
    </row>
    <row r="829" spans="1:23">
      <c r="A829" t="str">
        <f>"002364"</f>
        <v>002364</v>
      </c>
      <c r="B829" t="s">
        <v>2343</v>
      </c>
      <c r="C829">
        <v>22.59</v>
      </c>
      <c r="D829">
        <v>22.8</v>
      </c>
      <c r="E829">
        <v>21.85</v>
      </c>
      <c r="F829">
        <v>22.13</v>
      </c>
      <c r="G829">
        <v>32070</v>
      </c>
      <c r="H829">
        <v>70931432</v>
      </c>
      <c r="I829">
        <v>1.17</v>
      </c>
      <c r="J829" t="s">
        <v>145</v>
      </c>
      <c r="K829" t="s">
        <v>229</v>
      </c>
      <c r="L829">
        <v>-2.5099999999999998</v>
      </c>
      <c r="M829">
        <v>22.12</v>
      </c>
      <c r="N829">
        <v>20161</v>
      </c>
      <c r="O829">
        <v>11908</v>
      </c>
      <c r="P829">
        <v>1.69</v>
      </c>
      <c r="Q829">
        <v>49</v>
      </c>
      <c r="R829">
        <v>88</v>
      </c>
      <c r="S829" t="s">
        <v>3</v>
      </c>
      <c r="T829">
        <v>19789.05</v>
      </c>
      <c r="U829" t="s">
        <v>2344</v>
      </c>
      <c r="V829" t="s">
        <v>2345</v>
      </c>
      <c r="W829">
        <v>-2.35</v>
      </c>
    </row>
    <row r="830" spans="1:23">
      <c r="A830" t="str">
        <f>"002365"</f>
        <v>002365</v>
      </c>
      <c r="B830" t="s">
        <v>2346</v>
      </c>
      <c r="C830">
        <v>12.37</v>
      </c>
      <c r="D830">
        <v>12.37</v>
      </c>
      <c r="E830">
        <v>12.17</v>
      </c>
      <c r="F830">
        <v>12.3</v>
      </c>
      <c r="G830">
        <v>32161</v>
      </c>
      <c r="H830">
        <v>39411332</v>
      </c>
      <c r="I830">
        <v>0.77</v>
      </c>
      <c r="J830" t="s">
        <v>11</v>
      </c>
      <c r="K830" t="s">
        <v>317</v>
      </c>
      <c r="L830">
        <v>-0.24</v>
      </c>
      <c r="M830">
        <v>12.25</v>
      </c>
      <c r="N830">
        <v>17798</v>
      </c>
      <c r="O830">
        <v>14362</v>
      </c>
      <c r="P830">
        <v>1.24</v>
      </c>
      <c r="Q830">
        <v>70</v>
      </c>
      <c r="R830">
        <v>109</v>
      </c>
      <c r="S830" t="s">
        <v>3</v>
      </c>
      <c r="T830">
        <v>13834.84</v>
      </c>
      <c r="U830" t="s">
        <v>2347</v>
      </c>
      <c r="V830" t="s">
        <v>2348</v>
      </c>
      <c r="W830">
        <v>-0.08</v>
      </c>
    </row>
    <row r="831" spans="1:23">
      <c r="A831" t="str">
        <f>"002366"</f>
        <v>002366</v>
      </c>
      <c r="B831" t="s">
        <v>2349</v>
      </c>
      <c r="C831">
        <v>32.04</v>
      </c>
      <c r="D831">
        <v>32.04</v>
      </c>
      <c r="E831">
        <v>30.7</v>
      </c>
      <c r="F831">
        <v>30.97</v>
      </c>
      <c r="G831">
        <v>58525</v>
      </c>
      <c r="H831">
        <v>182585504</v>
      </c>
      <c r="I831">
        <v>0.68</v>
      </c>
      <c r="J831" t="s">
        <v>233</v>
      </c>
      <c r="K831" t="s">
        <v>225</v>
      </c>
      <c r="L831">
        <v>-3.22</v>
      </c>
      <c r="M831">
        <v>31.2</v>
      </c>
      <c r="N831">
        <v>36212</v>
      </c>
      <c r="O831">
        <v>22312</v>
      </c>
      <c r="P831">
        <v>1.62</v>
      </c>
      <c r="Q831">
        <v>4</v>
      </c>
      <c r="R831">
        <v>253</v>
      </c>
      <c r="S831" t="s">
        <v>3</v>
      </c>
      <c r="T831">
        <v>10477.549999999999</v>
      </c>
      <c r="U831" t="s">
        <v>1636</v>
      </c>
      <c r="V831" t="s">
        <v>2350</v>
      </c>
      <c r="W831">
        <v>-3.06</v>
      </c>
    </row>
    <row r="832" spans="1:23">
      <c r="A832" t="str">
        <f>"002367"</f>
        <v>002367</v>
      </c>
      <c r="B832" t="s">
        <v>2351</v>
      </c>
      <c r="C832">
        <v>8.51</v>
      </c>
      <c r="D832">
        <v>8.5299999999999994</v>
      </c>
      <c r="E832">
        <v>8.34</v>
      </c>
      <c r="F832">
        <v>8.42</v>
      </c>
      <c r="G832">
        <v>101438</v>
      </c>
      <c r="H832">
        <v>85305136</v>
      </c>
      <c r="I832">
        <v>1.1000000000000001</v>
      </c>
      <c r="J832" t="s">
        <v>1208</v>
      </c>
      <c r="K832" t="s">
        <v>244</v>
      </c>
      <c r="L832">
        <v>-1.29</v>
      </c>
      <c r="M832">
        <v>8.41</v>
      </c>
      <c r="N832">
        <v>42758</v>
      </c>
      <c r="O832">
        <v>58679</v>
      </c>
      <c r="P832">
        <v>0.73</v>
      </c>
      <c r="Q832">
        <v>215</v>
      </c>
      <c r="R832">
        <v>237</v>
      </c>
      <c r="S832" t="s">
        <v>3</v>
      </c>
      <c r="T832">
        <v>44518.73</v>
      </c>
      <c r="U832" t="s">
        <v>2352</v>
      </c>
      <c r="V832" t="s">
        <v>2353</v>
      </c>
      <c r="W832">
        <v>-1.1299999999999999</v>
      </c>
    </row>
    <row r="833" spans="1:23">
      <c r="A833" t="str">
        <f>"002368"</f>
        <v>002368</v>
      </c>
      <c r="B833" t="s">
        <v>2354</v>
      </c>
      <c r="C833">
        <v>41.37</v>
      </c>
      <c r="D833">
        <v>41.8</v>
      </c>
      <c r="E833">
        <v>41.23</v>
      </c>
      <c r="F833">
        <v>41.49</v>
      </c>
      <c r="G833">
        <v>12673</v>
      </c>
      <c r="H833">
        <v>52591864</v>
      </c>
      <c r="I833">
        <v>0.42</v>
      </c>
      <c r="J833" t="s">
        <v>758</v>
      </c>
      <c r="K833" t="s">
        <v>34</v>
      </c>
      <c r="L833">
        <v>0.41</v>
      </c>
      <c r="M833">
        <v>41.5</v>
      </c>
      <c r="N833">
        <v>6242</v>
      </c>
      <c r="O833">
        <v>6430</v>
      </c>
      <c r="P833">
        <v>0.97</v>
      </c>
      <c r="Q833">
        <v>66</v>
      </c>
      <c r="R833">
        <v>88</v>
      </c>
      <c r="S833" t="s">
        <v>3</v>
      </c>
      <c r="T833">
        <v>22807.86</v>
      </c>
      <c r="U833" t="s">
        <v>2355</v>
      </c>
      <c r="V833" t="s">
        <v>2356</v>
      </c>
      <c r="W833">
        <v>0.56999999999999995</v>
      </c>
    </row>
    <row r="834" spans="1:23">
      <c r="A834" t="str">
        <f>"002369"</f>
        <v>002369</v>
      </c>
      <c r="B834" t="s">
        <v>2357</v>
      </c>
      <c r="C834">
        <v>11.26</v>
      </c>
      <c r="D834">
        <v>11.32</v>
      </c>
      <c r="E834">
        <v>11.07</v>
      </c>
      <c r="F834">
        <v>11.26</v>
      </c>
      <c r="G834">
        <v>256411</v>
      </c>
      <c r="H834">
        <v>287056000</v>
      </c>
      <c r="I834">
        <v>0.85</v>
      </c>
      <c r="J834" t="s">
        <v>112</v>
      </c>
      <c r="K834" t="s">
        <v>2</v>
      </c>
      <c r="L834">
        <v>-0.44</v>
      </c>
      <c r="M834">
        <v>11.2</v>
      </c>
      <c r="N834">
        <v>135301</v>
      </c>
      <c r="O834">
        <v>121109</v>
      </c>
      <c r="P834">
        <v>1.1200000000000001</v>
      </c>
      <c r="Q834">
        <v>1011</v>
      </c>
      <c r="R834">
        <v>603</v>
      </c>
      <c r="S834" t="s">
        <v>3</v>
      </c>
      <c r="T834">
        <v>35093.599999999999</v>
      </c>
      <c r="U834" t="s">
        <v>2358</v>
      </c>
      <c r="V834" t="s">
        <v>2359</v>
      </c>
      <c r="W834">
        <v>-0.28000000000000003</v>
      </c>
    </row>
    <row r="835" spans="1:23">
      <c r="A835" t="str">
        <f>"002370"</f>
        <v>002370</v>
      </c>
      <c r="B835" t="s">
        <v>2360</v>
      </c>
      <c r="C835">
        <v>15.17</v>
      </c>
      <c r="D835">
        <v>15.65</v>
      </c>
      <c r="E835">
        <v>15</v>
      </c>
      <c r="F835">
        <v>15.54</v>
      </c>
      <c r="G835">
        <v>40225</v>
      </c>
      <c r="H835">
        <v>61801400</v>
      </c>
      <c r="I835">
        <v>1.36</v>
      </c>
      <c r="J835" t="s">
        <v>219</v>
      </c>
      <c r="K835" t="s">
        <v>229</v>
      </c>
      <c r="L835">
        <v>2.5099999999999998</v>
      </c>
      <c r="M835">
        <v>15.36</v>
      </c>
      <c r="N835">
        <v>17628</v>
      </c>
      <c r="O835">
        <v>22597</v>
      </c>
      <c r="P835">
        <v>0.78</v>
      </c>
      <c r="Q835">
        <v>135</v>
      </c>
      <c r="R835">
        <v>191</v>
      </c>
      <c r="S835" t="s">
        <v>3</v>
      </c>
      <c r="T835">
        <v>14417.91</v>
      </c>
      <c r="U835" t="s">
        <v>2361</v>
      </c>
      <c r="V835" t="s">
        <v>1065</v>
      </c>
      <c r="W835">
        <v>2.67</v>
      </c>
    </row>
    <row r="836" spans="1:23">
      <c r="A836" t="str">
        <f>"002371"</f>
        <v>002371</v>
      </c>
      <c r="B836" t="s">
        <v>2362</v>
      </c>
      <c r="C836">
        <v>23.82</v>
      </c>
      <c r="D836">
        <v>23.82</v>
      </c>
      <c r="E836">
        <v>23.33</v>
      </c>
      <c r="F836">
        <v>23.62</v>
      </c>
      <c r="G836">
        <v>17629</v>
      </c>
      <c r="H836">
        <v>41545552</v>
      </c>
      <c r="I836">
        <v>0.72</v>
      </c>
      <c r="J836" t="s">
        <v>1581</v>
      </c>
      <c r="K836" t="s">
        <v>34</v>
      </c>
      <c r="L836">
        <v>-1.1299999999999999</v>
      </c>
      <c r="M836">
        <v>23.57</v>
      </c>
      <c r="N836">
        <v>11143</v>
      </c>
      <c r="O836">
        <v>6485</v>
      </c>
      <c r="P836">
        <v>1.72</v>
      </c>
      <c r="Q836">
        <v>103</v>
      </c>
      <c r="R836">
        <v>232</v>
      </c>
      <c r="S836" t="s">
        <v>3</v>
      </c>
      <c r="T836">
        <v>33281.440000000002</v>
      </c>
      <c r="U836" t="s">
        <v>2363</v>
      </c>
      <c r="V836" t="s">
        <v>2364</v>
      </c>
      <c r="W836">
        <v>-0.97</v>
      </c>
    </row>
    <row r="837" spans="1:23">
      <c r="A837" t="str">
        <f>"002372"</f>
        <v>002372</v>
      </c>
      <c r="B837" t="s">
        <v>2365</v>
      </c>
      <c r="C837">
        <v>13.35</v>
      </c>
      <c r="D837">
        <v>13.37</v>
      </c>
      <c r="E837">
        <v>13.09</v>
      </c>
      <c r="F837">
        <v>13.16</v>
      </c>
      <c r="G837">
        <v>39048</v>
      </c>
      <c r="H837">
        <v>51418472</v>
      </c>
      <c r="I837">
        <v>1.04</v>
      </c>
      <c r="J837" t="s">
        <v>150</v>
      </c>
      <c r="K837" t="s">
        <v>229</v>
      </c>
      <c r="L837">
        <v>-1.2</v>
      </c>
      <c r="M837">
        <v>13.17</v>
      </c>
      <c r="N837">
        <v>24359</v>
      </c>
      <c r="O837">
        <v>14689</v>
      </c>
      <c r="P837">
        <v>1.66</v>
      </c>
      <c r="Q837">
        <v>247</v>
      </c>
      <c r="R837">
        <v>1191</v>
      </c>
      <c r="S837" t="s">
        <v>3</v>
      </c>
      <c r="T837">
        <v>38494.82</v>
      </c>
      <c r="U837" t="s">
        <v>2366</v>
      </c>
      <c r="V837" t="s">
        <v>2367</v>
      </c>
      <c r="W837">
        <v>-1.04</v>
      </c>
    </row>
    <row r="838" spans="1:23">
      <c r="A838" t="str">
        <f>"002373"</f>
        <v>002373</v>
      </c>
      <c r="B838" t="s">
        <v>2368</v>
      </c>
      <c r="C838">
        <v>21.4</v>
      </c>
      <c r="D838">
        <v>23</v>
      </c>
      <c r="E838">
        <v>21.35</v>
      </c>
      <c r="F838">
        <v>23</v>
      </c>
      <c r="G838">
        <v>51670</v>
      </c>
      <c r="H838">
        <v>114391472</v>
      </c>
      <c r="I838">
        <v>2.2400000000000002</v>
      </c>
      <c r="J838" t="s">
        <v>758</v>
      </c>
      <c r="K838" t="s">
        <v>34</v>
      </c>
      <c r="L838">
        <v>7.23</v>
      </c>
      <c r="M838">
        <v>22.14</v>
      </c>
      <c r="N838">
        <v>20363</v>
      </c>
      <c r="O838">
        <v>31306</v>
      </c>
      <c r="P838">
        <v>0.65</v>
      </c>
      <c r="Q838">
        <v>420</v>
      </c>
      <c r="R838">
        <v>145</v>
      </c>
      <c r="S838" t="s">
        <v>3</v>
      </c>
      <c r="T838">
        <v>13483.91</v>
      </c>
      <c r="U838" t="s">
        <v>2369</v>
      </c>
      <c r="V838" t="s">
        <v>2370</v>
      </c>
      <c r="W838">
        <v>7.38</v>
      </c>
    </row>
    <row r="839" spans="1:23">
      <c r="A839" t="str">
        <f>"002374"</f>
        <v>002374</v>
      </c>
      <c r="B839" t="s">
        <v>2371</v>
      </c>
      <c r="C839">
        <v>10.92</v>
      </c>
      <c r="D839">
        <v>10.96</v>
      </c>
      <c r="E839">
        <v>10.68</v>
      </c>
      <c r="F839">
        <v>10.91</v>
      </c>
      <c r="G839">
        <v>52969</v>
      </c>
      <c r="H839">
        <v>57472272</v>
      </c>
      <c r="I839">
        <v>0.8</v>
      </c>
      <c r="J839" t="s">
        <v>707</v>
      </c>
      <c r="K839" t="s">
        <v>250</v>
      </c>
      <c r="L839">
        <v>0.09</v>
      </c>
      <c r="M839">
        <v>10.85</v>
      </c>
      <c r="N839">
        <v>28328</v>
      </c>
      <c r="O839">
        <v>24641</v>
      </c>
      <c r="P839">
        <v>1.1499999999999999</v>
      </c>
      <c r="Q839">
        <v>245</v>
      </c>
      <c r="R839">
        <v>1000</v>
      </c>
      <c r="S839" t="s">
        <v>3</v>
      </c>
      <c r="T839">
        <v>15039.49</v>
      </c>
      <c r="U839" t="s">
        <v>2372</v>
      </c>
      <c r="V839" t="s">
        <v>2373</v>
      </c>
      <c r="W839">
        <v>0.25</v>
      </c>
    </row>
    <row r="840" spans="1:23">
      <c r="A840" t="str">
        <f>"002375"</f>
        <v>002375</v>
      </c>
      <c r="B840" t="s">
        <v>2374</v>
      </c>
      <c r="C840" t="s">
        <v>3</v>
      </c>
      <c r="D840" t="s">
        <v>3</v>
      </c>
      <c r="E840" t="s">
        <v>3</v>
      </c>
      <c r="F840">
        <v>0</v>
      </c>
      <c r="G840">
        <v>0</v>
      </c>
      <c r="H840">
        <v>0</v>
      </c>
      <c r="I840">
        <v>0</v>
      </c>
      <c r="J840" t="s">
        <v>1496</v>
      </c>
      <c r="K840" t="s">
        <v>229</v>
      </c>
      <c r="L840" t="s">
        <v>3</v>
      </c>
      <c r="M840">
        <v>17.8</v>
      </c>
      <c r="N840">
        <v>0</v>
      </c>
      <c r="O840">
        <v>0</v>
      </c>
      <c r="P840" t="s">
        <v>3</v>
      </c>
      <c r="Q840">
        <v>0</v>
      </c>
      <c r="R840">
        <v>0</v>
      </c>
      <c r="S840" t="s">
        <v>3</v>
      </c>
      <c r="T840">
        <v>68105.279999999999</v>
      </c>
      <c r="U840" t="s">
        <v>2375</v>
      </c>
      <c r="V840" t="s">
        <v>2376</v>
      </c>
      <c r="W840">
        <v>0.16</v>
      </c>
    </row>
    <row r="841" spans="1:23">
      <c r="A841" t="str">
        <f>"002376"</f>
        <v>002376</v>
      </c>
      <c r="B841" t="s">
        <v>2377</v>
      </c>
      <c r="C841">
        <v>11.52</v>
      </c>
      <c r="D841">
        <v>11.6</v>
      </c>
      <c r="E841">
        <v>11.37</v>
      </c>
      <c r="F841">
        <v>11.57</v>
      </c>
      <c r="G841">
        <v>125238</v>
      </c>
      <c r="H841">
        <v>144000304</v>
      </c>
      <c r="I841">
        <v>0.91</v>
      </c>
      <c r="J841" t="s">
        <v>66</v>
      </c>
      <c r="K841" t="s">
        <v>250</v>
      </c>
      <c r="L841">
        <v>0.61</v>
      </c>
      <c r="M841">
        <v>11.5</v>
      </c>
      <c r="N841">
        <v>62151</v>
      </c>
      <c r="O841">
        <v>63086</v>
      </c>
      <c r="P841">
        <v>0.99</v>
      </c>
      <c r="Q841">
        <v>282</v>
      </c>
      <c r="R841">
        <v>71</v>
      </c>
      <c r="S841" t="s">
        <v>3</v>
      </c>
      <c r="T841">
        <v>48809.17</v>
      </c>
      <c r="U841" t="s">
        <v>2378</v>
      </c>
      <c r="V841" t="s">
        <v>2379</v>
      </c>
      <c r="W841">
        <v>0.77</v>
      </c>
    </row>
    <row r="842" spans="1:23">
      <c r="A842" t="str">
        <f>"002377"</f>
        <v>002377</v>
      </c>
      <c r="B842" t="s">
        <v>2380</v>
      </c>
      <c r="C842">
        <v>7.2</v>
      </c>
      <c r="D842">
        <v>7.33</v>
      </c>
      <c r="E842">
        <v>7.15</v>
      </c>
      <c r="F842">
        <v>7.31</v>
      </c>
      <c r="G842">
        <v>74746</v>
      </c>
      <c r="H842">
        <v>54204956</v>
      </c>
      <c r="I842">
        <v>1.1599999999999999</v>
      </c>
      <c r="J842" t="s">
        <v>376</v>
      </c>
      <c r="K842" t="s">
        <v>317</v>
      </c>
      <c r="L842">
        <v>1.53</v>
      </c>
      <c r="M842">
        <v>7.25</v>
      </c>
      <c r="N842">
        <v>34240</v>
      </c>
      <c r="O842">
        <v>40506</v>
      </c>
      <c r="P842">
        <v>0.85</v>
      </c>
      <c r="Q842">
        <v>331</v>
      </c>
      <c r="R842">
        <v>53</v>
      </c>
      <c r="S842" t="s">
        <v>3</v>
      </c>
      <c r="T842">
        <v>42800</v>
      </c>
      <c r="U842" t="s">
        <v>2381</v>
      </c>
      <c r="V842" t="s">
        <v>2382</v>
      </c>
      <c r="W842">
        <v>1.69</v>
      </c>
    </row>
    <row r="843" spans="1:23">
      <c r="A843" t="str">
        <f>"002378"</f>
        <v>002378</v>
      </c>
      <c r="B843" t="s">
        <v>2383</v>
      </c>
      <c r="C843">
        <v>19.88</v>
      </c>
      <c r="D843">
        <v>19.920000000000002</v>
      </c>
      <c r="E843">
        <v>19.68</v>
      </c>
      <c r="F843">
        <v>19.809999999999999</v>
      </c>
      <c r="G843">
        <v>19340</v>
      </c>
      <c r="H843">
        <v>38284936</v>
      </c>
      <c r="I843">
        <v>0.81</v>
      </c>
      <c r="J843" t="s">
        <v>328</v>
      </c>
      <c r="K843" t="s">
        <v>265</v>
      </c>
      <c r="L843">
        <v>-0.5</v>
      </c>
      <c r="M843">
        <v>19.8</v>
      </c>
      <c r="N843">
        <v>10979</v>
      </c>
      <c r="O843">
        <v>8361</v>
      </c>
      <c r="P843">
        <v>1.31</v>
      </c>
      <c r="Q843">
        <v>10</v>
      </c>
      <c r="R843">
        <v>79</v>
      </c>
      <c r="S843" t="s">
        <v>3</v>
      </c>
      <c r="T843">
        <v>42821.35</v>
      </c>
      <c r="U843" t="s">
        <v>2384</v>
      </c>
      <c r="V843" t="s">
        <v>2384</v>
      </c>
      <c r="W843">
        <v>-0.34</v>
      </c>
    </row>
    <row r="844" spans="1:23">
      <c r="A844" t="str">
        <f>"002379"</f>
        <v>002379</v>
      </c>
      <c r="B844" t="s">
        <v>2385</v>
      </c>
      <c r="C844">
        <v>4.3899999999999997</v>
      </c>
      <c r="D844">
        <v>4.55</v>
      </c>
      <c r="E844">
        <v>4.37</v>
      </c>
      <c r="F844">
        <v>4.5</v>
      </c>
      <c r="G844">
        <v>553824</v>
      </c>
      <c r="H844">
        <v>247777120</v>
      </c>
      <c r="I844">
        <v>0.94</v>
      </c>
      <c r="J844" t="s">
        <v>632</v>
      </c>
      <c r="K844" t="s">
        <v>250</v>
      </c>
      <c r="L844">
        <v>2.04</v>
      </c>
      <c r="M844">
        <v>4.47</v>
      </c>
      <c r="N844">
        <v>257602</v>
      </c>
      <c r="O844">
        <v>296221</v>
      </c>
      <c r="P844">
        <v>0.87</v>
      </c>
      <c r="Q844">
        <v>311</v>
      </c>
      <c r="R844">
        <v>9518</v>
      </c>
      <c r="S844" t="s">
        <v>3</v>
      </c>
      <c r="T844">
        <v>66863.25</v>
      </c>
      <c r="U844" t="s">
        <v>2386</v>
      </c>
      <c r="V844" t="s">
        <v>406</v>
      </c>
      <c r="W844">
        <v>2.2000000000000002</v>
      </c>
    </row>
    <row r="845" spans="1:23">
      <c r="A845" t="str">
        <f>"002380"</f>
        <v>002380</v>
      </c>
      <c r="B845" t="s">
        <v>2387</v>
      </c>
      <c r="C845">
        <v>28.82</v>
      </c>
      <c r="D845">
        <v>29.09</v>
      </c>
      <c r="E845">
        <v>28.72</v>
      </c>
      <c r="F845">
        <v>28.88</v>
      </c>
      <c r="G845">
        <v>4177</v>
      </c>
      <c r="H845">
        <v>12064573</v>
      </c>
      <c r="I845">
        <v>0.57999999999999996</v>
      </c>
      <c r="J845" t="s">
        <v>145</v>
      </c>
      <c r="K845" t="s">
        <v>244</v>
      </c>
      <c r="L845">
        <v>0.21</v>
      </c>
      <c r="M845">
        <v>28.88</v>
      </c>
      <c r="N845">
        <v>2091</v>
      </c>
      <c r="O845">
        <v>2085</v>
      </c>
      <c r="P845">
        <v>1</v>
      </c>
      <c r="Q845">
        <v>5</v>
      </c>
      <c r="R845">
        <v>39</v>
      </c>
      <c r="S845" t="s">
        <v>3</v>
      </c>
      <c r="T845">
        <v>5056.37</v>
      </c>
      <c r="U845" t="s">
        <v>606</v>
      </c>
      <c r="V845" t="s">
        <v>48</v>
      </c>
      <c r="W845">
        <v>0.37</v>
      </c>
    </row>
    <row r="846" spans="1:23">
      <c r="A846" t="str">
        <f>"002381"</f>
        <v>002381</v>
      </c>
      <c r="B846" t="s">
        <v>2388</v>
      </c>
      <c r="C846">
        <v>12.77</v>
      </c>
      <c r="D846">
        <v>12.84</v>
      </c>
      <c r="E846">
        <v>12.63</v>
      </c>
      <c r="F846">
        <v>12.72</v>
      </c>
      <c r="G846">
        <v>28185</v>
      </c>
      <c r="H846">
        <v>35827420</v>
      </c>
      <c r="I846">
        <v>0.8</v>
      </c>
      <c r="J846" t="s">
        <v>1137</v>
      </c>
      <c r="K846" t="s">
        <v>229</v>
      </c>
      <c r="L846">
        <v>-0.55000000000000004</v>
      </c>
      <c r="M846">
        <v>12.71</v>
      </c>
      <c r="N846">
        <v>17004</v>
      </c>
      <c r="O846">
        <v>11181</v>
      </c>
      <c r="P846">
        <v>1.52</v>
      </c>
      <c r="Q846">
        <v>745</v>
      </c>
      <c r="R846">
        <v>80</v>
      </c>
      <c r="S846" t="s">
        <v>3</v>
      </c>
      <c r="T846">
        <v>14441.16</v>
      </c>
      <c r="U846" t="s">
        <v>2389</v>
      </c>
      <c r="V846" t="s">
        <v>2390</v>
      </c>
      <c r="W846">
        <v>-0.39</v>
      </c>
    </row>
    <row r="847" spans="1:23">
      <c r="A847" t="str">
        <f>"002382"</f>
        <v>002382</v>
      </c>
      <c r="B847" t="s">
        <v>2391</v>
      </c>
      <c r="C847">
        <v>22.78</v>
      </c>
      <c r="D847">
        <v>23.2</v>
      </c>
      <c r="E847">
        <v>22.48</v>
      </c>
      <c r="F847">
        <v>22.78</v>
      </c>
      <c r="G847">
        <v>23737</v>
      </c>
      <c r="H847">
        <v>54030964</v>
      </c>
      <c r="I847">
        <v>0.89</v>
      </c>
      <c r="J847" t="s">
        <v>1971</v>
      </c>
      <c r="K847" t="s">
        <v>250</v>
      </c>
      <c r="L847">
        <v>0.22</v>
      </c>
      <c r="M847">
        <v>22.76</v>
      </c>
      <c r="N847">
        <v>13014</v>
      </c>
      <c r="O847">
        <v>10722</v>
      </c>
      <c r="P847">
        <v>1.21</v>
      </c>
      <c r="Q847">
        <v>3</v>
      </c>
      <c r="R847">
        <v>91</v>
      </c>
      <c r="S847" t="s">
        <v>3</v>
      </c>
      <c r="T847">
        <v>23897.19</v>
      </c>
      <c r="U847" t="s">
        <v>2392</v>
      </c>
      <c r="V847" t="s">
        <v>2393</v>
      </c>
      <c r="W847">
        <v>0.38</v>
      </c>
    </row>
    <row r="848" spans="1:23">
      <c r="A848" t="str">
        <f>"002383"</f>
        <v>002383</v>
      </c>
      <c r="B848" t="s">
        <v>2394</v>
      </c>
      <c r="C848" t="s">
        <v>3</v>
      </c>
      <c r="D848" t="s">
        <v>3</v>
      </c>
      <c r="E848" t="s">
        <v>3</v>
      </c>
      <c r="F848">
        <v>0</v>
      </c>
      <c r="G848">
        <v>0</v>
      </c>
      <c r="H848">
        <v>0</v>
      </c>
      <c r="I848">
        <v>0</v>
      </c>
      <c r="J848" t="s">
        <v>112</v>
      </c>
      <c r="K848" t="s">
        <v>34</v>
      </c>
      <c r="L848" t="s">
        <v>3</v>
      </c>
      <c r="M848">
        <v>26.75</v>
      </c>
      <c r="N848">
        <v>0</v>
      </c>
      <c r="O848">
        <v>0</v>
      </c>
      <c r="P848" t="s">
        <v>3</v>
      </c>
      <c r="Q848">
        <v>0</v>
      </c>
      <c r="R848">
        <v>0</v>
      </c>
      <c r="S848" t="s">
        <v>3</v>
      </c>
      <c r="T848">
        <v>10961.57</v>
      </c>
      <c r="U848" t="s">
        <v>1186</v>
      </c>
      <c r="V848" t="s">
        <v>2395</v>
      </c>
      <c r="W848">
        <v>0.16</v>
      </c>
    </row>
    <row r="849" spans="1:23">
      <c r="A849" t="str">
        <f>"002384"</f>
        <v>002384</v>
      </c>
      <c r="B849" t="s">
        <v>2396</v>
      </c>
      <c r="C849">
        <v>12.18</v>
      </c>
      <c r="D849">
        <v>12.38</v>
      </c>
      <c r="E849">
        <v>11.87</v>
      </c>
      <c r="F849">
        <v>12.13</v>
      </c>
      <c r="G849">
        <v>93700</v>
      </c>
      <c r="H849">
        <v>113621736</v>
      </c>
      <c r="I849">
        <v>1.23</v>
      </c>
      <c r="J849" t="s">
        <v>112</v>
      </c>
      <c r="K849" t="s">
        <v>244</v>
      </c>
      <c r="L849">
        <v>0</v>
      </c>
      <c r="M849">
        <v>12.13</v>
      </c>
      <c r="N849">
        <v>45199</v>
      </c>
      <c r="O849">
        <v>48500</v>
      </c>
      <c r="P849">
        <v>0.93</v>
      </c>
      <c r="Q849">
        <v>12849</v>
      </c>
      <c r="R849">
        <v>4785</v>
      </c>
      <c r="S849" t="s">
        <v>3</v>
      </c>
      <c r="T849">
        <v>45272.800000000003</v>
      </c>
      <c r="U849" t="s">
        <v>2397</v>
      </c>
      <c r="V849" t="s">
        <v>2398</v>
      </c>
      <c r="W849">
        <v>0.16</v>
      </c>
    </row>
    <row r="850" spans="1:23">
      <c r="A850" t="str">
        <f>"002385"</f>
        <v>002385</v>
      </c>
      <c r="B850" t="s">
        <v>2399</v>
      </c>
      <c r="C850">
        <v>13.66</v>
      </c>
      <c r="D850">
        <v>13.9</v>
      </c>
      <c r="E850">
        <v>13.61</v>
      </c>
      <c r="F850">
        <v>13.72</v>
      </c>
      <c r="G850">
        <v>116337</v>
      </c>
      <c r="H850">
        <v>159631376</v>
      </c>
      <c r="I850">
        <v>0.74</v>
      </c>
      <c r="J850" t="s">
        <v>141</v>
      </c>
      <c r="K850" t="s">
        <v>34</v>
      </c>
      <c r="L850">
        <v>0.44</v>
      </c>
      <c r="M850">
        <v>13.72</v>
      </c>
      <c r="N850">
        <v>70484</v>
      </c>
      <c r="O850">
        <v>45852</v>
      </c>
      <c r="P850">
        <v>1.54</v>
      </c>
      <c r="Q850">
        <v>1115</v>
      </c>
      <c r="R850">
        <v>196</v>
      </c>
      <c r="S850" t="s">
        <v>3</v>
      </c>
      <c r="T850">
        <v>94184.88</v>
      </c>
      <c r="U850" t="s">
        <v>2400</v>
      </c>
      <c r="V850" t="s">
        <v>2401</v>
      </c>
      <c r="W850">
        <v>0.6</v>
      </c>
    </row>
    <row r="851" spans="1:23">
      <c r="A851" t="str">
        <f>"002386"</f>
        <v>002386</v>
      </c>
      <c r="B851" t="s">
        <v>2402</v>
      </c>
      <c r="C851">
        <v>8.41</v>
      </c>
      <c r="D851">
        <v>8.48</v>
      </c>
      <c r="E851">
        <v>8.34</v>
      </c>
      <c r="F851">
        <v>8.48</v>
      </c>
      <c r="G851">
        <v>45496</v>
      </c>
      <c r="H851">
        <v>38343648</v>
      </c>
      <c r="I851">
        <v>1.05</v>
      </c>
      <c r="J851" t="s">
        <v>376</v>
      </c>
      <c r="K851" t="s">
        <v>225</v>
      </c>
      <c r="L851">
        <v>0.83</v>
      </c>
      <c r="M851">
        <v>8.43</v>
      </c>
      <c r="N851">
        <v>20907</v>
      </c>
      <c r="O851">
        <v>24589</v>
      </c>
      <c r="P851">
        <v>0.85</v>
      </c>
      <c r="Q851">
        <v>517</v>
      </c>
      <c r="R851">
        <v>589</v>
      </c>
      <c r="S851" t="s">
        <v>3</v>
      </c>
      <c r="T851">
        <v>47975.17</v>
      </c>
      <c r="U851" t="s">
        <v>2403</v>
      </c>
      <c r="V851" t="s">
        <v>2403</v>
      </c>
      <c r="W851">
        <v>0.99</v>
      </c>
    </row>
    <row r="852" spans="1:23">
      <c r="A852" t="str">
        <f>"002387"</f>
        <v>002387</v>
      </c>
      <c r="B852" t="s">
        <v>2404</v>
      </c>
      <c r="C852">
        <v>15.95</v>
      </c>
      <c r="D852">
        <v>15.99</v>
      </c>
      <c r="E852">
        <v>14.88</v>
      </c>
      <c r="F852">
        <v>15.12</v>
      </c>
      <c r="G852">
        <v>99756</v>
      </c>
      <c r="H852">
        <v>151907344</v>
      </c>
      <c r="I852">
        <v>1.72</v>
      </c>
      <c r="J852" t="s">
        <v>59</v>
      </c>
      <c r="K852" t="s">
        <v>211</v>
      </c>
      <c r="L852">
        <v>-3.39</v>
      </c>
      <c r="M852">
        <v>15.23</v>
      </c>
      <c r="N852">
        <v>65290</v>
      </c>
      <c r="O852">
        <v>34466</v>
      </c>
      <c r="P852">
        <v>1.89</v>
      </c>
      <c r="Q852">
        <v>239</v>
      </c>
      <c r="R852">
        <v>292</v>
      </c>
      <c r="S852" t="s">
        <v>3</v>
      </c>
      <c r="T852">
        <v>18155.419999999998</v>
      </c>
      <c r="U852" t="s">
        <v>2405</v>
      </c>
      <c r="V852" t="s">
        <v>2406</v>
      </c>
      <c r="W852">
        <v>-3.23</v>
      </c>
    </row>
    <row r="853" spans="1:23">
      <c r="A853" t="str">
        <f>"002388"</f>
        <v>002388</v>
      </c>
      <c r="B853" t="s">
        <v>2407</v>
      </c>
      <c r="C853">
        <v>19</v>
      </c>
      <c r="D853">
        <v>19.97</v>
      </c>
      <c r="E853">
        <v>18.68</v>
      </c>
      <c r="F853">
        <v>19.579999999999998</v>
      </c>
      <c r="G853">
        <v>81600</v>
      </c>
      <c r="H853">
        <v>158829904</v>
      </c>
      <c r="I853">
        <v>1.19</v>
      </c>
      <c r="J853" t="s">
        <v>62</v>
      </c>
      <c r="K853" t="s">
        <v>2</v>
      </c>
      <c r="L853">
        <v>1.71</v>
      </c>
      <c r="M853">
        <v>19.46</v>
      </c>
      <c r="N853">
        <v>38291</v>
      </c>
      <c r="O853">
        <v>43309</v>
      </c>
      <c r="P853">
        <v>0.88</v>
      </c>
      <c r="Q853">
        <v>58</v>
      </c>
      <c r="R853">
        <v>35</v>
      </c>
      <c r="S853" t="s">
        <v>3</v>
      </c>
      <c r="T853">
        <v>18663.75</v>
      </c>
      <c r="U853" t="s">
        <v>2408</v>
      </c>
      <c r="V853" t="s">
        <v>2409</v>
      </c>
      <c r="W853">
        <v>1.87</v>
      </c>
    </row>
    <row r="854" spans="1:23">
      <c r="A854" t="str">
        <f>"002389"</f>
        <v>002389</v>
      </c>
      <c r="B854" t="s">
        <v>2410</v>
      </c>
      <c r="C854">
        <v>8.99</v>
      </c>
      <c r="D854">
        <v>9.51</v>
      </c>
      <c r="E854">
        <v>8.85</v>
      </c>
      <c r="F854">
        <v>9.25</v>
      </c>
      <c r="G854">
        <v>223616</v>
      </c>
      <c r="H854">
        <v>205701856</v>
      </c>
      <c r="I854">
        <v>1.1100000000000001</v>
      </c>
      <c r="J854" t="s">
        <v>62</v>
      </c>
      <c r="K854" t="s">
        <v>229</v>
      </c>
      <c r="L854">
        <v>2.5499999999999998</v>
      </c>
      <c r="M854">
        <v>9.1999999999999993</v>
      </c>
      <c r="N854">
        <v>115344</v>
      </c>
      <c r="O854">
        <v>108271</v>
      </c>
      <c r="P854">
        <v>1.07</v>
      </c>
      <c r="Q854">
        <v>1370</v>
      </c>
      <c r="R854">
        <v>539</v>
      </c>
      <c r="S854" t="s">
        <v>3</v>
      </c>
      <c r="T854">
        <v>30399.46</v>
      </c>
      <c r="U854" t="s">
        <v>2411</v>
      </c>
      <c r="V854" t="s">
        <v>2319</v>
      </c>
      <c r="W854">
        <v>2.71</v>
      </c>
    </row>
    <row r="855" spans="1:23">
      <c r="A855" t="str">
        <f>"002390"</f>
        <v>002390</v>
      </c>
      <c r="B855" t="s">
        <v>2412</v>
      </c>
      <c r="C855">
        <v>21.6</v>
      </c>
      <c r="D855">
        <v>22.39</v>
      </c>
      <c r="E855">
        <v>21.13</v>
      </c>
      <c r="F855">
        <v>22.3</v>
      </c>
      <c r="G855">
        <v>88950</v>
      </c>
      <c r="H855">
        <v>195332384</v>
      </c>
      <c r="I855">
        <v>1.03</v>
      </c>
      <c r="J855" t="s">
        <v>321</v>
      </c>
      <c r="K855" t="s">
        <v>452</v>
      </c>
      <c r="L855">
        <v>3.19</v>
      </c>
      <c r="M855">
        <v>21.96</v>
      </c>
      <c r="N855">
        <v>37642</v>
      </c>
      <c r="O855">
        <v>51307</v>
      </c>
      <c r="P855">
        <v>0.73</v>
      </c>
      <c r="Q855">
        <v>313</v>
      </c>
      <c r="R855">
        <v>159</v>
      </c>
      <c r="S855" t="s">
        <v>3</v>
      </c>
      <c r="T855">
        <v>22774.99</v>
      </c>
      <c r="U855" t="s">
        <v>2413</v>
      </c>
      <c r="V855" t="s">
        <v>2414</v>
      </c>
      <c r="W855">
        <v>3.35</v>
      </c>
    </row>
    <row r="856" spans="1:23">
      <c r="A856" t="str">
        <f>"002391"</f>
        <v>002391</v>
      </c>
      <c r="B856" t="s">
        <v>2415</v>
      </c>
      <c r="C856">
        <v>16.32</v>
      </c>
      <c r="D856">
        <v>16.47</v>
      </c>
      <c r="E856">
        <v>16</v>
      </c>
      <c r="F856">
        <v>16.100000000000001</v>
      </c>
      <c r="G856">
        <v>22193</v>
      </c>
      <c r="H856">
        <v>35756848</v>
      </c>
      <c r="I856">
        <v>0.76</v>
      </c>
      <c r="J856" t="s">
        <v>224</v>
      </c>
      <c r="K856" t="s">
        <v>244</v>
      </c>
      <c r="L856">
        <v>-1.89</v>
      </c>
      <c r="M856">
        <v>16.11</v>
      </c>
      <c r="N856">
        <v>13937</v>
      </c>
      <c r="O856">
        <v>8256</v>
      </c>
      <c r="P856">
        <v>1.69</v>
      </c>
      <c r="Q856">
        <v>84</v>
      </c>
      <c r="R856">
        <v>152</v>
      </c>
      <c r="S856" t="s">
        <v>3</v>
      </c>
      <c r="T856">
        <v>15482.99</v>
      </c>
      <c r="U856" t="s">
        <v>2416</v>
      </c>
      <c r="V856" t="s">
        <v>2417</v>
      </c>
      <c r="W856">
        <v>-1.73</v>
      </c>
    </row>
    <row r="857" spans="1:23">
      <c r="A857" t="str">
        <f>"002392"</f>
        <v>002392</v>
      </c>
      <c r="B857" t="s">
        <v>2418</v>
      </c>
      <c r="C857">
        <v>11.06</v>
      </c>
      <c r="D857">
        <v>11.09</v>
      </c>
      <c r="E857">
        <v>10.85</v>
      </c>
      <c r="F857">
        <v>11.06</v>
      </c>
      <c r="G857">
        <v>57286</v>
      </c>
      <c r="H857">
        <v>62952036</v>
      </c>
      <c r="I857">
        <v>0.93</v>
      </c>
      <c r="J857" t="s">
        <v>150</v>
      </c>
      <c r="K857" t="s">
        <v>34</v>
      </c>
      <c r="L857">
        <v>0.36</v>
      </c>
      <c r="M857">
        <v>10.99</v>
      </c>
      <c r="N857">
        <v>29545</v>
      </c>
      <c r="O857">
        <v>27741</v>
      </c>
      <c r="P857">
        <v>1.07</v>
      </c>
      <c r="Q857">
        <v>220</v>
      </c>
      <c r="R857">
        <v>331</v>
      </c>
      <c r="S857" t="s">
        <v>3</v>
      </c>
      <c r="T857">
        <v>25068.18</v>
      </c>
      <c r="U857" t="s">
        <v>2419</v>
      </c>
      <c r="V857" t="s">
        <v>1717</v>
      </c>
      <c r="W857">
        <v>0.52</v>
      </c>
    </row>
    <row r="858" spans="1:23">
      <c r="A858" t="str">
        <f>"002393"</f>
        <v>002393</v>
      </c>
      <c r="B858" t="s">
        <v>2420</v>
      </c>
      <c r="C858">
        <v>32.04</v>
      </c>
      <c r="D858">
        <v>32.229999999999997</v>
      </c>
      <c r="E858">
        <v>31.9</v>
      </c>
      <c r="F858">
        <v>32.04</v>
      </c>
      <c r="G858">
        <v>19606</v>
      </c>
      <c r="H858">
        <v>62868940</v>
      </c>
      <c r="I858">
        <v>1.01</v>
      </c>
      <c r="J858" t="s">
        <v>219</v>
      </c>
      <c r="K858" t="s">
        <v>442</v>
      </c>
      <c r="L858">
        <v>-0.19</v>
      </c>
      <c r="M858">
        <v>32.07</v>
      </c>
      <c r="N858">
        <v>10452</v>
      </c>
      <c r="O858">
        <v>9154</v>
      </c>
      <c r="P858">
        <v>1.1399999999999999</v>
      </c>
      <c r="Q858">
        <v>22</v>
      </c>
      <c r="R858">
        <v>335</v>
      </c>
      <c r="S858" t="s">
        <v>3</v>
      </c>
      <c r="T858">
        <v>18165.82</v>
      </c>
      <c r="U858" t="s">
        <v>2421</v>
      </c>
      <c r="V858" t="s">
        <v>2422</v>
      </c>
      <c r="W858">
        <v>-0.03</v>
      </c>
    </row>
    <row r="859" spans="1:23">
      <c r="A859" t="str">
        <f>"002394"</f>
        <v>002394</v>
      </c>
      <c r="B859" t="s">
        <v>2423</v>
      </c>
      <c r="C859">
        <v>10.56</v>
      </c>
      <c r="D859">
        <v>11.5</v>
      </c>
      <c r="E859">
        <v>10.51</v>
      </c>
      <c r="F859">
        <v>10.78</v>
      </c>
      <c r="G859">
        <v>114098</v>
      </c>
      <c r="H859">
        <v>125472144</v>
      </c>
      <c r="I859">
        <v>1.47</v>
      </c>
      <c r="J859" t="s">
        <v>55</v>
      </c>
      <c r="K859" t="s">
        <v>244</v>
      </c>
      <c r="L859">
        <v>2.08</v>
      </c>
      <c r="M859">
        <v>11</v>
      </c>
      <c r="N859">
        <v>59204</v>
      </c>
      <c r="O859">
        <v>54894</v>
      </c>
      <c r="P859">
        <v>1.08</v>
      </c>
      <c r="Q859">
        <v>1253</v>
      </c>
      <c r="R859">
        <v>77</v>
      </c>
      <c r="S859" t="s">
        <v>3</v>
      </c>
      <c r="T859">
        <v>32370</v>
      </c>
      <c r="U859" t="s">
        <v>2424</v>
      </c>
      <c r="V859" t="s">
        <v>2424</v>
      </c>
      <c r="W859">
        <v>2.2400000000000002</v>
      </c>
    </row>
    <row r="860" spans="1:23">
      <c r="A860" t="str">
        <f>"002395"</f>
        <v>002395</v>
      </c>
      <c r="B860" t="s">
        <v>2425</v>
      </c>
      <c r="C860">
        <v>11.76</v>
      </c>
      <c r="D860">
        <v>12.1</v>
      </c>
      <c r="E860">
        <v>11.73</v>
      </c>
      <c r="F860">
        <v>12</v>
      </c>
      <c r="G860">
        <v>49794</v>
      </c>
      <c r="H860">
        <v>59221412</v>
      </c>
      <c r="I860">
        <v>0.79</v>
      </c>
      <c r="J860" t="s">
        <v>273</v>
      </c>
      <c r="K860" t="s">
        <v>244</v>
      </c>
      <c r="L860">
        <v>1.52</v>
      </c>
      <c r="M860">
        <v>11.89</v>
      </c>
      <c r="N860">
        <v>18689</v>
      </c>
      <c r="O860">
        <v>31105</v>
      </c>
      <c r="P860">
        <v>0.6</v>
      </c>
      <c r="Q860">
        <v>10</v>
      </c>
      <c r="R860">
        <v>322</v>
      </c>
      <c r="S860" t="s">
        <v>3</v>
      </c>
      <c r="T860">
        <v>17880.59</v>
      </c>
      <c r="U860" t="s">
        <v>2426</v>
      </c>
      <c r="V860" t="s">
        <v>2426</v>
      </c>
      <c r="W860">
        <v>1.68</v>
      </c>
    </row>
    <row r="861" spans="1:23">
      <c r="A861" t="str">
        <f>"002396"</f>
        <v>002396</v>
      </c>
      <c r="B861" t="s">
        <v>2427</v>
      </c>
      <c r="C861">
        <v>28.84</v>
      </c>
      <c r="D861">
        <v>28.92</v>
      </c>
      <c r="E861">
        <v>28.05</v>
      </c>
      <c r="F861">
        <v>28.3</v>
      </c>
      <c r="G861">
        <v>76340</v>
      </c>
      <c r="H861">
        <v>215997744</v>
      </c>
      <c r="I861">
        <v>0.85</v>
      </c>
      <c r="J861" t="s">
        <v>112</v>
      </c>
      <c r="K861" t="s">
        <v>414</v>
      </c>
      <c r="L861">
        <v>-1.84</v>
      </c>
      <c r="M861">
        <v>28.29</v>
      </c>
      <c r="N861">
        <v>47644</v>
      </c>
      <c r="O861">
        <v>28696</v>
      </c>
      <c r="P861">
        <v>1.66</v>
      </c>
      <c r="Q861">
        <v>1345</v>
      </c>
      <c r="R861">
        <v>3</v>
      </c>
      <c r="S861" t="s">
        <v>3</v>
      </c>
      <c r="T861">
        <v>35106</v>
      </c>
      <c r="U861" t="s">
        <v>2428</v>
      </c>
      <c r="V861" t="s">
        <v>2428</v>
      </c>
      <c r="W861">
        <v>-1.68</v>
      </c>
    </row>
    <row r="862" spans="1:23">
      <c r="A862" t="str">
        <f>"002397"</f>
        <v>002397</v>
      </c>
      <c r="B862" t="s">
        <v>2429</v>
      </c>
      <c r="C862">
        <v>9.8000000000000007</v>
      </c>
      <c r="D862">
        <v>9.89</v>
      </c>
      <c r="E862">
        <v>9.6</v>
      </c>
      <c r="F862">
        <v>9.7899999999999991</v>
      </c>
      <c r="G862">
        <v>64427</v>
      </c>
      <c r="H862">
        <v>62628936</v>
      </c>
      <c r="I862">
        <v>0.85</v>
      </c>
      <c r="J862" t="s">
        <v>1373</v>
      </c>
      <c r="K862" t="s">
        <v>234</v>
      </c>
      <c r="L862">
        <v>-0.1</v>
      </c>
      <c r="M862">
        <v>9.7200000000000006</v>
      </c>
      <c r="N862">
        <v>36713</v>
      </c>
      <c r="O862">
        <v>27713</v>
      </c>
      <c r="P862">
        <v>1.32</v>
      </c>
      <c r="Q862">
        <v>486</v>
      </c>
      <c r="R862">
        <v>120</v>
      </c>
      <c r="S862" t="s">
        <v>3</v>
      </c>
      <c r="T862">
        <v>14495.83</v>
      </c>
      <c r="U862" t="s">
        <v>2430</v>
      </c>
      <c r="V862" t="s">
        <v>2431</v>
      </c>
      <c r="W862">
        <v>0.06</v>
      </c>
    </row>
    <row r="863" spans="1:23">
      <c r="A863" t="str">
        <f>"002398"</f>
        <v>002398</v>
      </c>
      <c r="B863" t="s">
        <v>2432</v>
      </c>
      <c r="C863">
        <v>13.81</v>
      </c>
      <c r="D863">
        <v>13.93</v>
      </c>
      <c r="E863">
        <v>13.71</v>
      </c>
      <c r="F863">
        <v>13.88</v>
      </c>
      <c r="G863">
        <v>27806</v>
      </c>
      <c r="H863">
        <v>38466484</v>
      </c>
      <c r="I863">
        <v>0.83</v>
      </c>
      <c r="J863" t="s">
        <v>33</v>
      </c>
      <c r="K863" t="s">
        <v>414</v>
      </c>
      <c r="L863">
        <v>0.22</v>
      </c>
      <c r="M863">
        <v>13.83</v>
      </c>
      <c r="N863">
        <v>17118</v>
      </c>
      <c r="O863">
        <v>10688</v>
      </c>
      <c r="P863">
        <v>1.6</v>
      </c>
      <c r="Q863">
        <v>457</v>
      </c>
      <c r="R863">
        <v>291</v>
      </c>
      <c r="S863" t="s">
        <v>3</v>
      </c>
      <c r="T863">
        <v>19113.78</v>
      </c>
      <c r="U863" t="s">
        <v>2433</v>
      </c>
      <c r="V863" t="s">
        <v>1295</v>
      </c>
      <c r="W863">
        <v>0.38</v>
      </c>
    </row>
    <row r="864" spans="1:23">
      <c r="A864" t="str">
        <f>"002399"</f>
        <v>002399</v>
      </c>
      <c r="B864" t="s">
        <v>2434</v>
      </c>
      <c r="C864">
        <v>21.78</v>
      </c>
      <c r="D864">
        <v>21.89</v>
      </c>
      <c r="E864">
        <v>21.52</v>
      </c>
      <c r="F864">
        <v>21.63</v>
      </c>
      <c r="G864">
        <v>57753</v>
      </c>
      <c r="H864">
        <v>124946168</v>
      </c>
      <c r="I864">
        <v>1</v>
      </c>
      <c r="J864" t="s">
        <v>219</v>
      </c>
      <c r="K864" t="s">
        <v>2</v>
      </c>
      <c r="L864">
        <v>-0.78</v>
      </c>
      <c r="M864">
        <v>21.63</v>
      </c>
      <c r="N864">
        <v>33251</v>
      </c>
      <c r="O864">
        <v>24501</v>
      </c>
      <c r="P864">
        <v>1.36</v>
      </c>
      <c r="Q864">
        <v>94</v>
      </c>
      <c r="R864">
        <v>2</v>
      </c>
      <c r="S864" t="s">
        <v>3</v>
      </c>
      <c r="T864">
        <v>80020</v>
      </c>
      <c r="U864" t="s">
        <v>2435</v>
      </c>
      <c r="V864" t="s">
        <v>2435</v>
      </c>
      <c r="W864">
        <v>-0.62</v>
      </c>
    </row>
    <row r="865" spans="1:23">
      <c r="A865" t="str">
        <f>"002400"</f>
        <v>002400</v>
      </c>
      <c r="B865" t="s">
        <v>2436</v>
      </c>
      <c r="C865">
        <v>24.05</v>
      </c>
      <c r="D865">
        <v>24.29</v>
      </c>
      <c r="E865">
        <v>23.88</v>
      </c>
      <c r="F865">
        <v>23.93</v>
      </c>
      <c r="G865">
        <v>70911</v>
      </c>
      <c r="H865">
        <v>170687040</v>
      </c>
      <c r="I865">
        <v>0.71</v>
      </c>
      <c r="J865" t="s">
        <v>707</v>
      </c>
      <c r="K865" t="s">
        <v>211</v>
      </c>
      <c r="L865">
        <v>-0.75</v>
      </c>
      <c r="M865">
        <v>24.07</v>
      </c>
      <c r="N865">
        <v>42548</v>
      </c>
      <c r="O865">
        <v>28362</v>
      </c>
      <c r="P865">
        <v>1.5</v>
      </c>
      <c r="Q865">
        <v>472</v>
      </c>
      <c r="R865">
        <v>378</v>
      </c>
      <c r="S865" t="s">
        <v>3</v>
      </c>
      <c r="T865">
        <v>51663.73</v>
      </c>
      <c r="U865" t="s">
        <v>2437</v>
      </c>
      <c r="V865" t="s">
        <v>2438</v>
      </c>
      <c r="W865">
        <v>-0.59</v>
      </c>
    </row>
    <row r="866" spans="1:23">
      <c r="A866" t="str">
        <f>"002401"</f>
        <v>002401</v>
      </c>
      <c r="B866" t="s">
        <v>2439</v>
      </c>
      <c r="C866">
        <v>16.489999999999998</v>
      </c>
      <c r="D866">
        <v>16.63</v>
      </c>
      <c r="E866">
        <v>15.95</v>
      </c>
      <c r="F866">
        <v>16.5</v>
      </c>
      <c r="G866">
        <v>68003</v>
      </c>
      <c r="H866">
        <v>111358640</v>
      </c>
      <c r="I866">
        <v>0.95</v>
      </c>
      <c r="J866" t="s">
        <v>758</v>
      </c>
      <c r="K866" t="s">
        <v>727</v>
      </c>
      <c r="L866">
        <v>1.35</v>
      </c>
      <c r="M866">
        <v>16.38</v>
      </c>
      <c r="N866">
        <v>34195</v>
      </c>
      <c r="O866">
        <v>33807</v>
      </c>
      <c r="P866">
        <v>1.01</v>
      </c>
      <c r="Q866">
        <v>3</v>
      </c>
      <c r="R866">
        <v>126</v>
      </c>
      <c r="S866" t="s">
        <v>3</v>
      </c>
      <c r="T866">
        <v>29679.72</v>
      </c>
      <c r="U866" t="s">
        <v>2440</v>
      </c>
      <c r="V866" t="s">
        <v>2441</v>
      </c>
      <c r="W866">
        <v>1.51</v>
      </c>
    </row>
    <row r="867" spans="1:23">
      <c r="A867" t="str">
        <f>"002402"</f>
        <v>002402</v>
      </c>
      <c r="B867" t="s">
        <v>2442</v>
      </c>
      <c r="C867">
        <v>19.100000000000001</v>
      </c>
      <c r="D867">
        <v>19.100000000000001</v>
      </c>
      <c r="E867">
        <v>18.7</v>
      </c>
      <c r="F867">
        <v>18.899999999999999</v>
      </c>
      <c r="G867">
        <v>28305</v>
      </c>
      <c r="H867">
        <v>53262840</v>
      </c>
      <c r="I867">
        <v>0.69</v>
      </c>
      <c r="J867" t="s">
        <v>62</v>
      </c>
      <c r="K867" t="s">
        <v>2</v>
      </c>
      <c r="L867">
        <v>-0.42</v>
      </c>
      <c r="M867">
        <v>18.82</v>
      </c>
      <c r="N867">
        <v>17033</v>
      </c>
      <c r="O867">
        <v>11271</v>
      </c>
      <c r="P867">
        <v>1.51</v>
      </c>
      <c r="Q867">
        <v>143</v>
      </c>
      <c r="R867">
        <v>65</v>
      </c>
      <c r="S867" t="s">
        <v>3</v>
      </c>
      <c r="T867">
        <v>12096</v>
      </c>
      <c r="U867" t="s">
        <v>2443</v>
      </c>
      <c r="V867" t="s">
        <v>2444</v>
      </c>
      <c r="W867">
        <v>-0.26</v>
      </c>
    </row>
    <row r="868" spans="1:23">
      <c r="A868" t="str">
        <f>"002403"</f>
        <v>002403</v>
      </c>
      <c r="B868" t="s">
        <v>2445</v>
      </c>
      <c r="C868">
        <v>11.85</v>
      </c>
      <c r="D868">
        <v>12.18</v>
      </c>
      <c r="E868">
        <v>11.78</v>
      </c>
      <c r="F868">
        <v>12.1</v>
      </c>
      <c r="G868">
        <v>105109</v>
      </c>
      <c r="H868">
        <v>125880664</v>
      </c>
      <c r="I868">
        <v>2.0299999999999998</v>
      </c>
      <c r="J868" t="s">
        <v>47</v>
      </c>
      <c r="K868" t="s">
        <v>229</v>
      </c>
      <c r="L868">
        <v>2.11</v>
      </c>
      <c r="M868">
        <v>11.98</v>
      </c>
      <c r="N868">
        <v>52631</v>
      </c>
      <c r="O868">
        <v>52478</v>
      </c>
      <c r="P868">
        <v>1</v>
      </c>
      <c r="Q868">
        <v>625</v>
      </c>
      <c r="R868">
        <v>104</v>
      </c>
      <c r="S868" t="s">
        <v>3</v>
      </c>
      <c r="T868">
        <v>22238.25</v>
      </c>
      <c r="U868" t="s">
        <v>2446</v>
      </c>
      <c r="V868" t="s">
        <v>906</v>
      </c>
      <c r="W868">
        <v>2.27</v>
      </c>
    </row>
    <row r="869" spans="1:23">
      <c r="A869" t="str">
        <f>"002404"</f>
        <v>002404</v>
      </c>
      <c r="B869" t="s">
        <v>2447</v>
      </c>
      <c r="C869">
        <v>9.5299999999999994</v>
      </c>
      <c r="D869">
        <v>9.5500000000000007</v>
      </c>
      <c r="E869">
        <v>9.35</v>
      </c>
      <c r="F869">
        <v>9.43</v>
      </c>
      <c r="G869">
        <v>88436</v>
      </c>
      <c r="H869">
        <v>83223520</v>
      </c>
      <c r="I869">
        <v>0.99</v>
      </c>
      <c r="J869" t="s">
        <v>55</v>
      </c>
      <c r="K869" t="s">
        <v>229</v>
      </c>
      <c r="L869">
        <v>-0.84</v>
      </c>
      <c r="M869">
        <v>9.41</v>
      </c>
      <c r="N869">
        <v>46727</v>
      </c>
      <c r="O869">
        <v>41709</v>
      </c>
      <c r="P869">
        <v>1.1200000000000001</v>
      </c>
      <c r="Q869">
        <v>693</v>
      </c>
      <c r="R869">
        <v>295</v>
      </c>
      <c r="S869" t="s">
        <v>3</v>
      </c>
      <c r="T869">
        <v>17652.82</v>
      </c>
      <c r="U869" t="s">
        <v>2448</v>
      </c>
      <c r="V869" t="s">
        <v>2449</v>
      </c>
      <c r="W869">
        <v>-0.68</v>
      </c>
    </row>
    <row r="870" spans="1:23">
      <c r="A870" t="str">
        <f>"002405"</f>
        <v>002405</v>
      </c>
      <c r="B870" t="s">
        <v>2450</v>
      </c>
      <c r="C870">
        <v>21.66</v>
      </c>
      <c r="D870">
        <v>22.4</v>
      </c>
      <c r="E870">
        <v>21.42</v>
      </c>
      <c r="F870">
        <v>21.83</v>
      </c>
      <c r="G870">
        <v>271343</v>
      </c>
      <c r="H870">
        <v>595199616</v>
      </c>
      <c r="I870">
        <v>0.87</v>
      </c>
      <c r="J870" t="s">
        <v>758</v>
      </c>
      <c r="K870" t="s">
        <v>34</v>
      </c>
      <c r="L870">
        <v>1.58</v>
      </c>
      <c r="M870">
        <v>21.94</v>
      </c>
      <c r="N870">
        <v>139317</v>
      </c>
      <c r="O870">
        <v>132026</v>
      </c>
      <c r="P870">
        <v>1.06</v>
      </c>
      <c r="Q870">
        <v>532</v>
      </c>
      <c r="R870">
        <v>98</v>
      </c>
      <c r="S870" t="s">
        <v>3</v>
      </c>
      <c r="T870">
        <v>64563.94</v>
      </c>
      <c r="U870" t="s">
        <v>2451</v>
      </c>
      <c r="V870" t="s">
        <v>2452</v>
      </c>
      <c r="W870">
        <v>1.74</v>
      </c>
    </row>
    <row r="871" spans="1:23">
      <c r="A871" t="str">
        <f>"002406"</f>
        <v>002406</v>
      </c>
      <c r="B871" t="s">
        <v>2453</v>
      </c>
      <c r="C871" t="s">
        <v>3</v>
      </c>
      <c r="D871" t="s">
        <v>3</v>
      </c>
      <c r="E871" t="s">
        <v>3</v>
      </c>
      <c r="F871">
        <v>0</v>
      </c>
      <c r="G871">
        <v>0</v>
      </c>
      <c r="H871">
        <v>0</v>
      </c>
      <c r="I871">
        <v>0</v>
      </c>
      <c r="J871" t="s">
        <v>98</v>
      </c>
      <c r="K871" t="s">
        <v>254</v>
      </c>
      <c r="L871" t="s">
        <v>3</v>
      </c>
      <c r="M871">
        <v>10.83</v>
      </c>
      <c r="N871">
        <v>0</v>
      </c>
      <c r="O871">
        <v>0</v>
      </c>
      <c r="P871" t="s">
        <v>3</v>
      </c>
      <c r="Q871">
        <v>0</v>
      </c>
      <c r="R871">
        <v>0</v>
      </c>
      <c r="S871" t="s">
        <v>3</v>
      </c>
      <c r="T871">
        <v>17661.66</v>
      </c>
      <c r="U871" t="s">
        <v>2454</v>
      </c>
      <c r="V871" t="s">
        <v>2455</v>
      </c>
      <c r="W871">
        <v>0.16</v>
      </c>
    </row>
    <row r="872" spans="1:23">
      <c r="A872" t="str">
        <f>"002407"</f>
        <v>002407</v>
      </c>
      <c r="B872" t="s">
        <v>2456</v>
      </c>
      <c r="C872">
        <v>22</v>
      </c>
      <c r="D872">
        <v>22.2</v>
      </c>
      <c r="E872">
        <v>21.5</v>
      </c>
      <c r="F872">
        <v>22.05</v>
      </c>
      <c r="G872">
        <v>62964</v>
      </c>
      <c r="H872">
        <v>137339584</v>
      </c>
      <c r="I872">
        <v>0.74</v>
      </c>
      <c r="J872" t="s">
        <v>376</v>
      </c>
      <c r="K872" t="s">
        <v>254</v>
      </c>
      <c r="L872">
        <v>0.23</v>
      </c>
      <c r="M872">
        <v>21.81</v>
      </c>
      <c r="N872">
        <v>35015</v>
      </c>
      <c r="O872">
        <v>27949</v>
      </c>
      <c r="P872">
        <v>1.25</v>
      </c>
      <c r="Q872">
        <v>848</v>
      </c>
      <c r="R872">
        <v>3</v>
      </c>
      <c r="S872" t="s">
        <v>3</v>
      </c>
      <c r="T872">
        <v>18486.52</v>
      </c>
      <c r="U872" t="s">
        <v>2457</v>
      </c>
      <c r="V872" t="s">
        <v>2458</v>
      </c>
      <c r="W872">
        <v>0.39</v>
      </c>
    </row>
    <row r="873" spans="1:23">
      <c r="A873" t="str">
        <f>"002408"</f>
        <v>002408</v>
      </c>
      <c r="B873" t="s">
        <v>2459</v>
      </c>
      <c r="C873">
        <v>16.5</v>
      </c>
      <c r="D873">
        <v>16.59</v>
      </c>
      <c r="E873">
        <v>16.2</v>
      </c>
      <c r="F873">
        <v>16.34</v>
      </c>
      <c r="G873">
        <v>38270</v>
      </c>
      <c r="H873">
        <v>62609772</v>
      </c>
      <c r="I873">
        <v>0.83</v>
      </c>
      <c r="J873" t="s">
        <v>376</v>
      </c>
      <c r="K873" t="s">
        <v>250</v>
      </c>
      <c r="L873">
        <v>-0.31</v>
      </c>
      <c r="M873">
        <v>16.36</v>
      </c>
      <c r="N873">
        <v>23585</v>
      </c>
      <c r="O873">
        <v>14684</v>
      </c>
      <c r="P873">
        <v>1.61</v>
      </c>
      <c r="Q873">
        <v>343</v>
      </c>
      <c r="R873">
        <v>2</v>
      </c>
      <c r="S873" t="s">
        <v>3</v>
      </c>
      <c r="T873">
        <v>54861.69</v>
      </c>
      <c r="U873" t="s">
        <v>2460</v>
      </c>
      <c r="V873" t="s">
        <v>2461</v>
      </c>
      <c r="W873">
        <v>-0.15</v>
      </c>
    </row>
    <row r="874" spans="1:23">
      <c r="A874" t="str">
        <f>"002409"</f>
        <v>002409</v>
      </c>
      <c r="B874" t="s">
        <v>2462</v>
      </c>
      <c r="C874">
        <v>20.16</v>
      </c>
      <c r="D874">
        <v>20.18</v>
      </c>
      <c r="E874">
        <v>19.73</v>
      </c>
      <c r="F874">
        <v>20.05</v>
      </c>
      <c r="G874">
        <v>12051</v>
      </c>
      <c r="H874">
        <v>24061548</v>
      </c>
      <c r="I874">
        <v>0.77</v>
      </c>
      <c r="J874" t="s">
        <v>376</v>
      </c>
      <c r="K874" t="s">
        <v>244</v>
      </c>
      <c r="L874">
        <v>-0.84</v>
      </c>
      <c r="M874">
        <v>19.97</v>
      </c>
      <c r="N874">
        <v>5772</v>
      </c>
      <c r="O874">
        <v>6279</v>
      </c>
      <c r="P874">
        <v>0.92</v>
      </c>
      <c r="Q874">
        <v>10</v>
      </c>
      <c r="R874">
        <v>190</v>
      </c>
      <c r="S874" t="s">
        <v>3</v>
      </c>
      <c r="T874">
        <v>8253</v>
      </c>
      <c r="U874" t="s">
        <v>2463</v>
      </c>
      <c r="V874" t="s">
        <v>1464</v>
      </c>
      <c r="W874">
        <v>-0.68</v>
      </c>
    </row>
    <row r="875" spans="1:23">
      <c r="A875" t="str">
        <f>"002410"</f>
        <v>002410</v>
      </c>
      <c r="B875" t="s">
        <v>2464</v>
      </c>
      <c r="C875">
        <v>27.84</v>
      </c>
      <c r="D875">
        <v>28</v>
      </c>
      <c r="E875">
        <v>27.43</v>
      </c>
      <c r="F875">
        <v>27.49</v>
      </c>
      <c r="G875">
        <v>50929</v>
      </c>
      <c r="H875">
        <v>140532016</v>
      </c>
      <c r="I875">
        <v>0.96</v>
      </c>
      <c r="J875" t="s">
        <v>758</v>
      </c>
      <c r="K875" t="s">
        <v>34</v>
      </c>
      <c r="L875">
        <v>-0.97</v>
      </c>
      <c r="M875">
        <v>27.59</v>
      </c>
      <c r="N875">
        <v>32594</v>
      </c>
      <c r="O875">
        <v>18334</v>
      </c>
      <c r="P875">
        <v>1.78</v>
      </c>
      <c r="Q875">
        <v>212</v>
      </c>
      <c r="R875">
        <v>78</v>
      </c>
      <c r="S875" t="s">
        <v>3</v>
      </c>
      <c r="T875">
        <v>36746.28</v>
      </c>
      <c r="U875" t="s">
        <v>2465</v>
      </c>
      <c r="V875" t="s">
        <v>2466</v>
      </c>
      <c r="W875">
        <v>-0.81</v>
      </c>
    </row>
    <row r="876" spans="1:23">
      <c r="A876" t="str">
        <f>"002411"</f>
        <v>002411</v>
      </c>
      <c r="B876" t="s">
        <v>2467</v>
      </c>
      <c r="C876">
        <v>9.14</v>
      </c>
      <c r="D876">
        <v>9.2100000000000009</v>
      </c>
      <c r="E876">
        <v>9.1</v>
      </c>
      <c r="F876">
        <v>9.18</v>
      </c>
      <c r="G876">
        <v>86983</v>
      </c>
      <c r="H876">
        <v>79698392</v>
      </c>
      <c r="I876">
        <v>1.22</v>
      </c>
      <c r="J876" t="s">
        <v>376</v>
      </c>
      <c r="K876" t="s">
        <v>244</v>
      </c>
      <c r="L876">
        <v>0.99</v>
      </c>
      <c r="M876">
        <v>9.16</v>
      </c>
      <c r="N876">
        <v>47142</v>
      </c>
      <c r="O876">
        <v>39840</v>
      </c>
      <c r="P876">
        <v>1.18</v>
      </c>
      <c r="Q876">
        <v>443</v>
      </c>
      <c r="R876">
        <v>144</v>
      </c>
      <c r="S876" t="s">
        <v>3</v>
      </c>
      <c r="T876">
        <v>24652.01</v>
      </c>
      <c r="U876" t="s">
        <v>2468</v>
      </c>
      <c r="V876" t="s">
        <v>793</v>
      </c>
      <c r="W876">
        <v>1.1499999999999999</v>
      </c>
    </row>
    <row r="877" spans="1:23">
      <c r="A877" t="str">
        <f>"002412"</f>
        <v>002412</v>
      </c>
      <c r="B877" t="s">
        <v>2469</v>
      </c>
      <c r="C877">
        <v>18.8</v>
      </c>
      <c r="D877">
        <v>18.850000000000001</v>
      </c>
      <c r="E877">
        <v>18.350000000000001</v>
      </c>
      <c r="F877">
        <v>18.66</v>
      </c>
      <c r="G877">
        <v>27720</v>
      </c>
      <c r="H877">
        <v>51563148</v>
      </c>
      <c r="I877">
        <v>0.75</v>
      </c>
      <c r="J877" t="s">
        <v>321</v>
      </c>
      <c r="K877" t="s">
        <v>234</v>
      </c>
      <c r="L877">
        <v>-1.63</v>
      </c>
      <c r="M877">
        <v>18.600000000000001</v>
      </c>
      <c r="N877">
        <v>16544</v>
      </c>
      <c r="O877">
        <v>11176</v>
      </c>
      <c r="P877">
        <v>1.48</v>
      </c>
      <c r="Q877">
        <v>49</v>
      </c>
      <c r="R877">
        <v>73</v>
      </c>
      <c r="S877" t="s">
        <v>3</v>
      </c>
      <c r="T877">
        <v>28677.5</v>
      </c>
      <c r="U877" t="s">
        <v>2470</v>
      </c>
      <c r="V877" t="s">
        <v>2471</v>
      </c>
      <c r="W877">
        <v>-1.48</v>
      </c>
    </row>
    <row r="878" spans="1:23">
      <c r="A878" t="str">
        <f>"002413"</f>
        <v>002413</v>
      </c>
      <c r="B878" t="s">
        <v>2472</v>
      </c>
      <c r="C878" t="s">
        <v>3</v>
      </c>
      <c r="D878" t="s">
        <v>3</v>
      </c>
      <c r="E878" t="s">
        <v>3</v>
      </c>
      <c r="F878">
        <v>0</v>
      </c>
      <c r="G878">
        <v>0</v>
      </c>
      <c r="H878">
        <v>0</v>
      </c>
      <c r="I878">
        <v>0</v>
      </c>
      <c r="J878" t="s">
        <v>398</v>
      </c>
      <c r="K878" t="s">
        <v>244</v>
      </c>
      <c r="L878" t="s">
        <v>3</v>
      </c>
      <c r="M878">
        <v>8.39</v>
      </c>
      <c r="N878">
        <v>0</v>
      </c>
      <c r="O878">
        <v>0</v>
      </c>
      <c r="P878" t="s">
        <v>3</v>
      </c>
      <c r="Q878">
        <v>0</v>
      </c>
      <c r="R878">
        <v>0</v>
      </c>
      <c r="S878" t="s">
        <v>3</v>
      </c>
      <c r="T878">
        <v>22050</v>
      </c>
      <c r="U878" t="s">
        <v>2098</v>
      </c>
      <c r="V878" t="s">
        <v>2098</v>
      </c>
      <c r="W878">
        <v>0.16</v>
      </c>
    </row>
    <row r="879" spans="1:23">
      <c r="A879" t="str">
        <f>"002414"</f>
        <v>002414</v>
      </c>
      <c r="B879" t="s">
        <v>2473</v>
      </c>
      <c r="C879">
        <v>23.08</v>
      </c>
      <c r="D879">
        <v>23.7</v>
      </c>
      <c r="E879">
        <v>22.83</v>
      </c>
      <c r="F879">
        <v>23.15</v>
      </c>
      <c r="G879">
        <v>132340</v>
      </c>
      <c r="H879">
        <v>307299552</v>
      </c>
      <c r="I879">
        <v>0.56000000000000005</v>
      </c>
      <c r="J879" t="s">
        <v>617</v>
      </c>
      <c r="K879" t="s">
        <v>317</v>
      </c>
      <c r="L879">
        <v>0.61</v>
      </c>
      <c r="M879">
        <v>23.22</v>
      </c>
      <c r="N879">
        <v>70041</v>
      </c>
      <c r="O879">
        <v>62299</v>
      </c>
      <c r="P879">
        <v>1.1200000000000001</v>
      </c>
      <c r="Q879">
        <v>145</v>
      </c>
      <c r="R879">
        <v>24</v>
      </c>
      <c r="S879" t="s">
        <v>3</v>
      </c>
      <c r="T879">
        <v>46445.51</v>
      </c>
      <c r="U879" t="s">
        <v>2474</v>
      </c>
      <c r="V879" t="s">
        <v>2475</v>
      </c>
      <c r="W879">
        <v>0.77</v>
      </c>
    </row>
    <row r="880" spans="1:23">
      <c r="A880" t="str">
        <f>"002415"</f>
        <v>002415</v>
      </c>
      <c r="B880" t="s">
        <v>2476</v>
      </c>
      <c r="C880">
        <v>20.350000000000001</v>
      </c>
      <c r="D880">
        <v>20.350000000000001</v>
      </c>
      <c r="E880">
        <v>19.88</v>
      </c>
      <c r="F880">
        <v>19.989999999999998</v>
      </c>
      <c r="G880">
        <v>180152</v>
      </c>
      <c r="H880">
        <v>360013216</v>
      </c>
      <c r="I880">
        <v>1.1000000000000001</v>
      </c>
      <c r="J880" t="s">
        <v>617</v>
      </c>
      <c r="K880" t="s">
        <v>229</v>
      </c>
      <c r="L880">
        <v>-1.77</v>
      </c>
      <c r="M880">
        <v>19.98</v>
      </c>
      <c r="N880">
        <v>97162</v>
      </c>
      <c r="O880">
        <v>82990</v>
      </c>
      <c r="P880">
        <v>1.17</v>
      </c>
      <c r="Q880">
        <v>787</v>
      </c>
      <c r="R880">
        <v>374</v>
      </c>
      <c r="S880" t="s">
        <v>3</v>
      </c>
      <c r="T880">
        <v>314522.31</v>
      </c>
      <c r="U880" t="s">
        <v>2477</v>
      </c>
      <c r="V880" t="s">
        <v>2478</v>
      </c>
      <c r="W880">
        <v>-1.61</v>
      </c>
    </row>
    <row r="881" spans="1:23">
      <c r="A881" t="str">
        <f>"002416"</f>
        <v>002416</v>
      </c>
      <c r="B881" t="s">
        <v>2479</v>
      </c>
      <c r="C881">
        <v>15.87</v>
      </c>
      <c r="D881">
        <v>16.489999999999998</v>
      </c>
      <c r="E881">
        <v>15.61</v>
      </c>
      <c r="F881">
        <v>16.48</v>
      </c>
      <c r="G881">
        <v>167259</v>
      </c>
      <c r="H881">
        <v>270370784</v>
      </c>
      <c r="I881">
        <v>1.2</v>
      </c>
      <c r="J881" t="s">
        <v>1431</v>
      </c>
      <c r="K881" t="s">
        <v>2</v>
      </c>
      <c r="L881">
        <v>3.84</v>
      </c>
      <c r="M881">
        <v>16.16</v>
      </c>
      <c r="N881">
        <v>81864</v>
      </c>
      <c r="O881">
        <v>85395</v>
      </c>
      <c r="P881">
        <v>0.96</v>
      </c>
      <c r="Q881">
        <v>1377</v>
      </c>
      <c r="R881">
        <v>797</v>
      </c>
      <c r="S881" t="s">
        <v>3</v>
      </c>
      <c r="T881">
        <v>95988.45</v>
      </c>
      <c r="U881" t="s">
        <v>2480</v>
      </c>
      <c r="V881" t="s">
        <v>1472</v>
      </c>
      <c r="W881">
        <v>4</v>
      </c>
    </row>
    <row r="882" spans="1:23">
      <c r="A882" t="str">
        <f>"002417"</f>
        <v>002417</v>
      </c>
      <c r="B882" t="s">
        <v>2481</v>
      </c>
      <c r="C882">
        <v>10.55</v>
      </c>
      <c r="D882">
        <v>10.56</v>
      </c>
      <c r="E882">
        <v>9.9600000000000009</v>
      </c>
      <c r="F882">
        <v>10.34</v>
      </c>
      <c r="G882">
        <v>140958</v>
      </c>
      <c r="H882">
        <v>143905888</v>
      </c>
      <c r="I882">
        <v>1.43</v>
      </c>
      <c r="J882" t="s">
        <v>112</v>
      </c>
      <c r="K882" t="s">
        <v>414</v>
      </c>
      <c r="L882">
        <v>0.49</v>
      </c>
      <c r="M882">
        <v>10.210000000000001</v>
      </c>
      <c r="N882">
        <v>71241</v>
      </c>
      <c r="O882">
        <v>69717</v>
      </c>
      <c r="P882">
        <v>1.02</v>
      </c>
      <c r="Q882">
        <v>454</v>
      </c>
      <c r="R882">
        <v>152</v>
      </c>
      <c r="S882" t="s">
        <v>3</v>
      </c>
      <c r="T882">
        <v>20319.25</v>
      </c>
      <c r="U882" t="s">
        <v>2482</v>
      </c>
      <c r="V882" t="s">
        <v>2483</v>
      </c>
      <c r="W882">
        <v>0.64</v>
      </c>
    </row>
    <row r="883" spans="1:23">
      <c r="A883" t="str">
        <f>"002418"</f>
        <v>002418</v>
      </c>
      <c r="B883" t="s">
        <v>2484</v>
      </c>
      <c r="C883">
        <v>11.9</v>
      </c>
      <c r="D883">
        <v>12.4</v>
      </c>
      <c r="E883">
        <v>11.88</v>
      </c>
      <c r="F883">
        <v>12.27</v>
      </c>
      <c r="G883">
        <v>37220</v>
      </c>
      <c r="H883">
        <v>45256524</v>
      </c>
      <c r="I883">
        <v>0.81</v>
      </c>
      <c r="J883" t="s">
        <v>398</v>
      </c>
      <c r="K883" t="s">
        <v>229</v>
      </c>
      <c r="L883">
        <v>2.59</v>
      </c>
      <c r="M883">
        <v>12.16</v>
      </c>
      <c r="N883">
        <v>17534</v>
      </c>
      <c r="O883">
        <v>19686</v>
      </c>
      <c r="P883">
        <v>0.89</v>
      </c>
      <c r="Q883">
        <v>137</v>
      </c>
      <c r="R883">
        <v>407</v>
      </c>
      <c r="S883" t="s">
        <v>3</v>
      </c>
      <c r="T883">
        <v>16338.44</v>
      </c>
      <c r="U883" t="s">
        <v>2485</v>
      </c>
      <c r="V883" t="s">
        <v>2486</v>
      </c>
      <c r="W883">
        <v>2.75</v>
      </c>
    </row>
    <row r="884" spans="1:23">
      <c r="A884" t="str">
        <f>"002419"</f>
        <v>002419</v>
      </c>
      <c r="B884" t="s">
        <v>2487</v>
      </c>
      <c r="C884">
        <v>11.47</v>
      </c>
      <c r="D884">
        <v>11.52</v>
      </c>
      <c r="E884">
        <v>11.27</v>
      </c>
      <c r="F884">
        <v>11.45</v>
      </c>
      <c r="G884">
        <v>45644</v>
      </c>
      <c r="H884">
        <v>52050924</v>
      </c>
      <c r="I884">
        <v>0.69</v>
      </c>
      <c r="J884" t="s">
        <v>297</v>
      </c>
      <c r="K884" t="s">
        <v>2</v>
      </c>
      <c r="L884">
        <v>-0.35</v>
      </c>
      <c r="M884">
        <v>11.4</v>
      </c>
      <c r="N884">
        <v>25270</v>
      </c>
      <c r="O884">
        <v>20374</v>
      </c>
      <c r="P884">
        <v>1.24</v>
      </c>
      <c r="Q884">
        <v>113</v>
      </c>
      <c r="R884">
        <v>176</v>
      </c>
      <c r="S884" t="s">
        <v>3</v>
      </c>
      <c r="T884">
        <v>80020</v>
      </c>
      <c r="U884" t="s">
        <v>2488</v>
      </c>
      <c r="V884" t="s">
        <v>2489</v>
      </c>
      <c r="W884">
        <v>-0.19</v>
      </c>
    </row>
    <row r="885" spans="1:23">
      <c r="A885" t="str">
        <f>"002420"</f>
        <v>002420</v>
      </c>
      <c r="B885" t="s">
        <v>2490</v>
      </c>
      <c r="C885">
        <v>6.49</v>
      </c>
      <c r="D885">
        <v>6.56</v>
      </c>
      <c r="E885">
        <v>6.37</v>
      </c>
      <c r="F885">
        <v>6.42</v>
      </c>
      <c r="G885">
        <v>70996</v>
      </c>
      <c r="H885">
        <v>45700116</v>
      </c>
      <c r="I885">
        <v>1.1499999999999999</v>
      </c>
      <c r="J885" t="s">
        <v>273</v>
      </c>
      <c r="K885" t="s">
        <v>211</v>
      </c>
      <c r="L885">
        <v>-1.23</v>
      </c>
      <c r="M885">
        <v>6.44</v>
      </c>
      <c r="N885">
        <v>49860</v>
      </c>
      <c r="O885">
        <v>21136</v>
      </c>
      <c r="P885">
        <v>2.36</v>
      </c>
      <c r="Q885">
        <v>280</v>
      </c>
      <c r="R885">
        <v>393</v>
      </c>
      <c r="S885" t="s">
        <v>3</v>
      </c>
      <c r="T885">
        <v>37782.35</v>
      </c>
      <c r="U885" t="s">
        <v>2491</v>
      </c>
      <c r="V885" t="s">
        <v>2492</v>
      </c>
      <c r="W885">
        <v>-1.07</v>
      </c>
    </row>
    <row r="886" spans="1:23">
      <c r="A886" t="str">
        <f>"002421"</f>
        <v>002421</v>
      </c>
      <c r="B886" t="s">
        <v>2493</v>
      </c>
      <c r="C886">
        <v>32.65</v>
      </c>
      <c r="D886">
        <v>33.18</v>
      </c>
      <c r="E886">
        <v>32.18</v>
      </c>
      <c r="F886">
        <v>32.36</v>
      </c>
      <c r="G886">
        <v>18400</v>
      </c>
      <c r="H886">
        <v>59884528</v>
      </c>
      <c r="I886">
        <v>1.04</v>
      </c>
      <c r="J886" t="s">
        <v>758</v>
      </c>
      <c r="K886" t="s">
        <v>2</v>
      </c>
      <c r="L886">
        <v>-1.43</v>
      </c>
      <c r="M886">
        <v>32.549999999999997</v>
      </c>
      <c r="N886">
        <v>11156</v>
      </c>
      <c r="O886">
        <v>7244</v>
      </c>
      <c r="P886">
        <v>1.54</v>
      </c>
      <c r="Q886">
        <v>2</v>
      </c>
      <c r="R886">
        <v>8</v>
      </c>
      <c r="S886" t="s">
        <v>3</v>
      </c>
      <c r="T886">
        <v>20414.93</v>
      </c>
      <c r="U886" t="s">
        <v>2494</v>
      </c>
      <c r="V886" t="s">
        <v>2495</v>
      </c>
      <c r="W886">
        <v>-1.27</v>
      </c>
    </row>
    <row r="887" spans="1:23">
      <c r="A887" t="str">
        <f>"002422"</f>
        <v>002422</v>
      </c>
      <c r="B887" t="s">
        <v>2496</v>
      </c>
      <c r="C887">
        <v>29.49</v>
      </c>
      <c r="D887">
        <v>29.68</v>
      </c>
      <c r="E887">
        <v>29.03</v>
      </c>
      <c r="F887">
        <v>29.51</v>
      </c>
      <c r="G887">
        <v>81074</v>
      </c>
      <c r="H887">
        <v>238223568</v>
      </c>
      <c r="I887">
        <v>1</v>
      </c>
      <c r="J887" t="s">
        <v>219</v>
      </c>
      <c r="K887" t="s">
        <v>225</v>
      </c>
      <c r="L887">
        <v>0.31</v>
      </c>
      <c r="M887">
        <v>29.38</v>
      </c>
      <c r="N887">
        <v>42100</v>
      </c>
      <c r="O887">
        <v>38974</v>
      </c>
      <c r="P887">
        <v>1.08</v>
      </c>
      <c r="Q887">
        <v>278</v>
      </c>
      <c r="R887">
        <v>433</v>
      </c>
      <c r="S887" t="s">
        <v>3</v>
      </c>
      <c r="T887">
        <v>35488.730000000003</v>
      </c>
      <c r="U887" t="s">
        <v>2497</v>
      </c>
      <c r="V887" t="s">
        <v>2498</v>
      </c>
      <c r="W887">
        <v>0.46</v>
      </c>
    </row>
    <row r="888" spans="1:23">
      <c r="A888" t="str">
        <f>"002423"</f>
        <v>002423</v>
      </c>
      <c r="B888" t="s">
        <v>2499</v>
      </c>
      <c r="C888">
        <v>11.46</v>
      </c>
      <c r="D888">
        <v>12.61</v>
      </c>
      <c r="E888">
        <v>11.4</v>
      </c>
      <c r="F888">
        <v>12.61</v>
      </c>
      <c r="G888">
        <v>203268</v>
      </c>
      <c r="H888">
        <v>248607840</v>
      </c>
      <c r="I888">
        <v>1.35</v>
      </c>
      <c r="J888" t="s">
        <v>815</v>
      </c>
      <c r="K888" t="s">
        <v>254</v>
      </c>
      <c r="L888">
        <v>10.029999999999999</v>
      </c>
      <c r="M888">
        <v>12.23</v>
      </c>
      <c r="N888">
        <v>115754</v>
      </c>
      <c r="O888">
        <v>87514</v>
      </c>
      <c r="P888">
        <v>1.32</v>
      </c>
      <c r="Q888">
        <v>39615</v>
      </c>
      <c r="R888">
        <v>0</v>
      </c>
      <c r="S888" t="s">
        <v>3</v>
      </c>
      <c r="T888">
        <v>46551</v>
      </c>
      <c r="U888" t="s">
        <v>2500</v>
      </c>
      <c r="V888" t="s">
        <v>2500</v>
      </c>
      <c r="W888">
        <v>10.19</v>
      </c>
    </row>
    <row r="889" spans="1:23">
      <c r="A889" t="str">
        <f>"002424"</f>
        <v>002424</v>
      </c>
      <c r="B889" t="s">
        <v>2501</v>
      </c>
      <c r="C889">
        <v>35.18</v>
      </c>
      <c r="D889">
        <v>35.35</v>
      </c>
      <c r="E889">
        <v>34.25</v>
      </c>
      <c r="F889">
        <v>34.36</v>
      </c>
      <c r="G889">
        <v>26474</v>
      </c>
      <c r="H889">
        <v>91380800</v>
      </c>
      <c r="I889">
        <v>0.98</v>
      </c>
      <c r="J889" t="s">
        <v>321</v>
      </c>
      <c r="K889" t="s">
        <v>452</v>
      </c>
      <c r="L889">
        <v>-2.11</v>
      </c>
      <c r="M889">
        <v>34.520000000000003</v>
      </c>
      <c r="N889">
        <v>17203</v>
      </c>
      <c r="O889">
        <v>9271</v>
      </c>
      <c r="P889">
        <v>1.86</v>
      </c>
      <c r="Q889">
        <v>712</v>
      </c>
      <c r="R889">
        <v>5</v>
      </c>
      <c r="S889" t="s">
        <v>3</v>
      </c>
      <c r="T889">
        <v>20630.240000000002</v>
      </c>
      <c r="U889" t="s">
        <v>2502</v>
      </c>
      <c r="V889" t="s">
        <v>2503</v>
      </c>
      <c r="W889">
        <v>-1.95</v>
      </c>
    </row>
    <row r="890" spans="1:23">
      <c r="A890" t="str">
        <f>"002425"</f>
        <v>002425</v>
      </c>
      <c r="B890" t="s">
        <v>2504</v>
      </c>
      <c r="C890">
        <v>13.21</v>
      </c>
      <c r="D890">
        <v>13.24</v>
      </c>
      <c r="E890">
        <v>12.76</v>
      </c>
      <c r="F890">
        <v>13.07</v>
      </c>
      <c r="G890">
        <v>94586</v>
      </c>
      <c r="H890">
        <v>122933656</v>
      </c>
      <c r="I890">
        <v>0.65</v>
      </c>
      <c r="J890" t="s">
        <v>1373</v>
      </c>
      <c r="K890" t="s">
        <v>211</v>
      </c>
      <c r="L890">
        <v>0</v>
      </c>
      <c r="M890">
        <v>13</v>
      </c>
      <c r="N890">
        <v>55590</v>
      </c>
      <c r="O890">
        <v>38996</v>
      </c>
      <c r="P890">
        <v>1.43</v>
      </c>
      <c r="Q890">
        <v>50</v>
      </c>
      <c r="R890">
        <v>207</v>
      </c>
      <c r="S890" t="s">
        <v>3</v>
      </c>
      <c r="T890">
        <v>37881</v>
      </c>
      <c r="U890" t="s">
        <v>2076</v>
      </c>
      <c r="V890" t="s">
        <v>2505</v>
      </c>
      <c r="W890">
        <v>0.16</v>
      </c>
    </row>
    <row r="891" spans="1:23">
      <c r="A891" t="str">
        <f>"002426"</f>
        <v>002426</v>
      </c>
      <c r="B891" t="s">
        <v>2506</v>
      </c>
      <c r="C891">
        <v>11.6</v>
      </c>
      <c r="D891">
        <v>11.98</v>
      </c>
      <c r="E891">
        <v>11.19</v>
      </c>
      <c r="F891">
        <v>11.45</v>
      </c>
      <c r="G891">
        <v>330833</v>
      </c>
      <c r="H891">
        <v>383478048</v>
      </c>
      <c r="I891">
        <v>2.13</v>
      </c>
      <c r="J891" t="s">
        <v>62</v>
      </c>
      <c r="K891" t="s">
        <v>244</v>
      </c>
      <c r="L891">
        <v>2.5099999999999998</v>
      </c>
      <c r="M891">
        <v>11.59</v>
      </c>
      <c r="N891">
        <v>171619</v>
      </c>
      <c r="O891">
        <v>159214</v>
      </c>
      <c r="P891">
        <v>1.08</v>
      </c>
      <c r="Q891">
        <v>1025</v>
      </c>
      <c r="R891">
        <v>1195</v>
      </c>
      <c r="S891" t="s">
        <v>3</v>
      </c>
      <c r="T891">
        <v>35306.58</v>
      </c>
      <c r="U891" t="s">
        <v>2507</v>
      </c>
      <c r="V891" t="s">
        <v>2508</v>
      </c>
      <c r="W891">
        <v>2.67</v>
      </c>
    </row>
    <row r="892" spans="1:23">
      <c r="A892" t="str">
        <f>"002427"</f>
        <v>002427</v>
      </c>
      <c r="B892" t="s">
        <v>2509</v>
      </c>
      <c r="C892">
        <v>14.04</v>
      </c>
      <c r="D892">
        <v>14.04</v>
      </c>
      <c r="E892">
        <v>13.82</v>
      </c>
      <c r="F892">
        <v>13.94</v>
      </c>
      <c r="G892">
        <v>31780</v>
      </c>
      <c r="H892">
        <v>44243976</v>
      </c>
      <c r="I892">
        <v>0.72</v>
      </c>
      <c r="J892" t="s">
        <v>310</v>
      </c>
      <c r="K892" t="s">
        <v>229</v>
      </c>
      <c r="L892">
        <v>-0.5</v>
      </c>
      <c r="M892">
        <v>13.92</v>
      </c>
      <c r="N892">
        <v>18839</v>
      </c>
      <c r="O892">
        <v>12940</v>
      </c>
      <c r="P892">
        <v>1.46</v>
      </c>
      <c r="Q892">
        <v>332</v>
      </c>
      <c r="R892">
        <v>160</v>
      </c>
      <c r="S892" t="s">
        <v>3</v>
      </c>
      <c r="T892">
        <v>23818.07</v>
      </c>
      <c r="U892" t="s">
        <v>2510</v>
      </c>
      <c r="V892" t="s">
        <v>2510</v>
      </c>
      <c r="W892">
        <v>-0.34</v>
      </c>
    </row>
    <row r="893" spans="1:23">
      <c r="A893" t="str">
        <f>"002428"</f>
        <v>002428</v>
      </c>
      <c r="B893" t="s">
        <v>2511</v>
      </c>
      <c r="C893">
        <v>14.18</v>
      </c>
      <c r="D893">
        <v>14.31</v>
      </c>
      <c r="E893">
        <v>14.06</v>
      </c>
      <c r="F893">
        <v>14.1</v>
      </c>
      <c r="G893">
        <v>147973</v>
      </c>
      <c r="H893">
        <v>209463392</v>
      </c>
      <c r="I893">
        <v>0.72</v>
      </c>
      <c r="J893" t="s">
        <v>328</v>
      </c>
      <c r="K893" t="s">
        <v>445</v>
      </c>
      <c r="L893">
        <v>-0.35</v>
      </c>
      <c r="M893">
        <v>14.16</v>
      </c>
      <c r="N893">
        <v>86346</v>
      </c>
      <c r="O893">
        <v>61626</v>
      </c>
      <c r="P893">
        <v>1.4</v>
      </c>
      <c r="Q893">
        <v>519</v>
      </c>
      <c r="R893">
        <v>34</v>
      </c>
      <c r="S893" t="s">
        <v>3</v>
      </c>
      <c r="T893">
        <v>62002.58</v>
      </c>
      <c r="U893" t="s">
        <v>2512</v>
      </c>
      <c r="V893" t="s">
        <v>2513</v>
      </c>
      <c r="W893">
        <v>-0.19</v>
      </c>
    </row>
    <row r="894" spans="1:23">
      <c r="A894" t="str">
        <f>"002429"</f>
        <v>002429</v>
      </c>
      <c r="B894" t="s">
        <v>2514</v>
      </c>
      <c r="C894">
        <v>8.3000000000000007</v>
      </c>
      <c r="D894">
        <v>8.33</v>
      </c>
      <c r="E894">
        <v>8.18</v>
      </c>
      <c r="F894">
        <v>8.24</v>
      </c>
      <c r="G894">
        <v>135640</v>
      </c>
      <c r="H894">
        <v>111749920</v>
      </c>
      <c r="I894">
        <v>1.07</v>
      </c>
      <c r="J894" t="s">
        <v>47</v>
      </c>
      <c r="K894" t="s">
        <v>2</v>
      </c>
      <c r="L894">
        <v>-0.12</v>
      </c>
      <c r="M894">
        <v>8.24</v>
      </c>
      <c r="N894">
        <v>77635</v>
      </c>
      <c r="O894">
        <v>58005</v>
      </c>
      <c r="P894">
        <v>1.34</v>
      </c>
      <c r="Q894">
        <v>80</v>
      </c>
      <c r="R894">
        <v>1547</v>
      </c>
      <c r="S894" t="s">
        <v>3</v>
      </c>
      <c r="T894">
        <v>158184.06</v>
      </c>
      <c r="U894" t="s">
        <v>2515</v>
      </c>
      <c r="V894" t="s">
        <v>2516</v>
      </c>
      <c r="W894">
        <v>0.04</v>
      </c>
    </row>
    <row r="895" spans="1:23">
      <c r="A895" t="str">
        <f>"002430"</f>
        <v>002430</v>
      </c>
      <c r="B895" t="s">
        <v>2517</v>
      </c>
      <c r="C895">
        <v>7.48</v>
      </c>
      <c r="D895">
        <v>7.59</v>
      </c>
      <c r="E895">
        <v>7.44</v>
      </c>
      <c r="F895">
        <v>7.5</v>
      </c>
      <c r="G895">
        <v>57565</v>
      </c>
      <c r="H895">
        <v>43214828</v>
      </c>
      <c r="I895">
        <v>1.38</v>
      </c>
      <c r="J895" t="s">
        <v>1082</v>
      </c>
      <c r="K895" t="s">
        <v>229</v>
      </c>
      <c r="L895">
        <v>0.27</v>
      </c>
      <c r="M895">
        <v>7.51</v>
      </c>
      <c r="N895">
        <v>32835</v>
      </c>
      <c r="O895">
        <v>24730</v>
      </c>
      <c r="P895">
        <v>1.33</v>
      </c>
      <c r="Q895">
        <v>643</v>
      </c>
      <c r="R895">
        <v>81</v>
      </c>
      <c r="S895" t="s">
        <v>3</v>
      </c>
      <c r="T895">
        <v>80843.95</v>
      </c>
      <c r="U895" t="s">
        <v>2518</v>
      </c>
      <c r="V895" t="s">
        <v>2519</v>
      </c>
      <c r="W895">
        <v>0.43</v>
      </c>
    </row>
    <row r="896" spans="1:23">
      <c r="A896" t="str">
        <f>"002431"</f>
        <v>002431</v>
      </c>
      <c r="B896" t="s">
        <v>2520</v>
      </c>
      <c r="C896">
        <v>18.760000000000002</v>
      </c>
      <c r="D896">
        <v>18.77</v>
      </c>
      <c r="E896">
        <v>18.59</v>
      </c>
      <c r="F896">
        <v>18.73</v>
      </c>
      <c r="G896">
        <v>53480</v>
      </c>
      <c r="H896">
        <v>99987944</v>
      </c>
      <c r="I896">
        <v>0.71</v>
      </c>
      <c r="J896" t="s">
        <v>33</v>
      </c>
      <c r="K896" t="s">
        <v>211</v>
      </c>
      <c r="L896">
        <v>0.16</v>
      </c>
      <c r="M896">
        <v>18.7</v>
      </c>
      <c r="N896">
        <v>24504</v>
      </c>
      <c r="O896">
        <v>28976</v>
      </c>
      <c r="P896">
        <v>0.85</v>
      </c>
      <c r="Q896">
        <v>232</v>
      </c>
      <c r="R896">
        <v>147</v>
      </c>
      <c r="S896" t="s">
        <v>3</v>
      </c>
      <c r="T896">
        <v>25304.639999999999</v>
      </c>
      <c r="U896" t="s">
        <v>2521</v>
      </c>
      <c r="V896" t="s">
        <v>2522</v>
      </c>
      <c r="W896">
        <v>0.32</v>
      </c>
    </row>
    <row r="897" spans="1:23">
      <c r="A897" t="str">
        <f>"002432"</f>
        <v>002432</v>
      </c>
      <c r="B897" t="s">
        <v>2523</v>
      </c>
      <c r="C897" t="s">
        <v>3</v>
      </c>
      <c r="D897" t="s">
        <v>3</v>
      </c>
      <c r="E897" t="s">
        <v>3</v>
      </c>
      <c r="F897">
        <v>0</v>
      </c>
      <c r="G897">
        <v>0</v>
      </c>
      <c r="H897">
        <v>0</v>
      </c>
      <c r="I897">
        <v>0</v>
      </c>
      <c r="J897" t="s">
        <v>1971</v>
      </c>
      <c r="K897" t="s">
        <v>442</v>
      </c>
      <c r="L897" t="s">
        <v>3</v>
      </c>
      <c r="M897">
        <v>20.98</v>
      </c>
      <c r="N897">
        <v>0</v>
      </c>
      <c r="O897">
        <v>0</v>
      </c>
      <c r="P897" t="s">
        <v>3</v>
      </c>
      <c r="Q897">
        <v>0</v>
      </c>
      <c r="R897">
        <v>0</v>
      </c>
      <c r="S897" t="s">
        <v>3</v>
      </c>
      <c r="T897">
        <v>37200</v>
      </c>
      <c r="U897" t="s">
        <v>2524</v>
      </c>
      <c r="V897" t="s">
        <v>2524</v>
      </c>
      <c r="W897">
        <v>0.16</v>
      </c>
    </row>
    <row r="898" spans="1:23">
      <c r="A898" t="str">
        <f>"002433"</f>
        <v>002433</v>
      </c>
      <c r="B898" t="s">
        <v>2525</v>
      </c>
      <c r="C898">
        <v>12.01</v>
      </c>
      <c r="D898">
        <v>12.07</v>
      </c>
      <c r="E898">
        <v>11.76</v>
      </c>
      <c r="F898">
        <v>11.85</v>
      </c>
      <c r="G898">
        <v>142731</v>
      </c>
      <c r="H898">
        <v>169096288</v>
      </c>
      <c r="I898">
        <v>1.06</v>
      </c>
      <c r="J898" t="s">
        <v>321</v>
      </c>
      <c r="K898" t="s">
        <v>211</v>
      </c>
      <c r="L898">
        <v>-1.25</v>
      </c>
      <c r="M898">
        <v>11.85</v>
      </c>
      <c r="N898">
        <v>84367</v>
      </c>
      <c r="O898">
        <v>58363</v>
      </c>
      <c r="P898">
        <v>1.45</v>
      </c>
      <c r="Q898">
        <v>352</v>
      </c>
      <c r="R898">
        <v>723</v>
      </c>
      <c r="S898" t="s">
        <v>3</v>
      </c>
      <c r="T898">
        <v>52615</v>
      </c>
      <c r="U898" t="s">
        <v>2526</v>
      </c>
      <c r="V898" t="s">
        <v>2527</v>
      </c>
      <c r="W898">
        <v>-1.0900000000000001</v>
      </c>
    </row>
    <row r="899" spans="1:23">
      <c r="A899" t="str">
        <f>"002434"</f>
        <v>002434</v>
      </c>
      <c r="B899" t="s">
        <v>2528</v>
      </c>
      <c r="C899">
        <v>13.28</v>
      </c>
      <c r="D899">
        <v>13.3</v>
      </c>
      <c r="E899">
        <v>13.15</v>
      </c>
      <c r="F899">
        <v>13.28</v>
      </c>
      <c r="G899">
        <v>18659</v>
      </c>
      <c r="H899">
        <v>24681882</v>
      </c>
      <c r="I899">
        <v>0.78</v>
      </c>
      <c r="J899" t="s">
        <v>98</v>
      </c>
      <c r="K899" t="s">
        <v>229</v>
      </c>
      <c r="L899">
        <v>0</v>
      </c>
      <c r="M899">
        <v>13.23</v>
      </c>
      <c r="N899">
        <v>9716</v>
      </c>
      <c r="O899">
        <v>8942</v>
      </c>
      <c r="P899">
        <v>1.0900000000000001</v>
      </c>
      <c r="Q899">
        <v>15</v>
      </c>
      <c r="R899">
        <v>251</v>
      </c>
      <c r="S899" t="s">
        <v>3</v>
      </c>
      <c r="T899">
        <v>32679.360000000001</v>
      </c>
      <c r="U899" t="s">
        <v>875</v>
      </c>
      <c r="V899" t="s">
        <v>2529</v>
      </c>
      <c r="W899">
        <v>0.16</v>
      </c>
    </row>
    <row r="900" spans="1:23">
      <c r="A900" t="str">
        <f>"002435"</f>
        <v>002435</v>
      </c>
      <c r="B900" t="s">
        <v>2530</v>
      </c>
      <c r="C900">
        <v>10.01</v>
      </c>
      <c r="D900">
        <v>10.42</v>
      </c>
      <c r="E900">
        <v>9.98</v>
      </c>
      <c r="F900">
        <v>10.35</v>
      </c>
      <c r="G900">
        <v>43311</v>
      </c>
      <c r="H900">
        <v>44344472</v>
      </c>
      <c r="I900">
        <v>1.67</v>
      </c>
      <c r="J900" t="s">
        <v>398</v>
      </c>
      <c r="K900" t="s">
        <v>244</v>
      </c>
      <c r="L900">
        <v>3.19</v>
      </c>
      <c r="M900">
        <v>10.24</v>
      </c>
      <c r="N900">
        <v>16790</v>
      </c>
      <c r="O900">
        <v>26520</v>
      </c>
      <c r="P900">
        <v>0.63</v>
      </c>
      <c r="Q900">
        <v>403</v>
      </c>
      <c r="R900">
        <v>160</v>
      </c>
      <c r="S900" t="s">
        <v>3</v>
      </c>
      <c r="T900">
        <v>17897.330000000002</v>
      </c>
      <c r="U900" t="s">
        <v>2531</v>
      </c>
      <c r="V900" t="s">
        <v>1083</v>
      </c>
      <c r="W900">
        <v>3.35</v>
      </c>
    </row>
    <row r="901" spans="1:23">
      <c r="A901" t="str">
        <f>"002436"</f>
        <v>002436</v>
      </c>
      <c r="B901" t="s">
        <v>2532</v>
      </c>
      <c r="C901">
        <v>28.67</v>
      </c>
      <c r="D901">
        <v>29.5</v>
      </c>
      <c r="E901">
        <v>28.1</v>
      </c>
      <c r="F901">
        <v>28.91</v>
      </c>
      <c r="G901">
        <v>22456</v>
      </c>
      <c r="H901">
        <v>64061352</v>
      </c>
      <c r="I901">
        <v>0.75</v>
      </c>
      <c r="J901" t="s">
        <v>62</v>
      </c>
      <c r="K901" t="s">
        <v>2</v>
      </c>
      <c r="L901">
        <v>1.08</v>
      </c>
      <c r="M901">
        <v>28.53</v>
      </c>
      <c r="N901">
        <v>10493</v>
      </c>
      <c r="O901">
        <v>11963</v>
      </c>
      <c r="P901">
        <v>0.88</v>
      </c>
      <c r="Q901">
        <v>29</v>
      </c>
      <c r="R901">
        <v>2</v>
      </c>
      <c r="S901" t="s">
        <v>3</v>
      </c>
      <c r="T901">
        <v>15335.95</v>
      </c>
      <c r="U901" t="s">
        <v>2533</v>
      </c>
      <c r="V901" t="s">
        <v>2534</v>
      </c>
      <c r="W901">
        <v>1.24</v>
      </c>
    </row>
    <row r="902" spans="1:23">
      <c r="A902" t="str">
        <f>"002437"</f>
        <v>002437</v>
      </c>
      <c r="B902" t="s">
        <v>2535</v>
      </c>
      <c r="C902">
        <v>56.55</v>
      </c>
      <c r="D902">
        <v>57.1</v>
      </c>
      <c r="E902">
        <v>56.06</v>
      </c>
      <c r="F902">
        <v>56.32</v>
      </c>
      <c r="G902">
        <v>27209</v>
      </c>
      <c r="H902">
        <v>153710560</v>
      </c>
      <c r="I902">
        <v>1.47</v>
      </c>
      <c r="J902" t="s">
        <v>219</v>
      </c>
      <c r="K902" t="s">
        <v>565</v>
      </c>
      <c r="L902">
        <v>-0.16</v>
      </c>
      <c r="M902">
        <v>56.49</v>
      </c>
      <c r="N902">
        <v>15707</v>
      </c>
      <c r="O902">
        <v>11502</v>
      </c>
      <c r="P902">
        <v>1.37</v>
      </c>
      <c r="Q902">
        <v>62</v>
      </c>
      <c r="R902">
        <v>12</v>
      </c>
      <c r="S902" t="s">
        <v>3</v>
      </c>
      <c r="T902">
        <v>28000</v>
      </c>
      <c r="U902" t="s">
        <v>2536</v>
      </c>
      <c r="V902" t="s">
        <v>2536</v>
      </c>
      <c r="W902">
        <v>0</v>
      </c>
    </row>
    <row r="903" spans="1:23">
      <c r="A903" t="str">
        <f>"002438"</f>
        <v>002438</v>
      </c>
      <c r="B903" t="s">
        <v>2537</v>
      </c>
      <c r="C903">
        <v>17.899999999999999</v>
      </c>
      <c r="D903">
        <v>18.079999999999998</v>
      </c>
      <c r="E903">
        <v>17.71</v>
      </c>
      <c r="F903">
        <v>18.079999999999998</v>
      </c>
      <c r="G903">
        <v>52368</v>
      </c>
      <c r="H903">
        <v>93727696</v>
      </c>
      <c r="I903">
        <v>1.21</v>
      </c>
      <c r="J903" t="s">
        <v>398</v>
      </c>
      <c r="K903" t="s">
        <v>244</v>
      </c>
      <c r="L903">
        <v>1.52</v>
      </c>
      <c r="M903">
        <v>17.899999999999999</v>
      </c>
      <c r="N903">
        <v>23484</v>
      </c>
      <c r="O903">
        <v>28883</v>
      </c>
      <c r="P903">
        <v>0.81</v>
      </c>
      <c r="Q903">
        <v>129</v>
      </c>
      <c r="R903">
        <v>207</v>
      </c>
      <c r="S903" t="s">
        <v>3</v>
      </c>
      <c r="T903">
        <v>12716.91</v>
      </c>
      <c r="U903" t="s">
        <v>2538</v>
      </c>
      <c r="V903" t="s">
        <v>2539</v>
      </c>
      <c r="W903">
        <v>1.67</v>
      </c>
    </row>
    <row r="904" spans="1:23">
      <c r="A904" t="str">
        <f>"002439"</f>
        <v>002439</v>
      </c>
      <c r="B904" t="s">
        <v>2540</v>
      </c>
      <c r="C904" t="s">
        <v>3</v>
      </c>
      <c r="D904" t="s">
        <v>3</v>
      </c>
      <c r="E904" t="s">
        <v>3</v>
      </c>
      <c r="F904">
        <v>0</v>
      </c>
      <c r="G904">
        <v>0</v>
      </c>
      <c r="H904">
        <v>0</v>
      </c>
      <c r="I904">
        <v>0</v>
      </c>
      <c r="J904" t="s">
        <v>758</v>
      </c>
      <c r="K904" t="s">
        <v>34</v>
      </c>
      <c r="L904" t="s">
        <v>3</v>
      </c>
      <c r="M904">
        <v>22.11</v>
      </c>
      <c r="N904">
        <v>0</v>
      </c>
      <c r="O904">
        <v>0</v>
      </c>
      <c r="P904" t="s">
        <v>3</v>
      </c>
      <c r="Q904">
        <v>0</v>
      </c>
      <c r="R904">
        <v>0</v>
      </c>
      <c r="S904" t="s">
        <v>3</v>
      </c>
      <c r="T904">
        <v>26088.46</v>
      </c>
      <c r="U904" t="s">
        <v>1053</v>
      </c>
      <c r="V904" t="s">
        <v>2541</v>
      </c>
      <c r="W904">
        <v>0.16</v>
      </c>
    </row>
    <row r="905" spans="1:23">
      <c r="A905" t="str">
        <f>"002440"</f>
        <v>002440</v>
      </c>
      <c r="B905" t="s">
        <v>2542</v>
      </c>
      <c r="C905">
        <v>19.48</v>
      </c>
      <c r="D905">
        <v>19.63</v>
      </c>
      <c r="E905">
        <v>19.190000000000001</v>
      </c>
      <c r="F905">
        <v>19.36</v>
      </c>
      <c r="G905">
        <v>148513</v>
      </c>
      <c r="H905">
        <v>287012032</v>
      </c>
      <c r="I905">
        <v>0.96</v>
      </c>
      <c r="J905" t="s">
        <v>522</v>
      </c>
      <c r="K905" t="s">
        <v>229</v>
      </c>
      <c r="L905">
        <v>-0.72</v>
      </c>
      <c r="M905">
        <v>19.329999999999998</v>
      </c>
      <c r="N905">
        <v>90453</v>
      </c>
      <c r="O905">
        <v>58060</v>
      </c>
      <c r="P905">
        <v>1.56</v>
      </c>
      <c r="Q905">
        <v>429</v>
      </c>
      <c r="R905">
        <v>57</v>
      </c>
      <c r="S905" t="s">
        <v>3</v>
      </c>
      <c r="T905">
        <v>44518.32</v>
      </c>
      <c r="U905" t="s">
        <v>2543</v>
      </c>
      <c r="V905" t="s">
        <v>2544</v>
      </c>
      <c r="W905">
        <v>-0.56000000000000005</v>
      </c>
    </row>
    <row r="906" spans="1:23">
      <c r="A906" t="str">
        <f>"002441"</f>
        <v>002441</v>
      </c>
      <c r="B906" t="s">
        <v>2545</v>
      </c>
      <c r="C906" t="s">
        <v>3</v>
      </c>
      <c r="D906" t="s">
        <v>3</v>
      </c>
      <c r="E906" t="s">
        <v>3</v>
      </c>
      <c r="F906">
        <v>0</v>
      </c>
      <c r="G906">
        <v>0</v>
      </c>
      <c r="H906">
        <v>0</v>
      </c>
      <c r="I906">
        <v>0</v>
      </c>
      <c r="J906" t="s">
        <v>564</v>
      </c>
      <c r="K906" t="s">
        <v>211</v>
      </c>
      <c r="L906" t="s">
        <v>3</v>
      </c>
      <c r="M906">
        <v>17.95</v>
      </c>
      <c r="N906">
        <v>0</v>
      </c>
      <c r="O906">
        <v>0</v>
      </c>
      <c r="P906" t="s">
        <v>3</v>
      </c>
      <c r="Q906">
        <v>0</v>
      </c>
      <c r="R906">
        <v>0</v>
      </c>
      <c r="S906" t="s">
        <v>3</v>
      </c>
      <c r="T906">
        <v>14464.12</v>
      </c>
      <c r="U906" t="s">
        <v>890</v>
      </c>
      <c r="V906" t="s">
        <v>1853</v>
      </c>
      <c r="W906">
        <v>0.16</v>
      </c>
    </row>
    <row r="907" spans="1:23">
      <c r="A907" t="str">
        <f>"002442"</f>
        <v>002442</v>
      </c>
      <c r="B907" t="s">
        <v>2546</v>
      </c>
      <c r="C907">
        <v>5.9</v>
      </c>
      <c r="D907">
        <v>6.23</v>
      </c>
      <c r="E907">
        <v>5.89</v>
      </c>
      <c r="F907">
        <v>6.23</v>
      </c>
      <c r="G907">
        <v>207747</v>
      </c>
      <c r="H907">
        <v>126102064</v>
      </c>
      <c r="I907">
        <v>1.48</v>
      </c>
      <c r="J907" t="s">
        <v>376</v>
      </c>
      <c r="K907" t="s">
        <v>238</v>
      </c>
      <c r="L907">
        <v>5.77</v>
      </c>
      <c r="M907">
        <v>6.07</v>
      </c>
      <c r="N907">
        <v>91185</v>
      </c>
      <c r="O907">
        <v>116562</v>
      </c>
      <c r="P907">
        <v>0.78</v>
      </c>
      <c r="Q907">
        <v>1342</v>
      </c>
      <c r="R907">
        <v>1254</v>
      </c>
      <c r="S907" t="s">
        <v>3</v>
      </c>
      <c r="T907">
        <v>24228.31</v>
      </c>
      <c r="U907" t="s">
        <v>2547</v>
      </c>
      <c r="V907" t="s">
        <v>1374</v>
      </c>
      <c r="W907">
        <v>5.93</v>
      </c>
    </row>
    <row r="908" spans="1:23">
      <c r="A908" t="str">
        <f>"002443"</f>
        <v>002443</v>
      </c>
      <c r="B908" t="s">
        <v>2548</v>
      </c>
      <c r="C908" t="s">
        <v>3</v>
      </c>
      <c r="D908" t="s">
        <v>3</v>
      </c>
      <c r="E908" t="s">
        <v>3</v>
      </c>
      <c r="F908">
        <v>0</v>
      </c>
      <c r="G908">
        <v>0</v>
      </c>
      <c r="H908">
        <v>0</v>
      </c>
      <c r="I908">
        <v>0</v>
      </c>
      <c r="J908" t="s">
        <v>838</v>
      </c>
      <c r="K908" t="s">
        <v>229</v>
      </c>
      <c r="L908" t="s">
        <v>3</v>
      </c>
      <c r="M908">
        <v>6.32</v>
      </c>
      <c r="N908">
        <v>0</v>
      </c>
      <c r="O908">
        <v>0</v>
      </c>
      <c r="P908" t="s">
        <v>3</v>
      </c>
      <c r="Q908">
        <v>0</v>
      </c>
      <c r="R908">
        <v>0</v>
      </c>
      <c r="S908" t="s">
        <v>3</v>
      </c>
      <c r="T908">
        <v>48927.76</v>
      </c>
      <c r="U908" t="s">
        <v>2549</v>
      </c>
      <c r="V908" t="s">
        <v>1995</v>
      </c>
      <c r="W908">
        <v>0.16</v>
      </c>
    </row>
    <row r="909" spans="1:23">
      <c r="A909" t="str">
        <f>"002444"</f>
        <v>002444</v>
      </c>
      <c r="B909" t="s">
        <v>2550</v>
      </c>
      <c r="C909">
        <v>11.33</v>
      </c>
      <c r="D909">
        <v>11.4</v>
      </c>
      <c r="E909">
        <v>11.09</v>
      </c>
      <c r="F909">
        <v>11.26</v>
      </c>
      <c r="G909">
        <v>96364</v>
      </c>
      <c r="H909">
        <v>108039512</v>
      </c>
      <c r="I909">
        <v>0.69</v>
      </c>
      <c r="J909" t="s">
        <v>124</v>
      </c>
      <c r="K909" t="s">
        <v>229</v>
      </c>
      <c r="L909">
        <v>-0.44</v>
      </c>
      <c r="M909">
        <v>11.21</v>
      </c>
      <c r="N909">
        <v>57379</v>
      </c>
      <c r="O909">
        <v>38985</v>
      </c>
      <c r="P909">
        <v>1.47</v>
      </c>
      <c r="Q909">
        <v>152</v>
      </c>
      <c r="R909">
        <v>91</v>
      </c>
      <c r="S909" t="s">
        <v>3</v>
      </c>
      <c r="T909">
        <v>87460.32</v>
      </c>
      <c r="U909" t="s">
        <v>2551</v>
      </c>
      <c r="V909" t="s">
        <v>2552</v>
      </c>
      <c r="W909">
        <v>-0.28000000000000003</v>
      </c>
    </row>
    <row r="910" spans="1:23">
      <c r="A910" t="str">
        <f>"002445"</f>
        <v>002445</v>
      </c>
      <c r="B910" t="s">
        <v>2553</v>
      </c>
      <c r="C910">
        <v>17.260000000000002</v>
      </c>
      <c r="D910">
        <v>17.75</v>
      </c>
      <c r="E910">
        <v>17.02</v>
      </c>
      <c r="F910">
        <v>17.72</v>
      </c>
      <c r="G910">
        <v>37885</v>
      </c>
      <c r="H910">
        <v>66087844</v>
      </c>
      <c r="I910">
        <v>1</v>
      </c>
      <c r="J910" t="s">
        <v>398</v>
      </c>
      <c r="K910" t="s">
        <v>244</v>
      </c>
      <c r="L910">
        <v>2.67</v>
      </c>
      <c r="M910">
        <v>17.440000000000001</v>
      </c>
      <c r="N910">
        <v>15499</v>
      </c>
      <c r="O910">
        <v>22385</v>
      </c>
      <c r="P910">
        <v>0.69</v>
      </c>
      <c r="Q910">
        <v>265</v>
      </c>
      <c r="R910">
        <v>310</v>
      </c>
      <c r="S910" t="s">
        <v>3</v>
      </c>
      <c r="T910">
        <v>25065</v>
      </c>
      <c r="U910" t="s">
        <v>2554</v>
      </c>
      <c r="V910" t="s">
        <v>2555</v>
      </c>
      <c r="W910">
        <v>2.82</v>
      </c>
    </row>
    <row r="911" spans="1:23">
      <c r="A911" t="str">
        <f>"002446"</f>
        <v>002446</v>
      </c>
      <c r="B911" t="s">
        <v>2556</v>
      </c>
      <c r="C911">
        <v>26.2</v>
      </c>
      <c r="D911">
        <v>26.22</v>
      </c>
      <c r="E911">
        <v>25.75</v>
      </c>
      <c r="F911">
        <v>25.88</v>
      </c>
      <c r="G911">
        <v>9574</v>
      </c>
      <c r="H911">
        <v>24805032</v>
      </c>
      <c r="I911">
        <v>0.42</v>
      </c>
      <c r="J911" t="s">
        <v>112</v>
      </c>
      <c r="K911" t="s">
        <v>211</v>
      </c>
      <c r="L911">
        <v>-1.22</v>
      </c>
      <c r="M911">
        <v>25.91</v>
      </c>
      <c r="N911">
        <v>6150</v>
      </c>
      <c r="O911">
        <v>3424</v>
      </c>
      <c r="P911">
        <v>1.8</v>
      </c>
      <c r="Q911">
        <v>170</v>
      </c>
      <c r="R911">
        <v>19</v>
      </c>
      <c r="S911" t="s">
        <v>3</v>
      </c>
      <c r="T911">
        <v>6997.37</v>
      </c>
      <c r="U911" t="s">
        <v>1467</v>
      </c>
      <c r="V911" t="s">
        <v>2557</v>
      </c>
      <c r="W911">
        <v>-1.06</v>
      </c>
    </row>
    <row r="912" spans="1:23">
      <c r="A912" t="str">
        <f>"002447"</f>
        <v>002447</v>
      </c>
      <c r="B912" t="s">
        <v>2558</v>
      </c>
      <c r="C912">
        <v>17.510000000000002</v>
      </c>
      <c r="D912">
        <v>17.600000000000001</v>
      </c>
      <c r="E912">
        <v>17.22</v>
      </c>
      <c r="F912">
        <v>17.39</v>
      </c>
      <c r="G912">
        <v>26021</v>
      </c>
      <c r="H912">
        <v>45086524</v>
      </c>
      <c r="I912">
        <v>0.76</v>
      </c>
      <c r="J912" t="s">
        <v>988</v>
      </c>
      <c r="K912" t="s">
        <v>162</v>
      </c>
      <c r="L912">
        <v>-1.47</v>
      </c>
      <c r="M912">
        <v>17.329999999999998</v>
      </c>
      <c r="N912">
        <v>16231</v>
      </c>
      <c r="O912">
        <v>9790</v>
      </c>
      <c r="P912">
        <v>1.66</v>
      </c>
      <c r="Q912">
        <v>3</v>
      </c>
      <c r="R912">
        <v>32</v>
      </c>
      <c r="S912" t="s">
        <v>3</v>
      </c>
      <c r="T912">
        <v>21961.5</v>
      </c>
      <c r="U912" t="s">
        <v>2559</v>
      </c>
      <c r="V912" t="s">
        <v>2560</v>
      </c>
      <c r="W912">
        <v>-1.31</v>
      </c>
    </row>
    <row r="913" spans="1:23">
      <c r="A913" t="str">
        <f>"002448"</f>
        <v>002448</v>
      </c>
      <c r="B913" t="s">
        <v>2561</v>
      </c>
      <c r="C913">
        <v>14.74</v>
      </c>
      <c r="D913">
        <v>14.74</v>
      </c>
      <c r="E913">
        <v>14.32</v>
      </c>
      <c r="F913">
        <v>14.5</v>
      </c>
      <c r="G913">
        <v>50267</v>
      </c>
      <c r="H913">
        <v>72877136</v>
      </c>
      <c r="I913">
        <v>0.71</v>
      </c>
      <c r="J913" t="s">
        <v>1208</v>
      </c>
      <c r="K913" t="s">
        <v>254</v>
      </c>
      <c r="L913">
        <v>7.0000000000000007E-2</v>
      </c>
      <c r="M913">
        <v>14.5</v>
      </c>
      <c r="N913">
        <v>25750</v>
      </c>
      <c r="O913">
        <v>24516</v>
      </c>
      <c r="P913">
        <v>1.05</v>
      </c>
      <c r="Q913">
        <v>379</v>
      </c>
      <c r="R913">
        <v>103</v>
      </c>
      <c r="S913" t="s">
        <v>3</v>
      </c>
      <c r="T913">
        <v>17946.900000000001</v>
      </c>
      <c r="U913" t="s">
        <v>2562</v>
      </c>
      <c r="V913" t="s">
        <v>1809</v>
      </c>
      <c r="W913">
        <v>0.23</v>
      </c>
    </row>
    <row r="914" spans="1:23">
      <c r="A914" t="str">
        <f>"002449"</f>
        <v>002449</v>
      </c>
      <c r="B914" t="s">
        <v>2563</v>
      </c>
      <c r="C914" t="s">
        <v>3</v>
      </c>
      <c r="D914" t="s">
        <v>3</v>
      </c>
      <c r="E914" t="s">
        <v>3</v>
      </c>
      <c r="F914">
        <v>0</v>
      </c>
      <c r="G914">
        <v>0</v>
      </c>
      <c r="H914">
        <v>0</v>
      </c>
      <c r="I914">
        <v>0</v>
      </c>
      <c r="J914" t="s">
        <v>1581</v>
      </c>
      <c r="K914" t="s">
        <v>211</v>
      </c>
      <c r="L914" t="s">
        <v>3</v>
      </c>
      <c r="M914">
        <v>10.68</v>
      </c>
      <c r="N914">
        <v>0</v>
      </c>
      <c r="O914">
        <v>0</v>
      </c>
      <c r="P914" t="s">
        <v>3</v>
      </c>
      <c r="Q914">
        <v>0</v>
      </c>
      <c r="R914">
        <v>0</v>
      </c>
      <c r="S914" t="s">
        <v>3</v>
      </c>
      <c r="T914">
        <v>35221.82</v>
      </c>
      <c r="U914" t="s">
        <v>2564</v>
      </c>
      <c r="V914" t="s">
        <v>2565</v>
      </c>
      <c r="W914">
        <v>0.16</v>
      </c>
    </row>
    <row r="915" spans="1:23">
      <c r="A915" t="str">
        <f>"002450"</f>
        <v>002450</v>
      </c>
      <c r="B915" t="s">
        <v>2566</v>
      </c>
      <c r="C915">
        <v>27.8</v>
      </c>
      <c r="D915">
        <v>29.52</v>
      </c>
      <c r="E915">
        <v>27.8</v>
      </c>
      <c r="F915">
        <v>28.52</v>
      </c>
      <c r="G915">
        <v>249016</v>
      </c>
      <c r="H915">
        <v>716121664</v>
      </c>
      <c r="I915">
        <v>2.16</v>
      </c>
      <c r="J915" t="s">
        <v>376</v>
      </c>
      <c r="K915" t="s">
        <v>244</v>
      </c>
      <c r="L915">
        <v>3.15</v>
      </c>
      <c r="M915">
        <v>28.76</v>
      </c>
      <c r="N915">
        <v>124400</v>
      </c>
      <c r="O915">
        <v>124615</v>
      </c>
      <c r="P915">
        <v>1</v>
      </c>
      <c r="Q915">
        <v>138</v>
      </c>
      <c r="R915">
        <v>630</v>
      </c>
      <c r="S915" t="s">
        <v>3</v>
      </c>
      <c r="T915">
        <v>94531.45</v>
      </c>
      <c r="U915" t="s">
        <v>2567</v>
      </c>
      <c r="V915" t="s">
        <v>2568</v>
      </c>
      <c r="W915">
        <v>3.3</v>
      </c>
    </row>
    <row r="916" spans="1:23">
      <c r="A916" t="str">
        <f>"002451"</f>
        <v>002451</v>
      </c>
      <c r="B916" t="s">
        <v>2569</v>
      </c>
      <c r="C916" t="s">
        <v>3</v>
      </c>
      <c r="D916" t="s">
        <v>3</v>
      </c>
      <c r="E916" t="s">
        <v>3</v>
      </c>
      <c r="F916">
        <v>0</v>
      </c>
      <c r="G916">
        <v>0</v>
      </c>
      <c r="H916">
        <v>0</v>
      </c>
      <c r="I916">
        <v>0</v>
      </c>
      <c r="J916" t="s">
        <v>145</v>
      </c>
      <c r="K916" t="s">
        <v>727</v>
      </c>
      <c r="L916" t="s">
        <v>3</v>
      </c>
      <c r="M916">
        <v>8.51</v>
      </c>
      <c r="N916">
        <v>0</v>
      </c>
      <c r="O916">
        <v>0</v>
      </c>
      <c r="P916" t="s">
        <v>3</v>
      </c>
      <c r="Q916">
        <v>0</v>
      </c>
      <c r="R916">
        <v>0</v>
      </c>
      <c r="S916" t="s">
        <v>3</v>
      </c>
      <c r="T916">
        <v>19260</v>
      </c>
      <c r="U916" t="s">
        <v>2570</v>
      </c>
      <c r="V916" t="s">
        <v>2571</v>
      </c>
      <c r="W916">
        <v>0.16</v>
      </c>
    </row>
    <row r="917" spans="1:23">
      <c r="A917" t="str">
        <f>"002452"</f>
        <v>002452</v>
      </c>
      <c r="B917" t="s">
        <v>2572</v>
      </c>
      <c r="C917">
        <v>12.1</v>
      </c>
      <c r="D917">
        <v>12.45</v>
      </c>
      <c r="E917">
        <v>11.85</v>
      </c>
      <c r="F917">
        <v>12.15</v>
      </c>
      <c r="G917">
        <v>63060</v>
      </c>
      <c r="H917">
        <v>76577984</v>
      </c>
      <c r="I917">
        <v>1.06</v>
      </c>
      <c r="J917" t="s">
        <v>145</v>
      </c>
      <c r="K917" t="s">
        <v>234</v>
      </c>
      <c r="L917">
        <v>-0.65</v>
      </c>
      <c r="M917">
        <v>12.14</v>
      </c>
      <c r="N917">
        <v>30057</v>
      </c>
      <c r="O917">
        <v>33002</v>
      </c>
      <c r="P917">
        <v>0.91</v>
      </c>
      <c r="Q917">
        <v>183</v>
      </c>
      <c r="R917">
        <v>125</v>
      </c>
      <c r="S917" t="s">
        <v>3</v>
      </c>
      <c r="T917">
        <v>15237</v>
      </c>
      <c r="U917" t="s">
        <v>1468</v>
      </c>
      <c r="V917" t="s">
        <v>2573</v>
      </c>
      <c r="W917">
        <v>-0.5</v>
      </c>
    </row>
    <row r="918" spans="1:23">
      <c r="A918" t="str">
        <f>"002453"</f>
        <v>002453</v>
      </c>
      <c r="B918" t="s">
        <v>2574</v>
      </c>
      <c r="C918">
        <v>7.78</v>
      </c>
      <c r="D918">
        <v>8.0500000000000007</v>
      </c>
      <c r="E918">
        <v>7.67</v>
      </c>
      <c r="F918">
        <v>8.0500000000000007</v>
      </c>
      <c r="G918">
        <v>218676</v>
      </c>
      <c r="H918">
        <v>171653072</v>
      </c>
      <c r="I918">
        <v>1.41</v>
      </c>
      <c r="J918" t="s">
        <v>376</v>
      </c>
      <c r="K918" t="s">
        <v>244</v>
      </c>
      <c r="L918">
        <v>3.6</v>
      </c>
      <c r="M918">
        <v>7.85</v>
      </c>
      <c r="N918">
        <v>104780</v>
      </c>
      <c r="O918">
        <v>113895</v>
      </c>
      <c r="P918">
        <v>0.92</v>
      </c>
      <c r="Q918">
        <v>225</v>
      </c>
      <c r="R918">
        <v>448</v>
      </c>
      <c r="S918" t="s">
        <v>3</v>
      </c>
      <c r="T918">
        <v>53588.78</v>
      </c>
      <c r="U918" t="s">
        <v>2575</v>
      </c>
      <c r="V918" t="s">
        <v>179</v>
      </c>
      <c r="W918">
        <v>3.76</v>
      </c>
    </row>
    <row r="919" spans="1:23">
      <c r="A919" t="str">
        <f>"002454"</f>
        <v>002454</v>
      </c>
      <c r="B919" t="s">
        <v>2576</v>
      </c>
      <c r="C919">
        <v>14.6</v>
      </c>
      <c r="D919">
        <v>15.1</v>
      </c>
      <c r="E919">
        <v>14.53</v>
      </c>
      <c r="F919">
        <v>15.05</v>
      </c>
      <c r="G919">
        <v>66995</v>
      </c>
      <c r="H919">
        <v>99557520</v>
      </c>
      <c r="I919">
        <v>1.23</v>
      </c>
      <c r="J919" t="s">
        <v>98</v>
      </c>
      <c r="K919" t="s">
        <v>727</v>
      </c>
      <c r="L919">
        <v>3.37</v>
      </c>
      <c r="M919">
        <v>14.86</v>
      </c>
      <c r="N919">
        <v>25382</v>
      </c>
      <c r="O919">
        <v>41613</v>
      </c>
      <c r="P919">
        <v>0.61</v>
      </c>
      <c r="Q919">
        <v>299</v>
      </c>
      <c r="R919">
        <v>178</v>
      </c>
      <c r="S919" t="s">
        <v>3</v>
      </c>
      <c r="T919">
        <v>24081.55</v>
      </c>
      <c r="U919" t="s">
        <v>2577</v>
      </c>
      <c r="V919" t="s">
        <v>1771</v>
      </c>
      <c r="W919">
        <v>3.52</v>
      </c>
    </row>
    <row r="920" spans="1:23">
      <c r="A920" t="str">
        <f>"002455"</f>
        <v>002455</v>
      </c>
      <c r="B920" t="s">
        <v>2578</v>
      </c>
      <c r="C920">
        <v>10.16</v>
      </c>
      <c r="D920">
        <v>10.25</v>
      </c>
      <c r="E920">
        <v>10.09</v>
      </c>
      <c r="F920">
        <v>10.23</v>
      </c>
      <c r="G920">
        <v>32716</v>
      </c>
      <c r="H920">
        <v>33261522</v>
      </c>
      <c r="I920">
        <v>0.52</v>
      </c>
      <c r="J920" t="s">
        <v>376</v>
      </c>
      <c r="K920" t="s">
        <v>244</v>
      </c>
      <c r="L920">
        <v>0.69</v>
      </c>
      <c r="M920">
        <v>10.17</v>
      </c>
      <c r="N920">
        <v>17356</v>
      </c>
      <c r="O920">
        <v>15360</v>
      </c>
      <c r="P920">
        <v>1.1299999999999999</v>
      </c>
      <c r="Q920">
        <v>1612</v>
      </c>
      <c r="R920">
        <v>20</v>
      </c>
      <c r="S920" t="s">
        <v>3</v>
      </c>
      <c r="T920">
        <v>13252.91</v>
      </c>
      <c r="U920" t="s">
        <v>2579</v>
      </c>
      <c r="V920" t="s">
        <v>2580</v>
      </c>
      <c r="W920">
        <v>0.85</v>
      </c>
    </row>
    <row r="921" spans="1:23">
      <c r="A921" t="str">
        <f>"002456"</f>
        <v>002456</v>
      </c>
      <c r="B921" t="s">
        <v>2581</v>
      </c>
      <c r="C921">
        <v>25.8</v>
      </c>
      <c r="D921">
        <v>25.8</v>
      </c>
      <c r="E921">
        <v>25.03</v>
      </c>
      <c r="F921">
        <v>25.56</v>
      </c>
      <c r="G921">
        <v>311661</v>
      </c>
      <c r="H921">
        <v>794819456</v>
      </c>
      <c r="I921">
        <v>0.5</v>
      </c>
      <c r="J921" t="s">
        <v>62</v>
      </c>
      <c r="K921" t="s">
        <v>2</v>
      </c>
      <c r="L921">
        <v>-1.73</v>
      </c>
      <c r="M921">
        <v>25.5</v>
      </c>
      <c r="N921">
        <v>176120</v>
      </c>
      <c r="O921">
        <v>135540</v>
      </c>
      <c r="P921">
        <v>1.3</v>
      </c>
      <c r="Q921">
        <v>986</v>
      </c>
      <c r="R921">
        <v>542</v>
      </c>
      <c r="S921" t="s">
        <v>3</v>
      </c>
      <c r="T921">
        <v>72070.559999999998</v>
      </c>
      <c r="U921" t="s">
        <v>2582</v>
      </c>
      <c r="V921" t="s">
        <v>2583</v>
      </c>
      <c r="W921">
        <v>-1.57</v>
      </c>
    </row>
    <row r="922" spans="1:23">
      <c r="A922" t="str">
        <f>"002457"</f>
        <v>002457</v>
      </c>
      <c r="B922" t="s">
        <v>2584</v>
      </c>
      <c r="C922">
        <v>9.3000000000000007</v>
      </c>
      <c r="D922">
        <v>9.36</v>
      </c>
      <c r="E922">
        <v>9.24</v>
      </c>
      <c r="F922">
        <v>9.31</v>
      </c>
      <c r="G922">
        <v>91656</v>
      </c>
      <c r="H922">
        <v>85311408</v>
      </c>
      <c r="I922">
        <v>1.03</v>
      </c>
      <c r="J922" t="s">
        <v>273</v>
      </c>
      <c r="K922" t="s">
        <v>496</v>
      </c>
      <c r="L922">
        <v>0</v>
      </c>
      <c r="M922">
        <v>9.31</v>
      </c>
      <c r="N922">
        <v>47658</v>
      </c>
      <c r="O922">
        <v>43998</v>
      </c>
      <c r="P922">
        <v>1.08</v>
      </c>
      <c r="Q922">
        <v>349</v>
      </c>
      <c r="R922">
        <v>323</v>
      </c>
      <c r="S922" t="s">
        <v>3</v>
      </c>
      <c r="T922">
        <v>25365.41</v>
      </c>
      <c r="U922" t="s">
        <v>2585</v>
      </c>
      <c r="V922" t="s">
        <v>2586</v>
      </c>
      <c r="W922">
        <v>0.16</v>
      </c>
    </row>
    <row r="923" spans="1:23">
      <c r="A923" t="str">
        <f>"002458"</f>
        <v>002458</v>
      </c>
      <c r="B923" t="s">
        <v>2587</v>
      </c>
      <c r="C923">
        <v>12.9</v>
      </c>
      <c r="D923">
        <v>12.92</v>
      </c>
      <c r="E923">
        <v>12.66</v>
      </c>
      <c r="F923">
        <v>12.7</v>
      </c>
      <c r="G923">
        <v>19541</v>
      </c>
      <c r="H923">
        <v>24960016</v>
      </c>
      <c r="I923">
        <v>0.83</v>
      </c>
      <c r="J923" t="s">
        <v>169</v>
      </c>
      <c r="K923" t="s">
        <v>250</v>
      </c>
      <c r="L923">
        <v>-1.47</v>
      </c>
      <c r="M923">
        <v>12.77</v>
      </c>
      <c r="N923">
        <v>9573</v>
      </c>
      <c r="O923">
        <v>9967</v>
      </c>
      <c r="P923">
        <v>0.96</v>
      </c>
      <c r="Q923">
        <v>5</v>
      </c>
      <c r="R923">
        <v>29</v>
      </c>
      <c r="S923" t="s">
        <v>3</v>
      </c>
      <c r="T923">
        <v>14182.44</v>
      </c>
      <c r="U923" t="s">
        <v>2588</v>
      </c>
      <c r="V923" t="s">
        <v>2589</v>
      </c>
      <c r="W923">
        <v>-1.32</v>
      </c>
    </row>
    <row r="924" spans="1:23">
      <c r="A924" t="str">
        <f>"002459"</f>
        <v>002459</v>
      </c>
      <c r="B924" t="s">
        <v>2590</v>
      </c>
      <c r="C924">
        <v>12.19</v>
      </c>
      <c r="D924">
        <v>12.4</v>
      </c>
      <c r="E924">
        <v>12.19</v>
      </c>
      <c r="F924">
        <v>12.31</v>
      </c>
      <c r="G924">
        <v>15758</v>
      </c>
      <c r="H924">
        <v>19388912</v>
      </c>
      <c r="I924">
        <v>0.55000000000000004</v>
      </c>
      <c r="J924" t="s">
        <v>233</v>
      </c>
      <c r="K924" t="s">
        <v>238</v>
      </c>
      <c r="L924">
        <v>1.07</v>
      </c>
      <c r="M924">
        <v>12.3</v>
      </c>
      <c r="N924">
        <v>8631</v>
      </c>
      <c r="O924">
        <v>7126</v>
      </c>
      <c r="P924">
        <v>1.21</v>
      </c>
      <c r="Q924">
        <v>19</v>
      </c>
      <c r="R924">
        <v>51</v>
      </c>
      <c r="S924" t="s">
        <v>3</v>
      </c>
      <c r="T924">
        <v>17472.310000000001</v>
      </c>
      <c r="U924" t="s">
        <v>2591</v>
      </c>
      <c r="V924" t="s">
        <v>2592</v>
      </c>
      <c r="W924">
        <v>1.23</v>
      </c>
    </row>
    <row r="925" spans="1:23">
      <c r="A925" t="str">
        <f>"002460"</f>
        <v>002460</v>
      </c>
      <c r="B925" t="s">
        <v>2593</v>
      </c>
      <c r="C925">
        <v>21.1</v>
      </c>
      <c r="D925">
        <v>21.25</v>
      </c>
      <c r="E925">
        <v>20.96</v>
      </c>
      <c r="F925">
        <v>21.23</v>
      </c>
      <c r="G925">
        <v>54205</v>
      </c>
      <c r="H925">
        <v>114569984</v>
      </c>
      <c r="I925">
        <v>0.89</v>
      </c>
      <c r="J925" t="s">
        <v>328</v>
      </c>
      <c r="K925" t="s">
        <v>265</v>
      </c>
      <c r="L925">
        <v>0.62</v>
      </c>
      <c r="M925">
        <v>21.14</v>
      </c>
      <c r="N925">
        <v>28635</v>
      </c>
      <c r="O925">
        <v>25569</v>
      </c>
      <c r="P925">
        <v>1.1200000000000001</v>
      </c>
      <c r="Q925">
        <v>155</v>
      </c>
      <c r="R925">
        <v>620</v>
      </c>
      <c r="S925" t="s">
        <v>3</v>
      </c>
      <c r="T925">
        <v>19810.98</v>
      </c>
      <c r="U925" t="s">
        <v>2594</v>
      </c>
      <c r="V925" t="s">
        <v>2595</v>
      </c>
      <c r="W925">
        <v>0.77</v>
      </c>
    </row>
    <row r="926" spans="1:23">
      <c r="A926" t="str">
        <f>"002461"</f>
        <v>002461</v>
      </c>
      <c r="B926" t="s">
        <v>2596</v>
      </c>
      <c r="C926">
        <v>14.7</v>
      </c>
      <c r="D926">
        <v>14.78</v>
      </c>
      <c r="E926">
        <v>14.52</v>
      </c>
      <c r="F926">
        <v>14.65</v>
      </c>
      <c r="G926">
        <v>24977</v>
      </c>
      <c r="H926">
        <v>36499924</v>
      </c>
      <c r="I926">
        <v>1</v>
      </c>
      <c r="J926" t="s">
        <v>871</v>
      </c>
      <c r="K926" t="s">
        <v>211</v>
      </c>
      <c r="L926">
        <v>-0.95</v>
      </c>
      <c r="M926">
        <v>14.61</v>
      </c>
      <c r="N926">
        <v>16150</v>
      </c>
      <c r="O926">
        <v>8826</v>
      </c>
      <c r="P926">
        <v>1.83</v>
      </c>
      <c r="Q926">
        <v>10</v>
      </c>
      <c r="R926">
        <v>3</v>
      </c>
      <c r="S926" t="s">
        <v>3</v>
      </c>
      <c r="T926">
        <v>68016.17</v>
      </c>
      <c r="U926" t="s">
        <v>1880</v>
      </c>
      <c r="V926" t="s">
        <v>1880</v>
      </c>
      <c r="W926">
        <v>-0.79</v>
      </c>
    </row>
    <row r="927" spans="1:23">
      <c r="A927" t="str">
        <f>"002462"</f>
        <v>002462</v>
      </c>
      <c r="B927" t="s">
        <v>2597</v>
      </c>
      <c r="C927" t="s">
        <v>3</v>
      </c>
      <c r="D927" t="s">
        <v>3</v>
      </c>
      <c r="E927" t="s">
        <v>3</v>
      </c>
      <c r="F927">
        <v>0</v>
      </c>
      <c r="G927">
        <v>0</v>
      </c>
      <c r="H927">
        <v>0</v>
      </c>
      <c r="I927">
        <v>0</v>
      </c>
      <c r="J927" t="s">
        <v>91</v>
      </c>
      <c r="K927" t="s">
        <v>34</v>
      </c>
      <c r="L927" t="s">
        <v>3</v>
      </c>
      <c r="M927">
        <v>19.64</v>
      </c>
      <c r="N927">
        <v>0</v>
      </c>
      <c r="O927">
        <v>0</v>
      </c>
      <c r="P927" t="s">
        <v>3</v>
      </c>
      <c r="Q927">
        <v>0</v>
      </c>
      <c r="R927">
        <v>0</v>
      </c>
      <c r="S927" t="s">
        <v>3</v>
      </c>
      <c r="T927">
        <v>19567.080000000002</v>
      </c>
      <c r="U927" t="s">
        <v>2598</v>
      </c>
      <c r="V927" t="s">
        <v>2599</v>
      </c>
      <c r="W927">
        <v>0.16</v>
      </c>
    </row>
    <row r="928" spans="1:23">
      <c r="A928" t="str">
        <f>"002463"</f>
        <v>002463</v>
      </c>
      <c r="B928" t="s">
        <v>2600</v>
      </c>
      <c r="C928">
        <v>3.6</v>
      </c>
      <c r="D928">
        <v>3.95</v>
      </c>
      <c r="E928">
        <v>3.57</v>
      </c>
      <c r="F928">
        <v>3.95</v>
      </c>
      <c r="G928">
        <v>691068</v>
      </c>
      <c r="H928">
        <v>264778320</v>
      </c>
      <c r="I928">
        <v>2.14</v>
      </c>
      <c r="J928" t="s">
        <v>62</v>
      </c>
      <c r="K928" t="s">
        <v>244</v>
      </c>
      <c r="L928">
        <v>10.029999999999999</v>
      </c>
      <c r="M928">
        <v>3.83</v>
      </c>
      <c r="N928">
        <v>343232</v>
      </c>
      <c r="O928">
        <v>347835</v>
      </c>
      <c r="P928">
        <v>0.99</v>
      </c>
      <c r="Q928">
        <v>63578</v>
      </c>
      <c r="R928">
        <v>0</v>
      </c>
      <c r="S928" t="s">
        <v>3</v>
      </c>
      <c r="T928">
        <v>167298.04999999999</v>
      </c>
      <c r="U928" t="s">
        <v>2601</v>
      </c>
      <c r="V928" t="s">
        <v>2602</v>
      </c>
      <c r="W928">
        <v>10.19</v>
      </c>
    </row>
    <row r="929" spans="1:23">
      <c r="A929" t="str">
        <f>"002464"</f>
        <v>002464</v>
      </c>
      <c r="B929" t="s">
        <v>2603</v>
      </c>
      <c r="C929">
        <v>17.420000000000002</v>
      </c>
      <c r="D929">
        <v>17.440000000000001</v>
      </c>
      <c r="E929">
        <v>17.239999999999998</v>
      </c>
      <c r="F929">
        <v>17.38</v>
      </c>
      <c r="G929">
        <v>22427</v>
      </c>
      <c r="H929">
        <v>38932832</v>
      </c>
      <c r="I929">
        <v>0.93</v>
      </c>
      <c r="J929" t="s">
        <v>273</v>
      </c>
      <c r="K929" t="s">
        <v>244</v>
      </c>
      <c r="L929">
        <v>-0.23</v>
      </c>
      <c r="M929">
        <v>17.36</v>
      </c>
      <c r="N929">
        <v>12160</v>
      </c>
      <c r="O929">
        <v>10266</v>
      </c>
      <c r="P929">
        <v>1.18</v>
      </c>
      <c r="Q929">
        <v>39</v>
      </c>
      <c r="R929">
        <v>338</v>
      </c>
      <c r="S929" t="s">
        <v>3</v>
      </c>
      <c r="T929">
        <v>13500</v>
      </c>
      <c r="U929" t="s">
        <v>2604</v>
      </c>
      <c r="V929" t="s">
        <v>2605</v>
      </c>
      <c r="W929">
        <v>-7.0000000000000007E-2</v>
      </c>
    </row>
    <row r="930" spans="1:23">
      <c r="A930" t="str">
        <f>"002465"</f>
        <v>002465</v>
      </c>
      <c r="B930" t="s">
        <v>2606</v>
      </c>
      <c r="C930">
        <v>17.170000000000002</v>
      </c>
      <c r="D930">
        <v>17.440000000000001</v>
      </c>
      <c r="E930">
        <v>16.899999999999999</v>
      </c>
      <c r="F930">
        <v>17.2</v>
      </c>
      <c r="G930">
        <v>297263</v>
      </c>
      <c r="H930">
        <v>511890464</v>
      </c>
      <c r="I930">
        <v>0.67</v>
      </c>
      <c r="J930" t="s">
        <v>112</v>
      </c>
      <c r="K930" t="s">
        <v>211</v>
      </c>
      <c r="L930">
        <v>0.41</v>
      </c>
      <c r="M930">
        <v>17.22</v>
      </c>
      <c r="N930">
        <v>153148</v>
      </c>
      <c r="O930">
        <v>144114</v>
      </c>
      <c r="P930">
        <v>1.06</v>
      </c>
      <c r="Q930">
        <v>48</v>
      </c>
      <c r="R930">
        <v>850</v>
      </c>
      <c r="S930" t="s">
        <v>3</v>
      </c>
      <c r="T930">
        <v>90429.34</v>
      </c>
      <c r="U930" t="s">
        <v>2607</v>
      </c>
      <c r="V930" t="s">
        <v>2608</v>
      </c>
      <c r="W930">
        <v>0.56999999999999995</v>
      </c>
    </row>
    <row r="931" spans="1:23">
      <c r="A931" t="str">
        <f>"002466"</f>
        <v>002466</v>
      </c>
      <c r="B931" t="s">
        <v>2609</v>
      </c>
      <c r="C931">
        <v>60.34</v>
      </c>
      <c r="D931">
        <v>60.34</v>
      </c>
      <c r="E931">
        <v>59</v>
      </c>
      <c r="F931">
        <v>59.47</v>
      </c>
      <c r="G931">
        <v>13289</v>
      </c>
      <c r="H931">
        <v>78923816</v>
      </c>
      <c r="I931">
        <v>0.68</v>
      </c>
      <c r="J931" t="s">
        <v>376</v>
      </c>
      <c r="K931" t="s">
        <v>225</v>
      </c>
      <c r="L931">
        <v>-1.38</v>
      </c>
      <c r="M931">
        <v>59.39</v>
      </c>
      <c r="N931">
        <v>8520</v>
      </c>
      <c r="O931">
        <v>4769</v>
      </c>
      <c r="P931">
        <v>1.79</v>
      </c>
      <c r="Q931">
        <v>118</v>
      </c>
      <c r="R931">
        <v>4</v>
      </c>
      <c r="S931" t="s">
        <v>3</v>
      </c>
      <c r="T931">
        <v>5328.29</v>
      </c>
      <c r="U931" t="s">
        <v>1723</v>
      </c>
      <c r="V931" t="s">
        <v>2610</v>
      </c>
      <c r="W931">
        <v>-1.22</v>
      </c>
    </row>
    <row r="932" spans="1:23">
      <c r="A932" t="str">
        <f>"002467"</f>
        <v>002467</v>
      </c>
      <c r="B932" t="s">
        <v>2611</v>
      </c>
      <c r="C932">
        <v>13.17</v>
      </c>
      <c r="D932">
        <v>13.49</v>
      </c>
      <c r="E932">
        <v>12.93</v>
      </c>
      <c r="F932">
        <v>13.35</v>
      </c>
      <c r="G932">
        <v>187304</v>
      </c>
      <c r="H932">
        <v>248580672</v>
      </c>
      <c r="I932">
        <v>1.23</v>
      </c>
      <c r="J932" t="s">
        <v>1620</v>
      </c>
      <c r="K932" t="s">
        <v>34</v>
      </c>
      <c r="L932">
        <v>1.6</v>
      </c>
      <c r="M932">
        <v>13.27</v>
      </c>
      <c r="N932">
        <v>88681</v>
      </c>
      <c r="O932">
        <v>98623</v>
      </c>
      <c r="P932">
        <v>0.9</v>
      </c>
      <c r="Q932">
        <v>1073</v>
      </c>
      <c r="R932">
        <v>197</v>
      </c>
      <c r="S932" t="s">
        <v>3</v>
      </c>
      <c r="T932">
        <v>39292.480000000003</v>
      </c>
      <c r="U932" t="s">
        <v>2612</v>
      </c>
      <c r="V932" t="s">
        <v>2613</v>
      </c>
      <c r="W932">
        <v>1.76</v>
      </c>
    </row>
    <row r="933" spans="1:23">
      <c r="A933" t="str">
        <f>"002468"</f>
        <v>002468</v>
      </c>
      <c r="B933" t="s">
        <v>2614</v>
      </c>
      <c r="C933">
        <v>9.75</v>
      </c>
      <c r="D933">
        <v>10.199999999999999</v>
      </c>
      <c r="E933">
        <v>9.73</v>
      </c>
      <c r="F933">
        <v>9.9499999999999993</v>
      </c>
      <c r="G933">
        <v>77156</v>
      </c>
      <c r="H933">
        <v>77015480</v>
      </c>
      <c r="I933">
        <v>1.36</v>
      </c>
      <c r="J933" t="s">
        <v>150</v>
      </c>
      <c r="K933" t="s">
        <v>229</v>
      </c>
      <c r="L933">
        <v>2.37</v>
      </c>
      <c r="M933">
        <v>9.98</v>
      </c>
      <c r="N933">
        <v>40854</v>
      </c>
      <c r="O933">
        <v>36302</v>
      </c>
      <c r="P933">
        <v>1.1299999999999999</v>
      </c>
      <c r="Q933">
        <v>119</v>
      </c>
      <c r="R933">
        <v>405</v>
      </c>
      <c r="S933" t="s">
        <v>3</v>
      </c>
      <c r="T933">
        <v>33177.599999999999</v>
      </c>
      <c r="U933" t="s">
        <v>2615</v>
      </c>
      <c r="V933" t="s">
        <v>2615</v>
      </c>
      <c r="W933">
        <v>2.52</v>
      </c>
    </row>
    <row r="934" spans="1:23">
      <c r="A934" t="str">
        <f>"002469"</f>
        <v>002469</v>
      </c>
      <c r="B934" t="s">
        <v>2616</v>
      </c>
      <c r="C934">
        <v>12.79</v>
      </c>
      <c r="D934">
        <v>12.96</v>
      </c>
      <c r="E934">
        <v>12.71</v>
      </c>
      <c r="F934">
        <v>12.88</v>
      </c>
      <c r="G934">
        <v>66670</v>
      </c>
      <c r="H934">
        <v>85800784</v>
      </c>
      <c r="I934">
        <v>1.03</v>
      </c>
      <c r="J934" t="s">
        <v>33</v>
      </c>
      <c r="K934" t="s">
        <v>250</v>
      </c>
      <c r="L934">
        <v>0.78</v>
      </c>
      <c r="M934">
        <v>12.87</v>
      </c>
      <c r="N934">
        <v>32332</v>
      </c>
      <c r="O934">
        <v>34338</v>
      </c>
      <c r="P934">
        <v>0.94</v>
      </c>
      <c r="Q934">
        <v>622</v>
      </c>
      <c r="R934">
        <v>302</v>
      </c>
      <c r="S934" t="s">
        <v>3</v>
      </c>
      <c r="T934">
        <v>25014.31</v>
      </c>
      <c r="U934" t="s">
        <v>2617</v>
      </c>
      <c r="V934" t="s">
        <v>2618</v>
      </c>
      <c r="W934">
        <v>0.94</v>
      </c>
    </row>
    <row r="935" spans="1:23">
      <c r="A935" t="str">
        <f>"002470"</f>
        <v>002470</v>
      </c>
      <c r="B935" t="s">
        <v>2619</v>
      </c>
      <c r="C935">
        <v>20.98</v>
      </c>
      <c r="D935">
        <v>21.23</v>
      </c>
      <c r="E935">
        <v>20.96</v>
      </c>
      <c r="F935">
        <v>21.11</v>
      </c>
      <c r="G935">
        <v>21150</v>
      </c>
      <c r="H935">
        <v>44678336</v>
      </c>
      <c r="I935">
        <v>0.96</v>
      </c>
      <c r="J935" t="s">
        <v>224</v>
      </c>
      <c r="K935" t="s">
        <v>250</v>
      </c>
      <c r="L935">
        <v>0.67</v>
      </c>
      <c r="M935">
        <v>21.12</v>
      </c>
      <c r="N935">
        <v>8815</v>
      </c>
      <c r="O935">
        <v>12334</v>
      </c>
      <c r="P935">
        <v>0.71</v>
      </c>
      <c r="Q935">
        <v>58</v>
      </c>
      <c r="R935">
        <v>10</v>
      </c>
      <c r="S935" t="s">
        <v>3</v>
      </c>
      <c r="T935">
        <v>59254</v>
      </c>
      <c r="U935" t="s">
        <v>2620</v>
      </c>
      <c r="V935" t="s">
        <v>2621</v>
      </c>
      <c r="W935">
        <v>0.83</v>
      </c>
    </row>
    <row r="936" spans="1:23">
      <c r="A936" t="str">
        <f>"002471"</f>
        <v>002471</v>
      </c>
      <c r="B936" t="s">
        <v>2622</v>
      </c>
      <c r="C936">
        <v>9.7899999999999991</v>
      </c>
      <c r="D936">
        <v>10.039999999999999</v>
      </c>
      <c r="E936">
        <v>9.76</v>
      </c>
      <c r="F936">
        <v>9.84</v>
      </c>
      <c r="G936">
        <v>76321</v>
      </c>
      <c r="H936">
        <v>75291160</v>
      </c>
      <c r="I936">
        <v>0.87</v>
      </c>
      <c r="J936" t="s">
        <v>145</v>
      </c>
      <c r="K936" t="s">
        <v>244</v>
      </c>
      <c r="L936">
        <v>0.82</v>
      </c>
      <c r="M936">
        <v>9.8699999999999992</v>
      </c>
      <c r="N936">
        <v>44321</v>
      </c>
      <c r="O936">
        <v>32000</v>
      </c>
      <c r="P936">
        <v>1.39</v>
      </c>
      <c r="Q936">
        <v>422</v>
      </c>
      <c r="R936">
        <v>733</v>
      </c>
      <c r="S936" t="s">
        <v>3</v>
      </c>
      <c r="T936">
        <v>48012.35</v>
      </c>
      <c r="U936" t="s">
        <v>2623</v>
      </c>
      <c r="V936" t="s">
        <v>2624</v>
      </c>
      <c r="W936">
        <v>0.98</v>
      </c>
    </row>
    <row r="937" spans="1:23">
      <c r="A937" t="str">
        <f>"002472"</f>
        <v>002472</v>
      </c>
      <c r="B937" t="s">
        <v>2625</v>
      </c>
      <c r="C937">
        <v>11.45</v>
      </c>
      <c r="D937">
        <v>11.53</v>
      </c>
      <c r="E937">
        <v>11.31</v>
      </c>
      <c r="F937">
        <v>11.49</v>
      </c>
      <c r="G937">
        <v>32553</v>
      </c>
      <c r="H937">
        <v>37089668</v>
      </c>
      <c r="I937">
        <v>0.8</v>
      </c>
      <c r="J937" t="s">
        <v>398</v>
      </c>
      <c r="K937" t="s">
        <v>229</v>
      </c>
      <c r="L937">
        <v>-0.09</v>
      </c>
      <c r="M937">
        <v>11.39</v>
      </c>
      <c r="N937">
        <v>16467</v>
      </c>
      <c r="O937">
        <v>16085</v>
      </c>
      <c r="P937">
        <v>1.02</v>
      </c>
      <c r="Q937">
        <v>291</v>
      </c>
      <c r="R937">
        <v>114</v>
      </c>
      <c r="S937" t="s">
        <v>3</v>
      </c>
      <c r="T937">
        <v>16597.77</v>
      </c>
      <c r="U937" t="s">
        <v>2626</v>
      </c>
      <c r="V937" t="s">
        <v>2627</v>
      </c>
      <c r="W937">
        <v>7.0000000000000007E-2</v>
      </c>
    </row>
    <row r="938" spans="1:23">
      <c r="A938" t="str">
        <f>"002473"</f>
        <v>002473</v>
      </c>
      <c r="B938" t="s">
        <v>2628</v>
      </c>
      <c r="C938">
        <v>26.6</v>
      </c>
      <c r="D938">
        <v>26.92</v>
      </c>
      <c r="E938">
        <v>25.89</v>
      </c>
      <c r="F938">
        <v>26.31</v>
      </c>
      <c r="G938">
        <v>49806</v>
      </c>
      <c r="H938">
        <v>131327512</v>
      </c>
      <c r="I938">
        <v>2.92</v>
      </c>
      <c r="J938" t="s">
        <v>47</v>
      </c>
      <c r="K938" t="s">
        <v>229</v>
      </c>
      <c r="L938">
        <v>-2.74</v>
      </c>
      <c r="M938">
        <v>26.37</v>
      </c>
      <c r="N938">
        <v>29359</v>
      </c>
      <c r="O938">
        <v>20446</v>
      </c>
      <c r="P938">
        <v>1.44</v>
      </c>
      <c r="Q938">
        <v>39</v>
      </c>
      <c r="R938">
        <v>74</v>
      </c>
      <c r="S938" t="s">
        <v>3</v>
      </c>
      <c r="T938">
        <v>16000</v>
      </c>
      <c r="U938" t="s">
        <v>2310</v>
      </c>
      <c r="V938" t="s">
        <v>2310</v>
      </c>
      <c r="W938">
        <v>-2.58</v>
      </c>
    </row>
    <row r="939" spans="1:23">
      <c r="A939" t="str">
        <f>"002474"</f>
        <v>002474</v>
      </c>
      <c r="B939" t="s">
        <v>2629</v>
      </c>
      <c r="C939">
        <v>9.2799999999999994</v>
      </c>
      <c r="D939">
        <v>9.2799999999999994</v>
      </c>
      <c r="E939">
        <v>9.14</v>
      </c>
      <c r="F939">
        <v>9.26</v>
      </c>
      <c r="G939">
        <v>183520</v>
      </c>
      <c r="H939">
        <v>169185168</v>
      </c>
      <c r="I939">
        <v>0.7</v>
      </c>
      <c r="J939" t="s">
        <v>758</v>
      </c>
      <c r="K939" t="s">
        <v>414</v>
      </c>
      <c r="L939">
        <v>-0.43</v>
      </c>
      <c r="M939">
        <v>9.2200000000000006</v>
      </c>
      <c r="N939">
        <v>90235</v>
      </c>
      <c r="O939">
        <v>93285</v>
      </c>
      <c r="P939">
        <v>0.97</v>
      </c>
      <c r="Q939">
        <v>17</v>
      </c>
      <c r="R939">
        <v>714</v>
      </c>
      <c r="S939" t="s">
        <v>3</v>
      </c>
      <c r="T939">
        <v>39645.51</v>
      </c>
      <c r="U939" t="s">
        <v>2630</v>
      </c>
      <c r="V939" t="s">
        <v>2631</v>
      </c>
      <c r="W939">
        <v>-0.27</v>
      </c>
    </row>
    <row r="940" spans="1:23">
      <c r="A940" t="str">
        <f>"002475"</f>
        <v>002475</v>
      </c>
      <c r="B940" t="s">
        <v>2632</v>
      </c>
      <c r="C940">
        <v>33.770000000000003</v>
      </c>
      <c r="D940">
        <v>34.26</v>
      </c>
      <c r="E940">
        <v>33.35</v>
      </c>
      <c r="F940">
        <v>33.6</v>
      </c>
      <c r="G940">
        <v>38245</v>
      </c>
      <c r="H940">
        <v>129550824</v>
      </c>
      <c r="I940">
        <v>0.92</v>
      </c>
      <c r="J940" t="s">
        <v>62</v>
      </c>
      <c r="K940" t="s">
        <v>2</v>
      </c>
      <c r="L940">
        <v>-0.56000000000000005</v>
      </c>
      <c r="M940">
        <v>33.869999999999997</v>
      </c>
      <c r="N940">
        <v>17778</v>
      </c>
      <c r="O940">
        <v>20466</v>
      </c>
      <c r="P940">
        <v>0.87</v>
      </c>
      <c r="Q940">
        <v>221</v>
      </c>
      <c r="R940">
        <v>545</v>
      </c>
      <c r="S940" t="s">
        <v>3</v>
      </c>
      <c r="T940">
        <v>76645.789999999994</v>
      </c>
      <c r="U940" t="s">
        <v>2633</v>
      </c>
      <c r="V940" t="s">
        <v>2633</v>
      </c>
      <c r="W940">
        <v>-0.4</v>
      </c>
    </row>
    <row r="941" spans="1:23">
      <c r="A941" t="str">
        <f>"002476"</f>
        <v>002476</v>
      </c>
      <c r="B941" t="s">
        <v>2634</v>
      </c>
      <c r="C941">
        <v>9.4</v>
      </c>
      <c r="D941">
        <v>9.4700000000000006</v>
      </c>
      <c r="E941">
        <v>9.32</v>
      </c>
      <c r="F941">
        <v>9.4499999999999993</v>
      </c>
      <c r="G941">
        <v>162419</v>
      </c>
      <c r="H941">
        <v>152774464</v>
      </c>
      <c r="I941">
        <v>0.75</v>
      </c>
      <c r="J941" t="s">
        <v>376</v>
      </c>
      <c r="K941" t="s">
        <v>250</v>
      </c>
      <c r="L941">
        <v>-0.84</v>
      </c>
      <c r="M941">
        <v>9.41</v>
      </c>
      <c r="N941">
        <v>87086</v>
      </c>
      <c r="O941">
        <v>75332</v>
      </c>
      <c r="P941">
        <v>1.1599999999999999</v>
      </c>
      <c r="Q941">
        <v>1216</v>
      </c>
      <c r="R941">
        <v>1380</v>
      </c>
      <c r="S941" t="s">
        <v>3</v>
      </c>
      <c r="T941">
        <v>60176.51</v>
      </c>
      <c r="U941" t="s">
        <v>2635</v>
      </c>
      <c r="V941" t="s">
        <v>2636</v>
      </c>
      <c r="W941">
        <v>-0.68</v>
      </c>
    </row>
    <row r="942" spans="1:23">
      <c r="A942" t="str">
        <f>"002477"</f>
        <v>002477</v>
      </c>
      <c r="B942" t="s">
        <v>2637</v>
      </c>
      <c r="C942">
        <v>11.05</v>
      </c>
      <c r="D942">
        <v>11.1</v>
      </c>
      <c r="E942">
        <v>10.87</v>
      </c>
      <c r="F942">
        <v>11.04</v>
      </c>
      <c r="G942">
        <v>116980</v>
      </c>
      <c r="H942">
        <v>128177248</v>
      </c>
      <c r="I942">
        <v>1.31</v>
      </c>
      <c r="J942" t="s">
        <v>169</v>
      </c>
      <c r="K942" t="s">
        <v>254</v>
      </c>
      <c r="L942">
        <v>-0.09</v>
      </c>
      <c r="M942">
        <v>10.96</v>
      </c>
      <c r="N942">
        <v>55768</v>
      </c>
      <c r="O942">
        <v>61212</v>
      </c>
      <c r="P942">
        <v>0.91</v>
      </c>
      <c r="Q942">
        <v>141</v>
      </c>
      <c r="R942">
        <v>213</v>
      </c>
      <c r="S942" t="s">
        <v>3</v>
      </c>
      <c r="T942">
        <v>47586.83</v>
      </c>
      <c r="U942" t="s">
        <v>1198</v>
      </c>
      <c r="V942" t="s">
        <v>2638</v>
      </c>
      <c r="W942">
        <v>7.0000000000000007E-2</v>
      </c>
    </row>
    <row r="943" spans="1:23">
      <c r="A943" t="str">
        <f>"002478"</f>
        <v>002478</v>
      </c>
      <c r="B943" t="s">
        <v>2639</v>
      </c>
      <c r="C943">
        <v>10.93</v>
      </c>
      <c r="D943">
        <v>11.09</v>
      </c>
      <c r="E943">
        <v>10.79</v>
      </c>
      <c r="F943">
        <v>11.02</v>
      </c>
      <c r="G943">
        <v>44314</v>
      </c>
      <c r="H943">
        <v>48630964</v>
      </c>
      <c r="I943">
        <v>0.96</v>
      </c>
      <c r="J943" t="s">
        <v>279</v>
      </c>
      <c r="K943" t="s">
        <v>244</v>
      </c>
      <c r="L943">
        <v>1.1000000000000001</v>
      </c>
      <c r="M943">
        <v>10.97</v>
      </c>
      <c r="N943">
        <v>21477</v>
      </c>
      <c r="O943">
        <v>22836</v>
      </c>
      <c r="P943">
        <v>0.94</v>
      </c>
      <c r="Q943">
        <v>85</v>
      </c>
      <c r="R943">
        <v>209</v>
      </c>
      <c r="S943" t="s">
        <v>3</v>
      </c>
      <c r="T943">
        <v>26154.86</v>
      </c>
      <c r="U943" t="s">
        <v>2640</v>
      </c>
      <c r="V943" t="s">
        <v>1834</v>
      </c>
      <c r="W943">
        <v>1.26</v>
      </c>
    </row>
    <row r="944" spans="1:23">
      <c r="A944" t="str">
        <f>"002479"</f>
        <v>002479</v>
      </c>
      <c r="B944" t="s">
        <v>2641</v>
      </c>
      <c r="C944">
        <v>8.84</v>
      </c>
      <c r="D944">
        <v>8.9600000000000009</v>
      </c>
      <c r="E944">
        <v>8.6999999999999993</v>
      </c>
      <c r="F944">
        <v>8.82</v>
      </c>
      <c r="G944">
        <v>56902</v>
      </c>
      <c r="H944">
        <v>50121580</v>
      </c>
      <c r="I944">
        <v>0.47</v>
      </c>
      <c r="J944" t="s">
        <v>87</v>
      </c>
      <c r="K944" t="s">
        <v>229</v>
      </c>
      <c r="L944">
        <v>0.11</v>
      </c>
      <c r="M944">
        <v>8.81</v>
      </c>
      <c r="N944">
        <v>30605</v>
      </c>
      <c r="O944">
        <v>26296</v>
      </c>
      <c r="P944">
        <v>1.1599999999999999</v>
      </c>
      <c r="Q944">
        <v>0</v>
      </c>
      <c r="R944">
        <v>0</v>
      </c>
      <c r="S944" t="s">
        <v>3</v>
      </c>
      <c r="T944">
        <v>73141.990000000005</v>
      </c>
      <c r="U944" t="s">
        <v>2642</v>
      </c>
      <c r="V944" t="s">
        <v>2643</v>
      </c>
      <c r="W944">
        <v>0.27</v>
      </c>
    </row>
    <row r="945" spans="1:23">
      <c r="A945" t="str">
        <f>"002480"</f>
        <v>002480</v>
      </c>
      <c r="B945" t="s">
        <v>2644</v>
      </c>
      <c r="C945">
        <v>9.17</v>
      </c>
      <c r="D945">
        <v>9.2200000000000006</v>
      </c>
      <c r="E945">
        <v>9.0500000000000007</v>
      </c>
      <c r="F945">
        <v>9.1199999999999992</v>
      </c>
      <c r="G945">
        <v>65621</v>
      </c>
      <c r="H945">
        <v>59770768</v>
      </c>
      <c r="I945">
        <v>0.7</v>
      </c>
      <c r="J945" t="s">
        <v>398</v>
      </c>
      <c r="K945" t="s">
        <v>225</v>
      </c>
      <c r="L945">
        <v>-0.87</v>
      </c>
      <c r="M945">
        <v>9.11</v>
      </c>
      <c r="N945">
        <v>42098</v>
      </c>
      <c r="O945">
        <v>23523</v>
      </c>
      <c r="P945">
        <v>1.79</v>
      </c>
      <c r="Q945">
        <v>59</v>
      </c>
      <c r="R945">
        <v>762</v>
      </c>
      <c r="S945" t="s">
        <v>3</v>
      </c>
      <c r="T945">
        <v>55366.37</v>
      </c>
      <c r="U945" t="s">
        <v>2645</v>
      </c>
      <c r="V945" t="s">
        <v>2646</v>
      </c>
      <c r="W945">
        <v>-0.71</v>
      </c>
    </row>
    <row r="946" spans="1:23">
      <c r="A946" t="str">
        <f>"002481"</f>
        <v>002481</v>
      </c>
      <c r="B946" t="s">
        <v>2647</v>
      </c>
      <c r="C946">
        <v>13.93</v>
      </c>
      <c r="D946">
        <v>14.47</v>
      </c>
      <c r="E946">
        <v>13.91</v>
      </c>
      <c r="F946">
        <v>14.36</v>
      </c>
      <c r="G946">
        <v>76447</v>
      </c>
      <c r="H946">
        <v>108615224</v>
      </c>
      <c r="I946">
        <v>2.11</v>
      </c>
      <c r="J946" t="s">
        <v>421</v>
      </c>
      <c r="K946" t="s">
        <v>250</v>
      </c>
      <c r="L946">
        <v>2.64</v>
      </c>
      <c r="M946">
        <v>14.21</v>
      </c>
      <c r="N946">
        <v>32400</v>
      </c>
      <c r="O946">
        <v>44046</v>
      </c>
      <c r="P946">
        <v>0.74</v>
      </c>
      <c r="Q946">
        <v>109</v>
      </c>
      <c r="R946">
        <v>288</v>
      </c>
      <c r="S946" t="s">
        <v>3</v>
      </c>
      <c r="T946">
        <v>37455.17</v>
      </c>
      <c r="U946" t="s">
        <v>2648</v>
      </c>
      <c r="V946" t="s">
        <v>2649</v>
      </c>
      <c r="W946">
        <v>2.8</v>
      </c>
    </row>
    <row r="947" spans="1:23">
      <c r="A947" t="str">
        <f>"002482"</f>
        <v>002482</v>
      </c>
      <c r="B947" t="s">
        <v>2650</v>
      </c>
      <c r="C947">
        <v>14.65</v>
      </c>
      <c r="D947">
        <v>14.67</v>
      </c>
      <c r="E947">
        <v>14.39</v>
      </c>
      <c r="F947">
        <v>14.53</v>
      </c>
      <c r="G947">
        <v>59289</v>
      </c>
      <c r="H947">
        <v>86042296</v>
      </c>
      <c r="I947">
        <v>0.88</v>
      </c>
      <c r="J947" t="s">
        <v>1496</v>
      </c>
      <c r="K947" t="s">
        <v>2</v>
      </c>
      <c r="L947">
        <v>-1.0900000000000001</v>
      </c>
      <c r="M947">
        <v>14.51</v>
      </c>
      <c r="N947">
        <v>35289</v>
      </c>
      <c r="O947">
        <v>23999</v>
      </c>
      <c r="P947">
        <v>1.47</v>
      </c>
      <c r="Q947">
        <v>108</v>
      </c>
      <c r="R947">
        <v>228</v>
      </c>
      <c r="S947" t="s">
        <v>3</v>
      </c>
      <c r="T947">
        <v>45715.82</v>
      </c>
      <c r="U947" t="s">
        <v>2651</v>
      </c>
      <c r="V947" t="s">
        <v>1398</v>
      </c>
      <c r="W947">
        <v>-0.93</v>
      </c>
    </row>
    <row r="948" spans="1:23">
      <c r="A948" t="str">
        <f>"002483"</f>
        <v>002483</v>
      </c>
      <c r="B948" t="s">
        <v>2652</v>
      </c>
      <c r="C948">
        <v>11.6</v>
      </c>
      <c r="D948">
        <v>11.76</v>
      </c>
      <c r="E948">
        <v>11.55</v>
      </c>
      <c r="F948">
        <v>11.75</v>
      </c>
      <c r="G948">
        <v>49412</v>
      </c>
      <c r="H948">
        <v>57751912</v>
      </c>
      <c r="I948">
        <v>0.43</v>
      </c>
      <c r="J948" t="s">
        <v>233</v>
      </c>
      <c r="K948" t="s">
        <v>244</v>
      </c>
      <c r="L948">
        <v>0.77</v>
      </c>
      <c r="M948">
        <v>11.69</v>
      </c>
      <c r="N948">
        <v>23505</v>
      </c>
      <c r="O948">
        <v>25907</v>
      </c>
      <c r="P948">
        <v>0.91</v>
      </c>
      <c r="Q948">
        <v>91</v>
      </c>
      <c r="R948">
        <v>15</v>
      </c>
      <c r="S948" t="s">
        <v>3</v>
      </c>
      <c r="T948">
        <v>29250</v>
      </c>
      <c r="U948" t="s">
        <v>755</v>
      </c>
      <c r="V948" t="s">
        <v>2653</v>
      </c>
      <c r="W948">
        <v>0.93</v>
      </c>
    </row>
    <row r="949" spans="1:23">
      <c r="A949" t="str">
        <f>"002484"</f>
        <v>002484</v>
      </c>
      <c r="B949" t="s">
        <v>2654</v>
      </c>
      <c r="C949">
        <v>18.559999999999999</v>
      </c>
      <c r="D949">
        <v>18.66</v>
      </c>
      <c r="E949">
        <v>18.05</v>
      </c>
      <c r="F949">
        <v>18.2</v>
      </c>
      <c r="G949">
        <v>76927</v>
      </c>
      <c r="H949">
        <v>141289104</v>
      </c>
      <c r="I949">
        <v>2.0699999999999998</v>
      </c>
      <c r="J949" t="s">
        <v>62</v>
      </c>
      <c r="K949" t="s">
        <v>244</v>
      </c>
      <c r="L949">
        <v>-1.89</v>
      </c>
      <c r="M949">
        <v>18.37</v>
      </c>
      <c r="N949">
        <v>45242</v>
      </c>
      <c r="O949">
        <v>31684</v>
      </c>
      <c r="P949">
        <v>1.43</v>
      </c>
      <c r="Q949">
        <v>76</v>
      </c>
      <c r="R949">
        <v>16</v>
      </c>
      <c r="S949" t="s">
        <v>3</v>
      </c>
      <c r="T949">
        <v>30458.36</v>
      </c>
      <c r="U949" t="s">
        <v>2655</v>
      </c>
      <c r="V949" t="s">
        <v>2656</v>
      </c>
      <c r="W949">
        <v>-1.73</v>
      </c>
    </row>
    <row r="950" spans="1:23">
      <c r="A950" t="str">
        <f>"002485"</f>
        <v>002485</v>
      </c>
      <c r="B950" t="s">
        <v>2657</v>
      </c>
      <c r="C950">
        <v>8.7799999999999994</v>
      </c>
      <c r="D950">
        <v>9.1</v>
      </c>
      <c r="E950">
        <v>8.6999999999999993</v>
      </c>
      <c r="F950">
        <v>8.85</v>
      </c>
      <c r="G950">
        <v>71850</v>
      </c>
      <c r="H950">
        <v>64025788</v>
      </c>
      <c r="I950">
        <v>1.1299999999999999</v>
      </c>
      <c r="J950" t="s">
        <v>1373</v>
      </c>
      <c r="K950" t="s">
        <v>250</v>
      </c>
      <c r="L950">
        <v>0.45</v>
      </c>
      <c r="M950">
        <v>8.91</v>
      </c>
      <c r="N950">
        <v>38434</v>
      </c>
      <c r="O950">
        <v>33416</v>
      </c>
      <c r="P950">
        <v>1.1499999999999999</v>
      </c>
      <c r="Q950">
        <v>783</v>
      </c>
      <c r="R950">
        <v>66</v>
      </c>
      <c r="S950" t="s">
        <v>3</v>
      </c>
      <c r="T950">
        <v>32000</v>
      </c>
      <c r="U950" t="s">
        <v>2658</v>
      </c>
      <c r="V950" t="s">
        <v>2658</v>
      </c>
      <c r="W950">
        <v>0.61</v>
      </c>
    </row>
    <row r="951" spans="1:23">
      <c r="A951" t="str">
        <f>"002486"</f>
        <v>002486</v>
      </c>
      <c r="B951" t="s">
        <v>2659</v>
      </c>
      <c r="C951" t="s">
        <v>3</v>
      </c>
      <c r="D951" t="s">
        <v>3</v>
      </c>
      <c r="E951" t="s">
        <v>3</v>
      </c>
      <c r="F951">
        <v>0</v>
      </c>
      <c r="G951">
        <v>0</v>
      </c>
      <c r="H951">
        <v>0</v>
      </c>
      <c r="I951">
        <v>0</v>
      </c>
      <c r="J951" t="s">
        <v>1373</v>
      </c>
      <c r="K951" t="s">
        <v>727</v>
      </c>
      <c r="L951" t="s">
        <v>3</v>
      </c>
      <c r="M951">
        <v>4.24</v>
      </c>
      <c r="N951">
        <v>0</v>
      </c>
      <c r="O951">
        <v>0</v>
      </c>
      <c r="P951" t="s">
        <v>3</v>
      </c>
      <c r="Q951">
        <v>0</v>
      </c>
      <c r="R951">
        <v>0</v>
      </c>
      <c r="S951" t="s">
        <v>3</v>
      </c>
      <c r="T951">
        <v>80050</v>
      </c>
      <c r="U951" t="s">
        <v>2660</v>
      </c>
      <c r="V951" t="s">
        <v>2661</v>
      </c>
      <c r="W951">
        <v>0.16</v>
      </c>
    </row>
    <row r="952" spans="1:23">
      <c r="A952" t="str">
        <f>"002487"</f>
        <v>002487</v>
      </c>
      <c r="B952" t="s">
        <v>2662</v>
      </c>
      <c r="C952">
        <v>8.49</v>
      </c>
      <c r="D952">
        <v>8.5</v>
      </c>
      <c r="E952">
        <v>8.35</v>
      </c>
      <c r="F952">
        <v>8.42</v>
      </c>
      <c r="G952">
        <v>44283</v>
      </c>
      <c r="H952">
        <v>37241076</v>
      </c>
      <c r="I952">
        <v>0.74</v>
      </c>
      <c r="J952" t="s">
        <v>838</v>
      </c>
      <c r="K952" t="s">
        <v>162</v>
      </c>
      <c r="L952">
        <v>-0.71</v>
      </c>
      <c r="M952">
        <v>8.41</v>
      </c>
      <c r="N952">
        <v>26625</v>
      </c>
      <c r="O952">
        <v>17657</v>
      </c>
      <c r="P952">
        <v>1.51</v>
      </c>
      <c r="Q952">
        <v>234</v>
      </c>
      <c r="R952">
        <v>238</v>
      </c>
      <c r="S952" t="s">
        <v>3</v>
      </c>
      <c r="T952">
        <v>36000</v>
      </c>
      <c r="U952" t="s">
        <v>2663</v>
      </c>
      <c r="V952" t="s">
        <v>2663</v>
      </c>
      <c r="W952">
        <v>-0.55000000000000004</v>
      </c>
    </row>
    <row r="953" spans="1:23">
      <c r="A953" t="str">
        <f>"002488"</f>
        <v>002488</v>
      </c>
      <c r="B953" t="s">
        <v>2664</v>
      </c>
      <c r="C953">
        <v>16.399999999999999</v>
      </c>
      <c r="D953">
        <v>16.95</v>
      </c>
      <c r="E953">
        <v>16.100000000000001</v>
      </c>
      <c r="F953">
        <v>16.77</v>
      </c>
      <c r="G953">
        <v>24911</v>
      </c>
      <c r="H953">
        <v>41616928</v>
      </c>
      <c r="I953">
        <v>1.28</v>
      </c>
      <c r="J953" t="s">
        <v>98</v>
      </c>
      <c r="K953" t="s">
        <v>229</v>
      </c>
      <c r="L953">
        <v>3.39</v>
      </c>
      <c r="M953">
        <v>16.71</v>
      </c>
      <c r="N953">
        <v>9264</v>
      </c>
      <c r="O953">
        <v>15646</v>
      </c>
      <c r="P953">
        <v>0.59</v>
      </c>
      <c r="Q953">
        <v>163</v>
      </c>
      <c r="R953">
        <v>130</v>
      </c>
      <c r="S953" t="s">
        <v>3</v>
      </c>
      <c r="T953">
        <v>8706.5</v>
      </c>
      <c r="U953" t="s">
        <v>606</v>
      </c>
      <c r="V953" t="s">
        <v>2665</v>
      </c>
      <c r="W953">
        <v>3.55</v>
      </c>
    </row>
    <row r="954" spans="1:23">
      <c r="A954" t="str">
        <f>"002489"</f>
        <v>002489</v>
      </c>
      <c r="B954" t="s">
        <v>2666</v>
      </c>
      <c r="C954">
        <v>12.82</v>
      </c>
      <c r="D954">
        <v>12.93</v>
      </c>
      <c r="E954">
        <v>12.62</v>
      </c>
      <c r="F954">
        <v>12.68</v>
      </c>
      <c r="G954">
        <v>32885</v>
      </c>
      <c r="H954">
        <v>41856696</v>
      </c>
      <c r="I954">
        <v>0.88</v>
      </c>
      <c r="J954" t="s">
        <v>1183</v>
      </c>
      <c r="K954" t="s">
        <v>229</v>
      </c>
      <c r="L954">
        <v>-1.0900000000000001</v>
      </c>
      <c r="M954">
        <v>12.73</v>
      </c>
      <c r="N954">
        <v>19447</v>
      </c>
      <c r="O954">
        <v>13437</v>
      </c>
      <c r="P954">
        <v>1.45</v>
      </c>
      <c r="Q954">
        <v>16</v>
      </c>
      <c r="R954">
        <v>10</v>
      </c>
      <c r="S954" t="s">
        <v>3</v>
      </c>
      <c r="T954">
        <v>38040.410000000003</v>
      </c>
      <c r="U954" t="s">
        <v>2667</v>
      </c>
      <c r="V954" t="s">
        <v>2518</v>
      </c>
      <c r="W954">
        <v>-0.93</v>
      </c>
    </row>
    <row r="955" spans="1:23">
      <c r="A955" t="str">
        <f>"002490"</f>
        <v>002490</v>
      </c>
      <c r="B955" t="s">
        <v>2668</v>
      </c>
      <c r="C955">
        <v>9.5500000000000007</v>
      </c>
      <c r="D955">
        <v>9.5500000000000007</v>
      </c>
      <c r="E955">
        <v>9.3800000000000008</v>
      </c>
      <c r="F955">
        <v>9.48</v>
      </c>
      <c r="G955">
        <v>87601</v>
      </c>
      <c r="H955">
        <v>82837616</v>
      </c>
      <c r="I955">
        <v>0.65</v>
      </c>
      <c r="J955" t="s">
        <v>1082</v>
      </c>
      <c r="K955" t="s">
        <v>250</v>
      </c>
      <c r="L955">
        <v>-0.63</v>
      </c>
      <c r="M955">
        <v>9.4600000000000009</v>
      </c>
      <c r="N955">
        <v>51022</v>
      </c>
      <c r="O955">
        <v>36578</v>
      </c>
      <c r="P955">
        <v>1.39</v>
      </c>
      <c r="Q955">
        <v>410</v>
      </c>
      <c r="R955">
        <v>412</v>
      </c>
      <c r="S955" t="s">
        <v>3</v>
      </c>
      <c r="T955">
        <v>26542.63</v>
      </c>
      <c r="U955" t="s">
        <v>2669</v>
      </c>
      <c r="V955" t="s">
        <v>2670</v>
      </c>
      <c r="W955">
        <v>-0.47</v>
      </c>
    </row>
    <row r="956" spans="1:23">
      <c r="A956" t="str">
        <f>"002491"</f>
        <v>002491</v>
      </c>
      <c r="B956" t="s">
        <v>2671</v>
      </c>
      <c r="C956">
        <v>18.309999999999999</v>
      </c>
      <c r="D956">
        <v>20.14</v>
      </c>
      <c r="E956">
        <v>18</v>
      </c>
      <c r="F956">
        <v>19.89</v>
      </c>
      <c r="G956">
        <v>109541</v>
      </c>
      <c r="H956">
        <v>209846224</v>
      </c>
      <c r="I956">
        <v>1.95</v>
      </c>
      <c r="J956" t="s">
        <v>112</v>
      </c>
      <c r="K956" t="s">
        <v>244</v>
      </c>
      <c r="L956">
        <v>7.51</v>
      </c>
      <c r="M956">
        <v>19.16</v>
      </c>
      <c r="N956">
        <v>43919</v>
      </c>
      <c r="O956">
        <v>65621</v>
      </c>
      <c r="P956">
        <v>0.67</v>
      </c>
      <c r="Q956">
        <v>112</v>
      </c>
      <c r="R956">
        <v>246</v>
      </c>
      <c r="S956" t="s">
        <v>3</v>
      </c>
      <c r="T956">
        <v>33050.46</v>
      </c>
      <c r="U956" t="s">
        <v>2672</v>
      </c>
      <c r="V956" t="s">
        <v>2673</v>
      </c>
      <c r="W956">
        <v>7.67</v>
      </c>
    </row>
    <row r="957" spans="1:23">
      <c r="A957" t="str">
        <f>"002492"</f>
        <v>002492</v>
      </c>
      <c r="B957" t="s">
        <v>2674</v>
      </c>
      <c r="C957">
        <v>11.2</v>
      </c>
      <c r="D957">
        <v>11.68</v>
      </c>
      <c r="E957">
        <v>11.11</v>
      </c>
      <c r="F957">
        <v>11.62</v>
      </c>
      <c r="G957">
        <v>36590</v>
      </c>
      <c r="H957">
        <v>41678032</v>
      </c>
      <c r="I957">
        <v>1.2</v>
      </c>
      <c r="J957" t="s">
        <v>1859</v>
      </c>
      <c r="K957" t="s">
        <v>211</v>
      </c>
      <c r="L957">
        <v>3.75</v>
      </c>
      <c r="M957">
        <v>11.39</v>
      </c>
      <c r="N957">
        <v>13629</v>
      </c>
      <c r="O957">
        <v>22960</v>
      </c>
      <c r="P957">
        <v>0.59</v>
      </c>
      <c r="Q957">
        <v>364</v>
      </c>
      <c r="R957">
        <v>229</v>
      </c>
      <c r="S957" t="s">
        <v>3</v>
      </c>
      <c r="T957">
        <v>23550</v>
      </c>
      <c r="U957" t="s">
        <v>2592</v>
      </c>
      <c r="V957" t="s">
        <v>1876</v>
      </c>
      <c r="W957">
        <v>3.91</v>
      </c>
    </row>
    <row r="958" spans="1:23">
      <c r="A958" t="str">
        <f>"002493"</f>
        <v>002493</v>
      </c>
      <c r="B958" t="s">
        <v>2675</v>
      </c>
      <c r="C958">
        <v>12.07</v>
      </c>
      <c r="D958">
        <v>12.08</v>
      </c>
      <c r="E958">
        <v>11.86</v>
      </c>
      <c r="F958">
        <v>12</v>
      </c>
      <c r="G958">
        <v>20929</v>
      </c>
      <c r="H958">
        <v>25024376</v>
      </c>
      <c r="I958">
        <v>0.44</v>
      </c>
      <c r="J958" t="s">
        <v>310</v>
      </c>
      <c r="K958" t="s">
        <v>229</v>
      </c>
      <c r="L958">
        <v>0</v>
      </c>
      <c r="M958">
        <v>11.96</v>
      </c>
      <c r="N958">
        <v>11698</v>
      </c>
      <c r="O958">
        <v>9231</v>
      </c>
      <c r="P958">
        <v>1.27</v>
      </c>
      <c r="Q958">
        <v>125</v>
      </c>
      <c r="R958">
        <v>255</v>
      </c>
      <c r="S958" t="s">
        <v>3</v>
      </c>
      <c r="T958">
        <v>101907.5</v>
      </c>
      <c r="U958" t="s">
        <v>2676</v>
      </c>
      <c r="V958" t="s">
        <v>2677</v>
      </c>
      <c r="W958">
        <v>0.16</v>
      </c>
    </row>
    <row r="959" spans="1:23">
      <c r="A959" t="str">
        <f>"002494"</f>
        <v>002494</v>
      </c>
      <c r="B959" t="s">
        <v>2678</v>
      </c>
      <c r="C959">
        <v>13.91</v>
      </c>
      <c r="D959">
        <v>14.09</v>
      </c>
      <c r="E959">
        <v>13.91</v>
      </c>
      <c r="F959">
        <v>14.02</v>
      </c>
      <c r="G959">
        <v>25312</v>
      </c>
      <c r="H959">
        <v>35456736</v>
      </c>
      <c r="I959">
        <v>1.1599999999999999</v>
      </c>
      <c r="J959" t="s">
        <v>1373</v>
      </c>
      <c r="K959" t="s">
        <v>238</v>
      </c>
      <c r="L959">
        <v>0.86</v>
      </c>
      <c r="M959">
        <v>14.01</v>
      </c>
      <c r="N959">
        <v>11066</v>
      </c>
      <c r="O959">
        <v>14245</v>
      </c>
      <c r="P959">
        <v>0.78</v>
      </c>
      <c r="Q959">
        <v>514</v>
      </c>
      <c r="R959">
        <v>24</v>
      </c>
      <c r="S959" t="s">
        <v>3</v>
      </c>
      <c r="T959">
        <v>9726.16</v>
      </c>
      <c r="U959" t="s">
        <v>2679</v>
      </c>
      <c r="V959" t="s">
        <v>2680</v>
      </c>
      <c r="W959">
        <v>1.02</v>
      </c>
    </row>
    <row r="960" spans="1:23">
      <c r="A960" t="str">
        <f>"002495"</f>
        <v>002495</v>
      </c>
      <c r="B960" t="s">
        <v>2681</v>
      </c>
      <c r="C960">
        <v>9.5500000000000007</v>
      </c>
      <c r="D960">
        <v>9.66</v>
      </c>
      <c r="E960">
        <v>9.4499999999999993</v>
      </c>
      <c r="F960">
        <v>9.56</v>
      </c>
      <c r="G960">
        <v>30456</v>
      </c>
      <c r="H960">
        <v>29069732</v>
      </c>
      <c r="I960">
        <v>0.83</v>
      </c>
      <c r="J960" t="s">
        <v>421</v>
      </c>
      <c r="K960" t="s">
        <v>211</v>
      </c>
      <c r="L960">
        <v>-0.42</v>
      </c>
      <c r="M960">
        <v>9.5399999999999991</v>
      </c>
      <c r="N960">
        <v>18774</v>
      </c>
      <c r="O960">
        <v>11682</v>
      </c>
      <c r="P960">
        <v>1.61</v>
      </c>
      <c r="Q960">
        <v>600</v>
      </c>
      <c r="R960">
        <v>234</v>
      </c>
      <c r="S960" t="s">
        <v>3</v>
      </c>
      <c r="T960">
        <v>14917.5</v>
      </c>
      <c r="U960" t="s">
        <v>2682</v>
      </c>
      <c r="V960" t="s">
        <v>2683</v>
      </c>
      <c r="W960">
        <v>-0.26</v>
      </c>
    </row>
    <row r="961" spans="1:23">
      <c r="A961" t="str">
        <f>"002496"</f>
        <v>002496</v>
      </c>
      <c r="B961" t="s">
        <v>2684</v>
      </c>
      <c r="C961">
        <v>14.41</v>
      </c>
      <c r="D961">
        <v>14.67</v>
      </c>
      <c r="E961">
        <v>14.36</v>
      </c>
      <c r="F961">
        <v>14.53</v>
      </c>
      <c r="G961">
        <v>37817</v>
      </c>
      <c r="H961">
        <v>54918156</v>
      </c>
      <c r="I961">
        <v>1.06</v>
      </c>
      <c r="J961" t="s">
        <v>224</v>
      </c>
      <c r="K961" t="s">
        <v>244</v>
      </c>
      <c r="L961">
        <v>0.83</v>
      </c>
      <c r="M961">
        <v>14.52</v>
      </c>
      <c r="N961">
        <v>17738</v>
      </c>
      <c r="O961">
        <v>20079</v>
      </c>
      <c r="P961">
        <v>0.88</v>
      </c>
      <c r="Q961">
        <v>25</v>
      </c>
      <c r="R961">
        <v>50</v>
      </c>
      <c r="S961" t="s">
        <v>3</v>
      </c>
      <c r="T961">
        <v>18456.77</v>
      </c>
      <c r="U961" t="s">
        <v>2685</v>
      </c>
      <c r="V961" t="s">
        <v>2686</v>
      </c>
      <c r="W961">
        <v>0.99</v>
      </c>
    </row>
    <row r="962" spans="1:23">
      <c r="A962" t="str">
        <f>"002497"</f>
        <v>002497</v>
      </c>
      <c r="B962" t="s">
        <v>2687</v>
      </c>
      <c r="C962" t="s">
        <v>3</v>
      </c>
      <c r="D962" t="s">
        <v>3</v>
      </c>
      <c r="E962" t="s">
        <v>3</v>
      </c>
      <c r="F962">
        <v>0</v>
      </c>
      <c r="G962">
        <v>0</v>
      </c>
      <c r="H962">
        <v>0</v>
      </c>
      <c r="I962">
        <v>0</v>
      </c>
      <c r="J962" t="s">
        <v>376</v>
      </c>
      <c r="K962" t="s">
        <v>225</v>
      </c>
      <c r="L962" t="s">
        <v>3</v>
      </c>
      <c r="M962">
        <v>10.97</v>
      </c>
      <c r="N962">
        <v>0</v>
      </c>
      <c r="O962">
        <v>0</v>
      </c>
      <c r="P962" t="s">
        <v>3</v>
      </c>
      <c r="Q962">
        <v>0</v>
      </c>
      <c r="R962">
        <v>0</v>
      </c>
      <c r="S962" t="s">
        <v>3</v>
      </c>
      <c r="T962">
        <v>33596.800000000003</v>
      </c>
      <c r="U962" t="s">
        <v>2688</v>
      </c>
      <c r="V962" t="s">
        <v>2689</v>
      </c>
      <c r="W962">
        <v>0.16</v>
      </c>
    </row>
    <row r="963" spans="1:23">
      <c r="A963" t="str">
        <f>"002498"</f>
        <v>002498</v>
      </c>
      <c r="B963" t="s">
        <v>2690</v>
      </c>
      <c r="C963">
        <v>8.4</v>
      </c>
      <c r="D963">
        <v>8.4600000000000009</v>
      </c>
      <c r="E963">
        <v>8.2200000000000006</v>
      </c>
      <c r="F963">
        <v>8.35</v>
      </c>
      <c r="G963">
        <v>40373</v>
      </c>
      <c r="H963">
        <v>33593060</v>
      </c>
      <c r="I963">
        <v>0.66</v>
      </c>
      <c r="J963" t="s">
        <v>145</v>
      </c>
      <c r="K963" t="s">
        <v>250</v>
      </c>
      <c r="L963">
        <v>-0.48</v>
      </c>
      <c r="M963">
        <v>8.32</v>
      </c>
      <c r="N963">
        <v>25415</v>
      </c>
      <c r="O963">
        <v>14957</v>
      </c>
      <c r="P963">
        <v>1.7</v>
      </c>
      <c r="Q963">
        <v>1397</v>
      </c>
      <c r="R963">
        <v>322</v>
      </c>
      <c r="S963" t="s">
        <v>3</v>
      </c>
      <c r="T963">
        <v>105750</v>
      </c>
      <c r="U963" t="s">
        <v>2691</v>
      </c>
      <c r="V963" t="s">
        <v>2692</v>
      </c>
      <c r="W963">
        <v>-0.32</v>
      </c>
    </row>
    <row r="964" spans="1:23">
      <c r="A964" t="str">
        <f>"002499"</f>
        <v>002499</v>
      </c>
      <c r="B964" t="s">
        <v>2693</v>
      </c>
      <c r="C964">
        <v>24.17</v>
      </c>
      <c r="D964">
        <v>24.28</v>
      </c>
      <c r="E964">
        <v>23.61</v>
      </c>
      <c r="F964">
        <v>23.87</v>
      </c>
      <c r="G964">
        <v>85604</v>
      </c>
      <c r="H964">
        <v>204554144</v>
      </c>
      <c r="I964">
        <v>1.36</v>
      </c>
      <c r="J964" t="s">
        <v>269</v>
      </c>
      <c r="K964" t="s">
        <v>244</v>
      </c>
      <c r="L964">
        <v>0.63</v>
      </c>
      <c r="M964">
        <v>23.9</v>
      </c>
      <c r="N964">
        <v>41961</v>
      </c>
      <c r="O964">
        <v>43643</v>
      </c>
      <c r="P964">
        <v>0.96</v>
      </c>
      <c r="Q964">
        <v>193</v>
      </c>
      <c r="R964">
        <v>58</v>
      </c>
      <c r="S964" t="s">
        <v>3</v>
      </c>
      <c r="T964">
        <v>7762.18</v>
      </c>
      <c r="U964" t="s">
        <v>2694</v>
      </c>
      <c r="V964" t="s">
        <v>2617</v>
      </c>
      <c r="W964">
        <v>0.79</v>
      </c>
    </row>
    <row r="965" spans="1:23">
      <c r="A965" t="str">
        <f>"002500"</f>
        <v>002500</v>
      </c>
      <c r="B965" t="s">
        <v>2695</v>
      </c>
      <c r="C965">
        <v>7.62</v>
      </c>
      <c r="D965">
        <v>7.62</v>
      </c>
      <c r="E965">
        <v>7.47</v>
      </c>
      <c r="F965">
        <v>7.53</v>
      </c>
      <c r="G965">
        <v>190765</v>
      </c>
      <c r="H965">
        <v>143564784</v>
      </c>
      <c r="I965">
        <v>0.74</v>
      </c>
      <c r="J965" t="s">
        <v>512</v>
      </c>
      <c r="K965" t="s">
        <v>742</v>
      </c>
      <c r="L965">
        <v>-1.05</v>
      </c>
      <c r="M965">
        <v>7.53</v>
      </c>
      <c r="N965">
        <v>112260</v>
      </c>
      <c r="O965">
        <v>78504</v>
      </c>
      <c r="P965">
        <v>1.43</v>
      </c>
      <c r="Q965">
        <v>520</v>
      </c>
      <c r="R965">
        <v>1869</v>
      </c>
      <c r="S965" t="s">
        <v>3</v>
      </c>
      <c r="T965">
        <v>239980</v>
      </c>
      <c r="U965" t="s">
        <v>2696</v>
      </c>
      <c r="V965" t="s">
        <v>2697</v>
      </c>
      <c r="W965">
        <v>-0.89</v>
      </c>
    </row>
    <row r="966" spans="1:23">
      <c r="A966" t="str">
        <f>"002501"</f>
        <v>002501</v>
      </c>
      <c r="B966" t="s">
        <v>2698</v>
      </c>
      <c r="C966">
        <v>15.21</v>
      </c>
      <c r="D966">
        <v>15.22</v>
      </c>
      <c r="E966">
        <v>14.93</v>
      </c>
      <c r="F966">
        <v>15.08</v>
      </c>
      <c r="G966">
        <v>96660</v>
      </c>
      <c r="H966">
        <v>145398720</v>
      </c>
      <c r="I966">
        <v>0.97</v>
      </c>
      <c r="J966" t="s">
        <v>632</v>
      </c>
      <c r="K966" t="s">
        <v>99</v>
      </c>
      <c r="L966">
        <v>-0.85</v>
      </c>
      <c r="M966">
        <v>15.04</v>
      </c>
      <c r="N966">
        <v>58474</v>
      </c>
      <c r="O966">
        <v>38185</v>
      </c>
      <c r="P966">
        <v>1.53</v>
      </c>
      <c r="Q966">
        <v>134</v>
      </c>
      <c r="R966">
        <v>641</v>
      </c>
      <c r="S966" t="s">
        <v>3</v>
      </c>
      <c r="T966">
        <v>33565.53</v>
      </c>
      <c r="U966" t="s">
        <v>2699</v>
      </c>
      <c r="V966" t="s">
        <v>2700</v>
      </c>
      <c r="W966">
        <v>-0.7</v>
      </c>
    </row>
    <row r="967" spans="1:23">
      <c r="A967" t="str">
        <f>"002502"</f>
        <v>002502</v>
      </c>
      <c r="B967" t="s">
        <v>2701</v>
      </c>
      <c r="C967">
        <v>16.61</v>
      </c>
      <c r="D967">
        <v>16.8</v>
      </c>
      <c r="E967">
        <v>16.32</v>
      </c>
      <c r="F967">
        <v>16.600000000000001</v>
      </c>
      <c r="G967">
        <v>51496</v>
      </c>
      <c r="H967">
        <v>85413408</v>
      </c>
      <c r="I967">
        <v>0.88</v>
      </c>
      <c r="J967" t="s">
        <v>51</v>
      </c>
      <c r="K967" t="s">
        <v>211</v>
      </c>
      <c r="L967">
        <v>-0.18</v>
      </c>
      <c r="M967">
        <v>16.59</v>
      </c>
      <c r="N967">
        <v>23984</v>
      </c>
      <c r="O967">
        <v>27511</v>
      </c>
      <c r="P967">
        <v>0.87</v>
      </c>
      <c r="Q967">
        <v>169</v>
      </c>
      <c r="R967">
        <v>552</v>
      </c>
      <c r="S967" t="s">
        <v>3</v>
      </c>
      <c r="T967">
        <v>15750.79</v>
      </c>
      <c r="U967" t="s">
        <v>2702</v>
      </c>
      <c r="V967" t="s">
        <v>2703</v>
      </c>
      <c r="W967">
        <v>-0.02</v>
      </c>
    </row>
    <row r="968" spans="1:23">
      <c r="A968" t="str">
        <f>"002503"</f>
        <v>002503</v>
      </c>
      <c r="B968" t="s">
        <v>2704</v>
      </c>
      <c r="C968">
        <v>11.24</v>
      </c>
      <c r="D968">
        <v>11.3</v>
      </c>
      <c r="E968">
        <v>11.05</v>
      </c>
      <c r="F968">
        <v>11.29</v>
      </c>
      <c r="G968">
        <v>79910</v>
      </c>
      <c r="H968">
        <v>89498520</v>
      </c>
      <c r="I968">
        <v>0.53</v>
      </c>
      <c r="J968" t="s">
        <v>1373</v>
      </c>
      <c r="K968" t="s">
        <v>211</v>
      </c>
      <c r="L968">
        <v>-0.44</v>
      </c>
      <c r="M968">
        <v>11.2</v>
      </c>
      <c r="N968">
        <v>45675</v>
      </c>
      <c r="O968">
        <v>34234</v>
      </c>
      <c r="P968">
        <v>1.33</v>
      </c>
      <c r="Q968">
        <v>30</v>
      </c>
      <c r="R968">
        <v>434</v>
      </c>
      <c r="S968" t="s">
        <v>3</v>
      </c>
      <c r="T968">
        <v>31487.18</v>
      </c>
      <c r="U968" t="s">
        <v>2705</v>
      </c>
      <c r="V968" t="s">
        <v>2706</v>
      </c>
      <c r="W968">
        <v>-0.28000000000000003</v>
      </c>
    </row>
    <row r="969" spans="1:23">
      <c r="A969" t="str">
        <f>"002504"</f>
        <v>002504</v>
      </c>
      <c r="B969" t="s">
        <v>2707</v>
      </c>
      <c r="C969">
        <v>13.3</v>
      </c>
      <c r="D969">
        <v>13.66</v>
      </c>
      <c r="E969">
        <v>13.21</v>
      </c>
      <c r="F969">
        <v>13.54</v>
      </c>
      <c r="G969">
        <v>56634</v>
      </c>
      <c r="H969">
        <v>76450592</v>
      </c>
      <c r="I969">
        <v>1.9</v>
      </c>
      <c r="J969" t="s">
        <v>1581</v>
      </c>
      <c r="K969" t="s">
        <v>244</v>
      </c>
      <c r="L969">
        <v>2.89</v>
      </c>
      <c r="M969">
        <v>13.5</v>
      </c>
      <c r="N969">
        <v>26018</v>
      </c>
      <c r="O969">
        <v>30615</v>
      </c>
      <c r="P969">
        <v>0.85</v>
      </c>
      <c r="Q969">
        <v>58</v>
      </c>
      <c r="R969">
        <v>1071</v>
      </c>
      <c r="S969" t="s">
        <v>3</v>
      </c>
      <c r="T969">
        <v>9936.1299999999992</v>
      </c>
      <c r="U969" t="s">
        <v>2708</v>
      </c>
      <c r="V969" t="s">
        <v>2709</v>
      </c>
      <c r="W969">
        <v>3.05</v>
      </c>
    </row>
    <row r="970" spans="1:23">
      <c r="A970" t="str">
        <f>"002505"</f>
        <v>002505</v>
      </c>
      <c r="B970" t="s">
        <v>2710</v>
      </c>
      <c r="C970">
        <v>14.68</v>
      </c>
      <c r="D970">
        <v>15.26</v>
      </c>
      <c r="E970">
        <v>14.53</v>
      </c>
      <c r="F970">
        <v>15.01</v>
      </c>
      <c r="G970">
        <v>149530</v>
      </c>
      <c r="H970">
        <v>223792512</v>
      </c>
      <c r="I970">
        <v>1.46</v>
      </c>
      <c r="J970" t="s">
        <v>169</v>
      </c>
      <c r="K970" t="s">
        <v>234</v>
      </c>
      <c r="L970">
        <v>3.02</v>
      </c>
      <c r="M970">
        <v>14.97</v>
      </c>
      <c r="N970">
        <v>64905</v>
      </c>
      <c r="O970">
        <v>84624</v>
      </c>
      <c r="P970">
        <v>0.77</v>
      </c>
      <c r="Q970">
        <v>586</v>
      </c>
      <c r="R970">
        <v>1099</v>
      </c>
      <c r="S970" t="s">
        <v>3</v>
      </c>
      <c r="T970">
        <v>25250.75</v>
      </c>
      <c r="U970" t="s">
        <v>774</v>
      </c>
      <c r="V970" t="s">
        <v>2711</v>
      </c>
      <c r="W970">
        <v>3.18</v>
      </c>
    </row>
    <row r="971" spans="1:23">
      <c r="A971" t="str">
        <f>"002507"</f>
        <v>002507</v>
      </c>
      <c r="B971" t="s">
        <v>2712</v>
      </c>
      <c r="C971">
        <v>25.54</v>
      </c>
      <c r="D971">
        <v>25.54</v>
      </c>
      <c r="E971">
        <v>25.12</v>
      </c>
      <c r="F971">
        <v>25.32</v>
      </c>
      <c r="G971">
        <v>13496</v>
      </c>
      <c r="H971">
        <v>34098968</v>
      </c>
      <c r="I971">
        <v>1.25</v>
      </c>
      <c r="J971" t="s">
        <v>421</v>
      </c>
      <c r="K971" t="s">
        <v>386</v>
      </c>
      <c r="L971">
        <v>-0.86</v>
      </c>
      <c r="M971">
        <v>25.27</v>
      </c>
      <c r="N971">
        <v>8893</v>
      </c>
      <c r="O971">
        <v>4602</v>
      </c>
      <c r="P971">
        <v>1.93</v>
      </c>
      <c r="Q971">
        <v>111</v>
      </c>
      <c r="R971">
        <v>58</v>
      </c>
      <c r="S971" t="s">
        <v>3</v>
      </c>
      <c r="T971">
        <v>11562.95</v>
      </c>
      <c r="U971" t="s">
        <v>2713</v>
      </c>
      <c r="V971" t="s">
        <v>2714</v>
      </c>
      <c r="W971">
        <v>-0.7</v>
      </c>
    </row>
    <row r="972" spans="1:23">
      <c r="A972" t="str">
        <f>"002508"</f>
        <v>002508</v>
      </c>
      <c r="B972" t="s">
        <v>2715</v>
      </c>
      <c r="C972" t="s">
        <v>3</v>
      </c>
      <c r="D972" t="s">
        <v>3</v>
      </c>
      <c r="E972" t="s">
        <v>3</v>
      </c>
      <c r="F972">
        <v>0</v>
      </c>
      <c r="G972">
        <v>0</v>
      </c>
      <c r="H972">
        <v>0</v>
      </c>
      <c r="I972">
        <v>0</v>
      </c>
      <c r="J972" t="s">
        <v>47</v>
      </c>
      <c r="K972" t="s">
        <v>229</v>
      </c>
      <c r="L972" t="s">
        <v>3</v>
      </c>
      <c r="M972">
        <v>30.18</v>
      </c>
      <c r="N972">
        <v>0</v>
      </c>
      <c r="O972">
        <v>0</v>
      </c>
      <c r="P972" t="s">
        <v>3</v>
      </c>
      <c r="Q972">
        <v>0</v>
      </c>
      <c r="R972">
        <v>0</v>
      </c>
      <c r="S972" t="s">
        <v>3</v>
      </c>
      <c r="T972">
        <v>31175</v>
      </c>
      <c r="U972" t="s">
        <v>2716</v>
      </c>
      <c r="V972" t="s">
        <v>2717</v>
      </c>
      <c r="W972">
        <v>0.16</v>
      </c>
    </row>
    <row r="973" spans="1:23">
      <c r="A973" t="str">
        <f>"002509"</f>
        <v>002509</v>
      </c>
      <c r="B973" t="s">
        <v>2718</v>
      </c>
      <c r="C973" t="s">
        <v>3</v>
      </c>
      <c r="D973" t="s">
        <v>3</v>
      </c>
      <c r="E973" t="s">
        <v>3</v>
      </c>
      <c r="F973">
        <v>0</v>
      </c>
      <c r="G973">
        <v>0</v>
      </c>
      <c r="H973">
        <v>0</v>
      </c>
      <c r="I973">
        <v>0</v>
      </c>
      <c r="J973" t="s">
        <v>269</v>
      </c>
      <c r="K973" t="s">
        <v>414</v>
      </c>
      <c r="L973" t="s">
        <v>3</v>
      </c>
      <c r="M973">
        <v>12.27</v>
      </c>
      <c r="N973">
        <v>0</v>
      </c>
      <c r="O973">
        <v>0</v>
      </c>
      <c r="P973" t="s">
        <v>3</v>
      </c>
      <c r="Q973">
        <v>0</v>
      </c>
      <c r="R973">
        <v>0</v>
      </c>
      <c r="S973" t="s">
        <v>3</v>
      </c>
      <c r="T973">
        <v>23109.89</v>
      </c>
      <c r="U973" t="s">
        <v>2444</v>
      </c>
      <c r="V973" t="s">
        <v>2719</v>
      </c>
      <c r="W973">
        <v>0.16</v>
      </c>
    </row>
    <row r="974" spans="1:23">
      <c r="A974" t="str">
        <f>"002510"</f>
        <v>002510</v>
      </c>
      <c r="B974" t="s">
        <v>2720</v>
      </c>
      <c r="C974">
        <v>10.41</v>
      </c>
      <c r="D974">
        <v>10.45</v>
      </c>
      <c r="E974">
        <v>10.220000000000001</v>
      </c>
      <c r="F974">
        <v>10.34</v>
      </c>
      <c r="G974">
        <v>94048</v>
      </c>
      <c r="H974">
        <v>97089064</v>
      </c>
      <c r="I974">
        <v>0.76</v>
      </c>
      <c r="J974" t="s">
        <v>98</v>
      </c>
      <c r="K974" t="s">
        <v>442</v>
      </c>
      <c r="L974">
        <v>-0.67</v>
      </c>
      <c r="M974">
        <v>10.32</v>
      </c>
      <c r="N974">
        <v>53101</v>
      </c>
      <c r="O974">
        <v>40946</v>
      </c>
      <c r="P974">
        <v>1.3</v>
      </c>
      <c r="Q974">
        <v>630</v>
      </c>
      <c r="R974">
        <v>450</v>
      </c>
      <c r="S974" t="s">
        <v>3</v>
      </c>
      <c r="T974">
        <v>30808.71</v>
      </c>
      <c r="U974" t="s">
        <v>2721</v>
      </c>
      <c r="V974" t="s">
        <v>2722</v>
      </c>
      <c r="W974">
        <v>-0.51</v>
      </c>
    </row>
    <row r="975" spans="1:23">
      <c r="A975" t="str">
        <f>"002511"</f>
        <v>002511</v>
      </c>
      <c r="B975" t="s">
        <v>2723</v>
      </c>
      <c r="C975">
        <v>9.08</v>
      </c>
      <c r="D975">
        <v>9.19</v>
      </c>
      <c r="E975">
        <v>9.02</v>
      </c>
      <c r="F975">
        <v>9.07</v>
      </c>
      <c r="G975">
        <v>41734</v>
      </c>
      <c r="H975">
        <v>37872356</v>
      </c>
      <c r="I975">
        <v>1.18</v>
      </c>
      <c r="J975" t="s">
        <v>343</v>
      </c>
      <c r="K975" t="s">
        <v>211</v>
      </c>
      <c r="L975">
        <v>0.11</v>
      </c>
      <c r="M975">
        <v>9.07</v>
      </c>
      <c r="N975">
        <v>20936</v>
      </c>
      <c r="O975">
        <v>20798</v>
      </c>
      <c r="P975">
        <v>1.01</v>
      </c>
      <c r="Q975">
        <v>224</v>
      </c>
      <c r="R975">
        <v>185</v>
      </c>
      <c r="S975" t="s">
        <v>3</v>
      </c>
      <c r="T975">
        <v>40451.919999999998</v>
      </c>
      <c r="U975" t="s">
        <v>2724</v>
      </c>
      <c r="V975" t="s">
        <v>2725</v>
      </c>
      <c r="W975">
        <v>0.27</v>
      </c>
    </row>
    <row r="976" spans="1:23">
      <c r="A976" t="str">
        <f>"002512"</f>
        <v>002512</v>
      </c>
      <c r="B976" t="s">
        <v>2726</v>
      </c>
      <c r="C976">
        <v>16.91</v>
      </c>
      <c r="D976">
        <v>17.059999999999999</v>
      </c>
      <c r="E976">
        <v>16.57</v>
      </c>
      <c r="F976">
        <v>16.8</v>
      </c>
      <c r="G976">
        <v>42506</v>
      </c>
      <c r="H976">
        <v>71345392</v>
      </c>
      <c r="I976">
        <v>0.92</v>
      </c>
      <c r="J976" t="s">
        <v>62</v>
      </c>
      <c r="K976" t="s">
        <v>211</v>
      </c>
      <c r="L976">
        <v>-0.65</v>
      </c>
      <c r="M976">
        <v>16.78</v>
      </c>
      <c r="N976">
        <v>23496</v>
      </c>
      <c r="O976">
        <v>19009</v>
      </c>
      <c r="P976">
        <v>1.24</v>
      </c>
      <c r="Q976">
        <v>135</v>
      </c>
      <c r="R976">
        <v>423</v>
      </c>
      <c r="S976" t="s">
        <v>3</v>
      </c>
      <c r="T976">
        <v>16139.16</v>
      </c>
      <c r="U976" t="s">
        <v>2727</v>
      </c>
      <c r="V976" t="s">
        <v>2728</v>
      </c>
      <c r="W976">
        <v>-0.49</v>
      </c>
    </row>
    <row r="977" spans="1:23">
      <c r="A977" t="str">
        <f>"002513"</f>
        <v>002513</v>
      </c>
      <c r="B977" t="s">
        <v>2729</v>
      </c>
      <c r="C977">
        <v>11.05</v>
      </c>
      <c r="D977">
        <v>11.24</v>
      </c>
      <c r="E977">
        <v>10.92</v>
      </c>
      <c r="F977">
        <v>11.15</v>
      </c>
      <c r="G977">
        <v>45029</v>
      </c>
      <c r="H977">
        <v>49914036</v>
      </c>
      <c r="I977">
        <v>0.96</v>
      </c>
      <c r="J977" t="s">
        <v>224</v>
      </c>
      <c r="K977" t="s">
        <v>244</v>
      </c>
      <c r="L977">
        <v>0.81</v>
      </c>
      <c r="M977">
        <v>11.08</v>
      </c>
      <c r="N977">
        <v>21633</v>
      </c>
      <c r="O977">
        <v>23396</v>
      </c>
      <c r="P977">
        <v>0.92</v>
      </c>
      <c r="Q977">
        <v>7</v>
      </c>
      <c r="R977">
        <v>237</v>
      </c>
      <c r="S977" t="s">
        <v>3</v>
      </c>
      <c r="T977">
        <v>21312</v>
      </c>
      <c r="U977" t="s">
        <v>2730</v>
      </c>
      <c r="V977" t="s">
        <v>2730</v>
      </c>
      <c r="W977">
        <v>0.97</v>
      </c>
    </row>
    <row r="978" spans="1:23">
      <c r="A978" t="str">
        <f>"002514"</f>
        <v>002514</v>
      </c>
      <c r="B978" t="s">
        <v>2731</v>
      </c>
      <c r="C978">
        <v>13.86</v>
      </c>
      <c r="D978">
        <v>14.17</v>
      </c>
      <c r="E978">
        <v>13.65</v>
      </c>
      <c r="F978">
        <v>13.97</v>
      </c>
      <c r="G978">
        <v>78544</v>
      </c>
      <c r="H978">
        <v>109462912</v>
      </c>
      <c r="I978">
        <v>0.57999999999999996</v>
      </c>
      <c r="J978" t="s">
        <v>398</v>
      </c>
      <c r="K978" t="s">
        <v>244</v>
      </c>
      <c r="L978">
        <v>1.1599999999999999</v>
      </c>
      <c r="M978">
        <v>13.94</v>
      </c>
      <c r="N978">
        <v>37092</v>
      </c>
      <c r="O978">
        <v>41452</v>
      </c>
      <c r="P978">
        <v>0.89</v>
      </c>
      <c r="Q978">
        <v>595</v>
      </c>
      <c r="R978">
        <v>520</v>
      </c>
      <c r="S978" t="s">
        <v>3</v>
      </c>
      <c r="T978">
        <v>21759.99</v>
      </c>
      <c r="U978" t="s">
        <v>1400</v>
      </c>
      <c r="V978" t="s">
        <v>1400</v>
      </c>
      <c r="W978">
        <v>1.32</v>
      </c>
    </row>
    <row r="979" spans="1:23">
      <c r="A979" t="str">
        <f>"002515"</f>
        <v>002515</v>
      </c>
      <c r="B979" t="s">
        <v>2732</v>
      </c>
      <c r="C979">
        <v>20.09</v>
      </c>
      <c r="D979">
        <v>21.2</v>
      </c>
      <c r="E979">
        <v>19.989999999999998</v>
      </c>
      <c r="F979">
        <v>21.08</v>
      </c>
      <c r="G979">
        <v>23658</v>
      </c>
      <c r="H979">
        <v>48962584</v>
      </c>
      <c r="I979">
        <v>1.31</v>
      </c>
      <c r="J979" t="s">
        <v>421</v>
      </c>
      <c r="K979" t="s">
        <v>229</v>
      </c>
      <c r="L979">
        <v>5.51</v>
      </c>
      <c r="M979">
        <v>20.7</v>
      </c>
      <c r="N979">
        <v>9679</v>
      </c>
      <c r="O979">
        <v>13978</v>
      </c>
      <c r="P979">
        <v>0.69</v>
      </c>
      <c r="Q979">
        <v>1</v>
      </c>
      <c r="R979">
        <v>60</v>
      </c>
      <c r="S979" t="s">
        <v>3</v>
      </c>
      <c r="T979">
        <v>8935.7900000000009</v>
      </c>
      <c r="U979" t="s">
        <v>2733</v>
      </c>
      <c r="V979" t="s">
        <v>1968</v>
      </c>
      <c r="W979">
        <v>5.66</v>
      </c>
    </row>
    <row r="980" spans="1:23">
      <c r="A980" t="str">
        <f>"002516"</f>
        <v>002516</v>
      </c>
      <c r="B980" t="s">
        <v>2734</v>
      </c>
      <c r="C980">
        <v>18.100000000000001</v>
      </c>
      <c r="D980">
        <v>18.309999999999999</v>
      </c>
      <c r="E980">
        <v>17.690000000000001</v>
      </c>
      <c r="F980">
        <v>18.100000000000001</v>
      </c>
      <c r="G980">
        <v>77705</v>
      </c>
      <c r="H980">
        <v>139328448</v>
      </c>
      <c r="I980">
        <v>0.9</v>
      </c>
      <c r="J980" t="s">
        <v>55</v>
      </c>
      <c r="K980" t="s">
        <v>244</v>
      </c>
      <c r="L980">
        <v>-1.0900000000000001</v>
      </c>
      <c r="M980">
        <v>17.93</v>
      </c>
      <c r="N980">
        <v>40131</v>
      </c>
      <c r="O980">
        <v>37574</v>
      </c>
      <c r="P980">
        <v>1.07</v>
      </c>
      <c r="Q980">
        <v>504</v>
      </c>
      <c r="R980">
        <v>16</v>
      </c>
      <c r="S980" t="s">
        <v>3</v>
      </c>
      <c r="T980">
        <v>10889.78</v>
      </c>
      <c r="U980" t="s">
        <v>2735</v>
      </c>
      <c r="V980" t="s">
        <v>2736</v>
      </c>
      <c r="W980">
        <v>-0.93</v>
      </c>
    </row>
    <row r="981" spans="1:23">
      <c r="A981" t="str">
        <f>"002517"</f>
        <v>002517</v>
      </c>
      <c r="B981" t="s">
        <v>2737</v>
      </c>
      <c r="C981" t="s">
        <v>3</v>
      </c>
      <c r="D981" t="s">
        <v>3</v>
      </c>
      <c r="E981" t="s">
        <v>3</v>
      </c>
      <c r="F981">
        <v>0</v>
      </c>
      <c r="G981">
        <v>0</v>
      </c>
      <c r="H981">
        <v>0</v>
      </c>
      <c r="I981">
        <v>0</v>
      </c>
      <c r="J981" t="s">
        <v>1373</v>
      </c>
      <c r="K981" t="s">
        <v>414</v>
      </c>
      <c r="L981" t="s">
        <v>3</v>
      </c>
      <c r="M981">
        <v>9.5500000000000007</v>
      </c>
      <c r="N981">
        <v>0</v>
      </c>
      <c r="O981">
        <v>0</v>
      </c>
      <c r="P981" t="s">
        <v>3</v>
      </c>
      <c r="Q981">
        <v>0</v>
      </c>
      <c r="R981">
        <v>0</v>
      </c>
      <c r="S981" t="s">
        <v>3</v>
      </c>
      <c r="T981">
        <v>17680</v>
      </c>
      <c r="U981" t="s">
        <v>1067</v>
      </c>
      <c r="V981" t="s">
        <v>1067</v>
      </c>
      <c r="W981">
        <v>0.16</v>
      </c>
    </row>
    <row r="982" spans="1:23">
      <c r="A982" t="str">
        <f>"002518"</f>
        <v>002518</v>
      </c>
      <c r="B982" t="s">
        <v>2738</v>
      </c>
      <c r="C982">
        <v>21.55</v>
      </c>
      <c r="D982">
        <v>21.67</v>
      </c>
      <c r="E982">
        <v>21.25</v>
      </c>
      <c r="F982">
        <v>21.36</v>
      </c>
      <c r="G982">
        <v>46711</v>
      </c>
      <c r="H982">
        <v>99937088</v>
      </c>
      <c r="I982">
        <v>0.77</v>
      </c>
      <c r="J982" t="s">
        <v>617</v>
      </c>
      <c r="K982" t="s">
        <v>2</v>
      </c>
      <c r="L982">
        <v>0.09</v>
      </c>
      <c r="M982">
        <v>21.39</v>
      </c>
      <c r="N982">
        <v>25971</v>
      </c>
      <c r="O982">
        <v>20739</v>
      </c>
      <c r="P982">
        <v>1.25</v>
      </c>
      <c r="Q982">
        <v>51</v>
      </c>
      <c r="R982">
        <v>136</v>
      </c>
      <c r="S982" t="s">
        <v>3</v>
      </c>
      <c r="T982">
        <v>27621.71</v>
      </c>
      <c r="U982" t="s">
        <v>2739</v>
      </c>
      <c r="V982" t="s">
        <v>2740</v>
      </c>
      <c r="W982">
        <v>0.25</v>
      </c>
    </row>
    <row r="983" spans="1:23">
      <c r="A983" t="str">
        <f>"002519"</f>
        <v>002519</v>
      </c>
      <c r="B983" t="s">
        <v>2741</v>
      </c>
      <c r="C983">
        <v>24.66</v>
      </c>
      <c r="D983">
        <v>24.74</v>
      </c>
      <c r="E983">
        <v>24.05</v>
      </c>
      <c r="F983">
        <v>24.3</v>
      </c>
      <c r="G983">
        <v>17257</v>
      </c>
      <c r="H983">
        <v>41943112</v>
      </c>
      <c r="I983">
        <v>0.73</v>
      </c>
      <c r="J983" t="s">
        <v>112</v>
      </c>
      <c r="K983" t="s">
        <v>244</v>
      </c>
      <c r="L983">
        <v>-1.38</v>
      </c>
      <c r="M983">
        <v>24.3</v>
      </c>
      <c r="N983">
        <v>10323</v>
      </c>
      <c r="O983">
        <v>6934</v>
      </c>
      <c r="P983">
        <v>1.49</v>
      </c>
      <c r="Q983">
        <v>17</v>
      </c>
      <c r="R983">
        <v>28</v>
      </c>
      <c r="S983" t="s">
        <v>3</v>
      </c>
      <c r="T983">
        <v>9532.16</v>
      </c>
      <c r="U983" t="s">
        <v>2742</v>
      </c>
      <c r="V983" t="s">
        <v>318</v>
      </c>
      <c r="W983">
        <v>-1.22</v>
      </c>
    </row>
    <row r="984" spans="1:23">
      <c r="A984" t="str">
        <f>"002520"</f>
        <v>002520</v>
      </c>
      <c r="B984" t="s">
        <v>2743</v>
      </c>
      <c r="C984">
        <v>25.12</v>
      </c>
      <c r="D984">
        <v>25.12</v>
      </c>
      <c r="E984">
        <v>23.98</v>
      </c>
      <c r="F984">
        <v>24</v>
      </c>
      <c r="G984">
        <v>34566</v>
      </c>
      <c r="H984">
        <v>84492712</v>
      </c>
      <c r="I984">
        <v>0.92</v>
      </c>
      <c r="J984" t="s">
        <v>283</v>
      </c>
      <c r="K984" t="s">
        <v>229</v>
      </c>
      <c r="L984">
        <v>-4</v>
      </c>
      <c r="M984">
        <v>24.44</v>
      </c>
      <c r="N984">
        <v>21474</v>
      </c>
      <c r="O984">
        <v>13091</v>
      </c>
      <c r="P984">
        <v>1.64</v>
      </c>
      <c r="Q984">
        <v>537</v>
      </c>
      <c r="R984">
        <v>173</v>
      </c>
      <c r="S984" t="s">
        <v>3</v>
      </c>
      <c r="T984">
        <v>9891.23</v>
      </c>
      <c r="U984" t="s">
        <v>2744</v>
      </c>
      <c r="V984" t="s">
        <v>2745</v>
      </c>
      <c r="W984">
        <v>-3.84</v>
      </c>
    </row>
    <row r="985" spans="1:23">
      <c r="A985" t="str">
        <f>"002521"</f>
        <v>002521</v>
      </c>
      <c r="B985" t="s">
        <v>2746</v>
      </c>
      <c r="C985">
        <v>10.32</v>
      </c>
      <c r="D985">
        <v>10.38</v>
      </c>
      <c r="E985">
        <v>10.14</v>
      </c>
      <c r="F985">
        <v>10.199999999999999</v>
      </c>
      <c r="G985">
        <v>83597</v>
      </c>
      <c r="H985">
        <v>85325408</v>
      </c>
      <c r="I985">
        <v>0.82</v>
      </c>
      <c r="J985" t="s">
        <v>343</v>
      </c>
      <c r="K985" t="s">
        <v>250</v>
      </c>
      <c r="L985">
        <v>-1.1599999999999999</v>
      </c>
      <c r="M985">
        <v>10.210000000000001</v>
      </c>
      <c r="N985">
        <v>51247</v>
      </c>
      <c r="O985">
        <v>32350</v>
      </c>
      <c r="P985">
        <v>1.58</v>
      </c>
      <c r="Q985">
        <v>26</v>
      </c>
      <c r="R985">
        <v>180</v>
      </c>
      <c r="S985" t="s">
        <v>3</v>
      </c>
      <c r="T985">
        <v>30760.26</v>
      </c>
      <c r="U985" t="s">
        <v>2747</v>
      </c>
      <c r="V985" t="s">
        <v>2748</v>
      </c>
      <c r="W985">
        <v>-1</v>
      </c>
    </row>
    <row r="986" spans="1:23">
      <c r="A986" t="str">
        <f>"002522"</f>
        <v>002522</v>
      </c>
      <c r="B986" t="s">
        <v>2749</v>
      </c>
      <c r="C986">
        <v>10.28</v>
      </c>
      <c r="D986">
        <v>10.68</v>
      </c>
      <c r="E986">
        <v>10.28</v>
      </c>
      <c r="F986">
        <v>10.37</v>
      </c>
      <c r="G986">
        <v>48328</v>
      </c>
      <c r="H986">
        <v>50883164</v>
      </c>
      <c r="I986">
        <v>1.1599999999999999</v>
      </c>
      <c r="J986" t="s">
        <v>273</v>
      </c>
      <c r="K986" t="s">
        <v>229</v>
      </c>
      <c r="L986">
        <v>0.97</v>
      </c>
      <c r="M986">
        <v>10.53</v>
      </c>
      <c r="N986">
        <v>24447</v>
      </c>
      <c r="O986">
        <v>23880</v>
      </c>
      <c r="P986">
        <v>1.02</v>
      </c>
      <c r="Q986">
        <v>63</v>
      </c>
      <c r="R986">
        <v>95</v>
      </c>
      <c r="S986" t="s">
        <v>3</v>
      </c>
      <c r="T986">
        <v>22336.58</v>
      </c>
      <c r="U986" t="s">
        <v>2742</v>
      </c>
      <c r="V986" t="s">
        <v>1006</v>
      </c>
      <c r="W986">
        <v>1.1299999999999999</v>
      </c>
    </row>
    <row r="987" spans="1:23">
      <c r="A987" t="str">
        <f>"002523"</f>
        <v>002523</v>
      </c>
      <c r="B987" t="s">
        <v>2750</v>
      </c>
      <c r="C987" t="s">
        <v>3</v>
      </c>
      <c r="D987" t="s">
        <v>3</v>
      </c>
      <c r="E987" t="s">
        <v>3</v>
      </c>
      <c r="F987">
        <v>0</v>
      </c>
      <c r="G987">
        <v>0</v>
      </c>
      <c r="H987">
        <v>0</v>
      </c>
      <c r="I987">
        <v>0</v>
      </c>
      <c r="J987" t="s">
        <v>233</v>
      </c>
      <c r="K987" t="s">
        <v>234</v>
      </c>
      <c r="L987" t="s">
        <v>3</v>
      </c>
      <c r="M987">
        <v>6.33</v>
      </c>
      <c r="N987">
        <v>0</v>
      </c>
      <c r="O987">
        <v>0</v>
      </c>
      <c r="P987" t="s">
        <v>3</v>
      </c>
      <c r="Q987">
        <v>0</v>
      </c>
      <c r="R987">
        <v>0</v>
      </c>
      <c r="S987" t="s">
        <v>3</v>
      </c>
      <c r="T987">
        <v>23669.58</v>
      </c>
      <c r="U987" t="s">
        <v>393</v>
      </c>
      <c r="V987" t="s">
        <v>2751</v>
      </c>
      <c r="W987">
        <v>0.16</v>
      </c>
    </row>
    <row r="988" spans="1:23">
      <c r="A988" t="str">
        <f>"002524"</f>
        <v>002524</v>
      </c>
      <c r="B988" t="s">
        <v>2752</v>
      </c>
      <c r="C988">
        <v>6.83</v>
      </c>
      <c r="D988">
        <v>7</v>
      </c>
      <c r="E988">
        <v>6.78</v>
      </c>
      <c r="F988">
        <v>6.95</v>
      </c>
      <c r="G988">
        <v>272259</v>
      </c>
      <c r="H988">
        <v>188200464</v>
      </c>
      <c r="I988">
        <v>1.04</v>
      </c>
      <c r="J988" t="s">
        <v>838</v>
      </c>
      <c r="K988" t="s">
        <v>241</v>
      </c>
      <c r="L988">
        <v>1.46</v>
      </c>
      <c r="M988">
        <v>6.91</v>
      </c>
      <c r="N988">
        <v>116369</v>
      </c>
      <c r="O988">
        <v>155890</v>
      </c>
      <c r="P988">
        <v>0.75</v>
      </c>
      <c r="Q988">
        <v>789</v>
      </c>
      <c r="R988">
        <v>122</v>
      </c>
      <c r="S988" t="s">
        <v>3</v>
      </c>
      <c r="T988">
        <v>49120.46</v>
      </c>
      <c r="U988" t="s">
        <v>1439</v>
      </c>
      <c r="V988" t="s">
        <v>2753</v>
      </c>
      <c r="W988">
        <v>1.62</v>
      </c>
    </row>
    <row r="989" spans="1:23">
      <c r="A989" t="str">
        <f>"002526"</f>
        <v>002526</v>
      </c>
      <c r="B989" t="s">
        <v>2754</v>
      </c>
      <c r="C989">
        <v>9.0299999999999994</v>
      </c>
      <c r="D989">
        <v>9.33</v>
      </c>
      <c r="E989">
        <v>8.94</v>
      </c>
      <c r="F989">
        <v>9.1999999999999993</v>
      </c>
      <c r="G989">
        <v>298671</v>
      </c>
      <c r="H989">
        <v>273151520</v>
      </c>
      <c r="I989">
        <v>0.64</v>
      </c>
      <c r="J989" t="s">
        <v>233</v>
      </c>
      <c r="K989" t="s">
        <v>250</v>
      </c>
      <c r="L989">
        <v>1.21</v>
      </c>
      <c r="M989">
        <v>9.15</v>
      </c>
      <c r="N989">
        <v>145282</v>
      </c>
      <c r="O989">
        <v>153389</v>
      </c>
      <c r="P989">
        <v>0.95</v>
      </c>
      <c r="Q989">
        <v>1264</v>
      </c>
      <c r="R989">
        <v>840</v>
      </c>
      <c r="S989" t="s">
        <v>3</v>
      </c>
      <c r="T989">
        <v>40222.5</v>
      </c>
      <c r="U989" t="s">
        <v>2755</v>
      </c>
      <c r="V989" t="s">
        <v>302</v>
      </c>
      <c r="W989">
        <v>1.37</v>
      </c>
    </row>
    <row r="990" spans="1:23">
      <c r="A990" t="str">
        <f>"002527"</f>
        <v>002527</v>
      </c>
      <c r="B990" t="s">
        <v>2756</v>
      </c>
      <c r="C990">
        <v>19.18</v>
      </c>
      <c r="D990">
        <v>19.190000000000001</v>
      </c>
      <c r="E990">
        <v>18.920000000000002</v>
      </c>
      <c r="F990">
        <v>19.07</v>
      </c>
      <c r="G990">
        <v>36456</v>
      </c>
      <c r="H990">
        <v>69490496</v>
      </c>
      <c r="I990">
        <v>0.77</v>
      </c>
      <c r="J990" t="s">
        <v>617</v>
      </c>
      <c r="K990" t="s">
        <v>727</v>
      </c>
      <c r="L990">
        <v>-0.52</v>
      </c>
      <c r="M990">
        <v>19.059999999999999</v>
      </c>
      <c r="N990">
        <v>19645</v>
      </c>
      <c r="O990">
        <v>16810</v>
      </c>
      <c r="P990">
        <v>1.17</v>
      </c>
      <c r="Q990">
        <v>359</v>
      </c>
      <c r="R990">
        <v>210</v>
      </c>
      <c r="S990" t="s">
        <v>3</v>
      </c>
      <c r="T990">
        <v>16301.87</v>
      </c>
      <c r="U990" t="s">
        <v>2757</v>
      </c>
      <c r="V990" t="s">
        <v>2758</v>
      </c>
      <c r="W990">
        <v>-0.36</v>
      </c>
    </row>
    <row r="991" spans="1:23">
      <c r="A991" t="str">
        <f>"002528"</f>
        <v>002528</v>
      </c>
      <c r="B991" t="s">
        <v>2759</v>
      </c>
      <c r="C991" t="s">
        <v>3</v>
      </c>
      <c r="D991" t="s">
        <v>3</v>
      </c>
      <c r="E991" t="s">
        <v>3</v>
      </c>
      <c r="F991">
        <v>0</v>
      </c>
      <c r="G991">
        <v>0</v>
      </c>
      <c r="H991">
        <v>0</v>
      </c>
      <c r="I991">
        <v>0</v>
      </c>
      <c r="J991" t="s">
        <v>66</v>
      </c>
      <c r="K991" t="s">
        <v>2</v>
      </c>
      <c r="L991" t="s">
        <v>3</v>
      </c>
      <c r="M991">
        <v>12.42</v>
      </c>
      <c r="N991">
        <v>0</v>
      </c>
      <c r="O991">
        <v>0</v>
      </c>
      <c r="P991" t="s">
        <v>3</v>
      </c>
      <c r="Q991">
        <v>0</v>
      </c>
      <c r="R991">
        <v>0</v>
      </c>
      <c r="S991" t="s">
        <v>3</v>
      </c>
      <c r="T991">
        <v>33766.19</v>
      </c>
      <c r="U991" t="s">
        <v>2760</v>
      </c>
      <c r="V991" t="s">
        <v>2761</v>
      </c>
      <c r="W991">
        <v>0.16</v>
      </c>
    </row>
    <row r="992" spans="1:23">
      <c r="A992" t="str">
        <f>"002529"</f>
        <v>002529</v>
      </c>
      <c r="B992" t="s">
        <v>2762</v>
      </c>
      <c r="C992">
        <v>13.23</v>
      </c>
      <c r="D992">
        <v>13.56</v>
      </c>
      <c r="E992">
        <v>13.06</v>
      </c>
      <c r="F992">
        <v>13.46</v>
      </c>
      <c r="G992">
        <v>50990</v>
      </c>
      <c r="H992">
        <v>68123344</v>
      </c>
      <c r="I992">
        <v>1.05</v>
      </c>
      <c r="J992" t="s">
        <v>269</v>
      </c>
      <c r="K992" t="s">
        <v>414</v>
      </c>
      <c r="L992">
        <v>1.66</v>
      </c>
      <c r="M992">
        <v>13.36</v>
      </c>
      <c r="N992">
        <v>22158</v>
      </c>
      <c r="O992">
        <v>28832</v>
      </c>
      <c r="P992">
        <v>0.77</v>
      </c>
      <c r="Q992">
        <v>1117</v>
      </c>
      <c r="R992">
        <v>245</v>
      </c>
      <c r="S992" t="s">
        <v>3</v>
      </c>
      <c r="T992">
        <v>15608.25</v>
      </c>
      <c r="U992" t="s">
        <v>2482</v>
      </c>
      <c r="V992" t="s">
        <v>2763</v>
      </c>
      <c r="W992">
        <v>1.82</v>
      </c>
    </row>
    <row r="993" spans="1:23">
      <c r="A993" t="str">
        <f>"002530"</f>
        <v>002530</v>
      </c>
      <c r="B993" t="s">
        <v>2764</v>
      </c>
      <c r="C993">
        <v>8.56</v>
      </c>
      <c r="D993">
        <v>8.58</v>
      </c>
      <c r="E993">
        <v>8.43</v>
      </c>
      <c r="F993">
        <v>8.5500000000000007</v>
      </c>
      <c r="G993">
        <v>31779</v>
      </c>
      <c r="H993">
        <v>27032212</v>
      </c>
      <c r="I993">
        <v>0.69</v>
      </c>
      <c r="J993" t="s">
        <v>269</v>
      </c>
      <c r="K993" t="s">
        <v>244</v>
      </c>
      <c r="L993">
        <v>-0.12</v>
      </c>
      <c r="M993">
        <v>8.51</v>
      </c>
      <c r="N993">
        <v>19326</v>
      </c>
      <c r="O993">
        <v>12453</v>
      </c>
      <c r="P993">
        <v>1.55</v>
      </c>
      <c r="Q993">
        <v>163</v>
      </c>
      <c r="R993">
        <v>38</v>
      </c>
      <c r="S993" t="s">
        <v>3</v>
      </c>
      <c r="T993">
        <v>26800</v>
      </c>
      <c r="U993" t="s">
        <v>2765</v>
      </c>
      <c r="V993" t="s">
        <v>2765</v>
      </c>
      <c r="W993">
        <v>0.04</v>
      </c>
    </row>
    <row r="994" spans="1:23">
      <c r="A994" t="str">
        <f>"002531"</f>
        <v>002531</v>
      </c>
      <c r="B994" t="s">
        <v>2766</v>
      </c>
      <c r="C994">
        <v>13.7</v>
      </c>
      <c r="D994">
        <v>14.14</v>
      </c>
      <c r="E994">
        <v>13.7</v>
      </c>
      <c r="F994">
        <v>13.99</v>
      </c>
      <c r="G994">
        <v>72732</v>
      </c>
      <c r="H994">
        <v>101299096</v>
      </c>
      <c r="I994">
        <v>0.85</v>
      </c>
      <c r="J994" t="s">
        <v>145</v>
      </c>
      <c r="K994" t="s">
        <v>244</v>
      </c>
      <c r="L994">
        <v>1.23</v>
      </c>
      <c r="M994">
        <v>13.93</v>
      </c>
      <c r="N994">
        <v>38447</v>
      </c>
      <c r="O994">
        <v>34284</v>
      </c>
      <c r="P994">
        <v>1.1200000000000001</v>
      </c>
      <c r="Q994">
        <v>76</v>
      </c>
      <c r="R994">
        <v>109</v>
      </c>
      <c r="S994" t="s">
        <v>3</v>
      </c>
      <c r="T994">
        <v>41060.92</v>
      </c>
      <c r="U994" t="s">
        <v>2767</v>
      </c>
      <c r="V994" t="s">
        <v>2768</v>
      </c>
      <c r="W994">
        <v>1.39</v>
      </c>
    </row>
    <row r="995" spans="1:23">
      <c r="A995" t="str">
        <f>"002532"</f>
        <v>002532</v>
      </c>
      <c r="B995" t="s">
        <v>2769</v>
      </c>
      <c r="C995">
        <v>11.94</v>
      </c>
      <c r="D995">
        <v>12.46</v>
      </c>
      <c r="E995">
        <v>11.73</v>
      </c>
      <c r="F995">
        <v>12.26</v>
      </c>
      <c r="G995">
        <v>136993</v>
      </c>
      <c r="H995">
        <v>165790000</v>
      </c>
      <c r="I995">
        <v>1.1499999999999999</v>
      </c>
      <c r="J995" t="s">
        <v>535</v>
      </c>
      <c r="K995" t="s">
        <v>229</v>
      </c>
      <c r="L995">
        <v>2</v>
      </c>
      <c r="M995">
        <v>12.1</v>
      </c>
      <c r="N995">
        <v>60538</v>
      </c>
      <c r="O995">
        <v>76455</v>
      </c>
      <c r="P995">
        <v>0.79</v>
      </c>
      <c r="Q995">
        <v>160</v>
      </c>
      <c r="R995">
        <v>158</v>
      </c>
      <c r="S995" t="s">
        <v>3</v>
      </c>
      <c r="T995">
        <v>22614.28</v>
      </c>
      <c r="U995" t="s">
        <v>2419</v>
      </c>
      <c r="V995" t="s">
        <v>2263</v>
      </c>
      <c r="W995">
        <v>2.16</v>
      </c>
    </row>
    <row r="996" spans="1:23">
      <c r="A996" t="str">
        <f>"002533"</f>
        <v>002533</v>
      </c>
      <c r="B996" t="s">
        <v>2770</v>
      </c>
      <c r="C996">
        <v>5.54</v>
      </c>
      <c r="D996">
        <v>5.56</v>
      </c>
      <c r="E996">
        <v>5.46</v>
      </c>
      <c r="F996">
        <v>5.55</v>
      </c>
      <c r="G996">
        <v>71588</v>
      </c>
      <c r="H996">
        <v>39433984</v>
      </c>
      <c r="I996">
        <v>0.88</v>
      </c>
      <c r="J996" t="s">
        <v>145</v>
      </c>
      <c r="K996" t="s">
        <v>234</v>
      </c>
      <c r="L996">
        <v>0.36</v>
      </c>
      <c r="M996">
        <v>5.51</v>
      </c>
      <c r="N996">
        <v>39905</v>
      </c>
      <c r="O996">
        <v>31683</v>
      </c>
      <c r="P996">
        <v>1.26</v>
      </c>
      <c r="Q996">
        <v>1338</v>
      </c>
      <c r="R996">
        <v>2228</v>
      </c>
      <c r="S996" t="s">
        <v>3</v>
      </c>
      <c r="T996">
        <v>48824.39</v>
      </c>
      <c r="U996" t="s">
        <v>2771</v>
      </c>
      <c r="V996" t="s">
        <v>1709</v>
      </c>
      <c r="W996">
        <v>0.52</v>
      </c>
    </row>
    <row r="997" spans="1:23">
      <c r="A997" t="str">
        <f>"002534"</f>
        <v>002534</v>
      </c>
      <c r="B997" t="s">
        <v>2772</v>
      </c>
      <c r="C997">
        <v>13.9</v>
      </c>
      <c r="D997">
        <v>14.25</v>
      </c>
      <c r="E997">
        <v>13.82</v>
      </c>
      <c r="F997">
        <v>14.15</v>
      </c>
      <c r="G997">
        <v>24702</v>
      </c>
      <c r="H997">
        <v>34663632</v>
      </c>
      <c r="I997">
        <v>1</v>
      </c>
      <c r="J997" t="s">
        <v>269</v>
      </c>
      <c r="K997" t="s">
        <v>229</v>
      </c>
      <c r="L997">
        <v>1.8</v>
      </c>
      <c r="M997">
        <v>14.03</v>
      </c>
      <c r="N997">
        <v>11033</v>
      </c>
      <c r="O997">
        <v>13669</v>
      </c>
      <c r="P997">
        <v>0.81</v>
      </c>
      <c r="Q997">
        <v>24</v>
      </c>
      <c r="R997">
        <v>198</v>
      </c>
      <c r="S997" t="s">
        <v>3</v>
      </c>
      <c r="T997">
        <v>39168.26</v>
      </c>
      <c r="U997" t="s">
        <v>2773</v>
      </c>
      <c r="V997" t="s">
        <v>209</v>
      </c>
      <c r="W997">
        <v>1.96</v>
      </c>
    </row>
    <row r="998" spans="1:23">
      <c r="A998" t="str">
        <f>"002535"</f>
        <v>002535</v>
      </c>
      <c r="B998" t="s">
        <v>2774</v>
      </c>
      <c r="C998">
        <v>11.33</v>
      </c>
      <c r="D998">
        <v>11.58</v>
      </c>
      <c r="E998">
        <v>11.24</v>
      </c>
      <c r="F998">
        <v>11.53</v>
      </c>
      <c r="G998">
        <v>295814</v>
      </c>
      <c r="H998">
        <v>337373312</v>
      </c>
      <c r="I998">
        <v>1.31</v>
      </c>
      <c r="J998" t="s">
        <v>233</v>
      </c>
      <c r="K998" t="s">
        <v>254</v>
      </c>
      <c r="L998">
        <v>2.2200000000000002</v>
      </c>
      <c r="M998">
        <v>11.4</v>
      </c>
      <c r="N998">
        <v>140115</v>
      </c>
      <c r="O998">
        <v>155699</v>
      </c>
      <c r="P998">
        <v>0.9</v>
      </c>
      <c r="Q998">
        <v>2259</v>
      </c>
      <c r="R998">
        <v>143</v>
      </c>
      <c r="S998" t="s">
        <v>3</v>
      </c>
      <c r="T998">
        <v>25717.16</v>
      </c>
      <c r="U998" t="s">
        <v>1554</v>
      </c>
      <c r="V998" t="s">
        <v>2775</v>
      </c>
      <c r="W998">
        <v>2.37</v>
      </c>
    </row>
    <row r="999" spans="1:23">
      <c r="A999" t="str">
        <f>"002536"</f>
        <v>002536</v>
      </c>
      <c r="B999" t="s">
        <v>2776</v>
      </c>
      <c r="C999">
        <v>24.94</v>
      </c>
      <c r="D999">
        <v>25.4</v>
      </c>
      <c r="E999">
        <v>24.58</v>
      </c>
      <c r="F999">
        <v>25.01</v>
      </c>
      <c r="G999">
        <v>27620</v>
      </c>
      <c r="H999">
        <v>69064176</v>
      </c>
      <c r="I999">
        <v>0.85</v>
      </c>
      <c r="J999" t="s">
        <v>98</v>
      </c>
      <c r="K999" t="s">
        <v>254</v>
      </c>
      <c r="L999">
        <v>0.12</v>
      </c>
      <c r="M999">
        <v>25</v>
      </c>
      <c r="N999">
        <v>15521</v>
      </c>
      <c r="O999">
        <v>12099</v>
      </c>
      <c r="P999">
        <v>1.28</v>
      </c>
      <c r="Q999">
        <v>39</v>
      </c>
      <c r="R999">
        <v>14</v>
      </c>
      <c r="S999" t="s">
        <v>3</v>
      </c>
      <c r="T999">
        <v>8583.2000000000007</v>
      </c>
      <c r="U999" t="s">
        <v>2777</v>
      </c>
      <c r="V999" t="s">
        <v>2242</v>
      </c>
      <c r="W999">
        <v>0.28000000000000003</v>
      </c>
    </row>
    <row r="1000" spans="1:23">
      <c r="A1000" t="str">
        <f>"002537"</f>
        <v>002537</v>
      </c>
      <c r="B1000" t="s">
        <v>2778</v>
      </c>
      <c r="C1000">
        <v>16.8</v>
      </c>
      <c r="D1000">
        <v>16.93</v>
      </c>
      <c r="E1000">
        <v>16.64</v>
      </c>
      <c r="F1000">
        <v>16.920000000000002</v>
      </c>
      <c r="G1000">
        <v>12431</v>
      </c>
      <c r="H1000">
        <v>20872184</v>
      </c>
      <c r="I1000">
        <v>0.5</v>
      </c>
      <c r="J1000" t="s">
        <v>398</v>
      </c>
      <c r="K1000" t="s">
        <v>250</v>
      </c>
      <c r="L1000">
        <v>0.24</v>
      </c>
      <c r="M1000">
        <v>16.79</v>
      </c>
      <c r="N1000">
        <v>6517</v>
      </c>
      <c r="O1000">
        <v>5914</v>
      </c>
      <c r="P1000">
        <v>1.1000000000000001</v>
      </c>
      <c r="Q1000">
        <v>17</v>
      </c>
      <c r="R1000">
        <v>114</v>
      </c>
      <c r="S1000" t="s">
        <v>3</v>
      </c>
      <c r="T1000">
        <v>15000</v>
      </c>
      <c r="U1000" t="s">
        <v>753</v>
      </c>
      <c r="V1000" t="s">
        <v>2779</v>
      </c>
      <c r="W1000">
        <v>0.4</v>
      </c>
    </row>
    <row r="1001" spans="1:23">
      <c r="A1001" t="str">
        <f>"002538"</f>
        <v>002538</v>
      </c>
      <c r="B1001" t="s">
        <v>2780</v>
      </c>
      <c r="C1001">
        <v>11.5</v>
      </c>
      <c r="D1001">
        <v>11.65</v>
      </c>
      <c r="E1001">
        <v>11.43</v>
      </c>
      <c r="F1001">
        <v>11.5</v>
      </c>
      <c r="G1001">
        <v>22381</v>
      </c>
      <c r="H1001">
        <v>25791634</v>
      </c>
      <c r="I1001">
        <v>0.53</v>
      </c>
      <c r="J1001" t="s">
        <v>224</v>
      </c>
      <c r="K1001" t="s">
        <v>220</v>
      </c>
      <c r="L1001">
        <v>0</v>
      </c>
      <c r="M1001">
        <v>11.52</v>
      </c>
      <c r="N1001">
        <v>10871</v>
      </c>
      <c r="O1001">
        <v>11509</v>
      </c>
      <c r="P1001">
        <v>0.94</v>
      </c>
      <c r="Q1001">
        <v>520</v>
      </c>
      <c r="R1001">
        <v>255</v>
      </c>
      <c r="S1001" t="s">
        <v>3</v>
      </c>
      <c r="T1001">
        <v>28379</v>
      </c>
      <c r="U1001" t="s">
        <v>991</v>
      </c>
      <c r="V1001" t="s">
        <v>2781</v>
      </c>
      <c r="W1001">
        <v>0.16</v>
      </c>
    </row>
    <row r="1002" spans="1:23">
      <c r="A1002" t="str">
        <f>"002539"</f>
        <v>002539</v>
      </c>
      <c r="B1002" t="s">
        <v>2782</v>
      </c>
      <c r="C1002">
        <v>14.7</v>
      </c>
      <c r="D1002">
        <v>14.93</v>
      </c>
      <c r="E1002">
        <v>14.44</v>
      </c>
      <c r="F1002">
        <v>14.61</v>
      </c>
      <c r="G1002">
        <v>15359</v>
      </c>
      <c r="H1002">
        <v>22427746</v>
      </c>
      <c r="I1002">
        <v>1</v>
      </c>
      <c r="J1002" t="s">
        <v>224</v>
      </c>
      <c r="K1002" t="s">
        <v>225</v>
      </c>
      <c r="L1002">
        <v>-1.42</v>
      </c>
      <c r="M1002">
        <v>14.6</v>
      </c>
      <c r="N1002">
        <v>9837</v>
      </c>
      <c r="O1002">
        <v>5521</v>
      </c>
      <c r="P1002">
        <v>1.78</v>
      </c>
      <c r="Q1002">
        <v>20</v>
      </c>
      <c r="R1002">
        <v>10</v>
      </c>
      <c r="S1002" t="s">
        <v>3</v>
      </c>
      <c r="T1002">
        <v>13581.16</v>
      </c>
      <c r="U1002" t="s">
        <v>1669</v>
      </c>
      <c r="V1002" t="s">
        <v>2783</v>
      </c>
      <c r="W1002">
        <v>-1.26</v>
      </c>
    </row>
    <row r="1003" spans="1:23">
      <c r="A1003" t="str">
        <f>"002540"</f>
        <v>002540</v>
      </c>
      <c r="B1003" t="s">
        <v>2784</v>
      </c>
      <c r="C1003" t="s">
        <v>3</v>
      </c>
      <c r="D1003" t="s">
        <v>3</v>
      </c>
      <c r="E1003" t="s">
        <v>3</v>
      </c>
      <c r="F1003">
        <v>0</v>
      </c>
      <c r="G1003">
        <v>0</v>
      </c>
      <c r="H1003">
        <v>0</v>
      </c>
      <c r="I1003">
        <v>0</v>
      </c>
      <c r="J1003" t="s">
        <v>632</v>
      </c>
      <c r="K1003" t="s">
        <v>244</v>
      </c>
      <c r="L1003" t="s">
        <v>3</v>
      </c>
      <c r="M1003">
        <v>15.38</v>
      </c>
      <c r="N1003">
        <v>0</v>
      </c>
      <c r="O1003">
        <v>0</v>
      </c>
      <c r="P1003" t="s">
        <v>3</v>
      </c>
      <c r="Q1003">
        <v>0</v>
      </c>
      <c r="R1003">
        <v>0</v>
      </c>
      <c r="S1003" t="s">
        <v>3</v>
      </c>
      <c r="T1003">
        <v>25167.34</v>
      </c>
      <c r="U1003" t="s">
        <v>2785</v>
      </c>
      <c r="V1003" t="s">
        <v>2786</v>
      </c>
      <c r="W1003">
        <v>0.16</v>
      </c>
    </row>
    <row r="1004" spans="1:23">
      <c r="A1004" t="str">
        <f>"002541"</f>
        <v>002541</v>
      </c>
      <c r="B1004" t="s">
        <v>2787</v>
      </c>
      <c r="C1004">
        <v>14.3</v>
      </c>
      <c r="D1004">
        <v>14.38</v>
      </c>
      <c r="E1004">
        <v>14.08</v>
      </c>
      <c r="F1004">
        <v>14.18</v>
      </c>
      <c r="G1004">
        <v>26878</v>
      </c>
      <c r="H1004">
        <v>38096948</v>
      </c>
      <c r="I1004">
        <v>0.96</v>
      </c>
      <c r="J1004" t="s">
        <v>838</v>
      </c>
      <c r="K1004" t="s">
        <v>220</v>
      </c>
      <c r="L1004">
        <v>-0.91</v>
      </c>
      <c r="M1004">
        <v>14.17</v>
      </c>
      <c r="N1004">
        <v>16758</v>
      </c>
      <c r="O1004">
        <v>10120</v>
      </c>
      <c r="P1004">
        <v>1.66</v>
      </c>
      <c r="Q1004">
        <v>150</v>
      </c>
      <c r="R1004">
        <v>210</v>
      </c>
      <c r="S1004" t="s">
        <v>3</v>
      </c>
      <c r="T1004">
        <v>15415</v>
      </c>
      <c r="U1004" t="s">
        <v>2788</v>
      </c>
      <c r="V1004" t="s">
        <v>2789</v>
      </c>
      <c r="W1004">
        <v>-0.75</v>
      </c>
    </row>
    <row r="1005" spans="1:23">
      <c r="A1005" t="str">
        <f>"002542"</f>
        <v>002542</v>
      </c>
      <c r="B1005" t="s">
        <v>2790</v>
      </c>
      <c r="C1005">
        <v>13.28</v>
      </c>
      <c r="D1005">
        <v>13.28</v>
      </c>
      <c r="E1005">
        <v>12.95</v>
      </c>
      <c r="F1005">
        <v>13.09</v>
      </c>
      <c r="G1005">
        <v>116978</v>
      </c>
      <c r="H1005">
        <v>152837776</v>
      </c>
      <c r="I1005">
        <v>0.77</v>
      </c>
      <c r="J1005" t="s">
        <v>33</v>
      </c>
      <c r="K1005" t="s">
        <v>34</v>
      </c>
      <c r="L1005">
        <v>-1.8</v>
      </c>
      <c r="M1005">
        <v>13.07</v>
      </c>
      <c r="N1005">
        <v>70867</v>
      </c>
      <c r="O1005">
        <v>46111</v>
      </c>
      <c r="P1005">
        <v>1.54</v>
      </c>
      <c r="Q1005">
        <v>567</v>
      </c>
      <c r="R1005">
        <v>7</v>
      </c>
      <c r="S1005" t="s">
        <v>3</v>
      </c>
      <c r="T1005">
        <v>13756.87</v>
      </c>
      <c r="U1005" t="s">
        <v>2588</v>
      </c>
      <c r="V1005" t="s">
        <v>2791</v>
      </c>
      <c r="W1005">
        <v>-1.64</v>
      </c>
    </row>
    <row r="1006" spans="1:23">
      <c r="A1006" t="str">
        <f>"002543"</f>
        <v>002543</v>
      </c>
      <c r="B1006" t="s">
        <v>2792</v>
      </c>
      <c r="C1006">
        <v>11</v>
      </c>
      <c r="D1006">
        <v>11.25</v>
      </c>
      <c r="E1006">
        <v>11</v>
      </c>
      <c r="F1006">
        <v>11.23</v>
      </c>
      <c r="G1006">
        <v>52034</v>
      </c>
      <c r="H1006">
        <v>57787828</v>
      </c>
      <c r="I1006">
        <v>0.95</v>
      </c>
      <c r="J1006" t="s">
        <v>47</v>
      </c>
      <c r="K1006" t="s">
        <v>211</v>
      </c>
      <c r="L1006">
        <v>1.63</v>
      </c>
      <c r="M1006">
        <v>11.11</v>
      </c>
      <c r="N1006">
        <v>21756</v>
      </c>
      <c r="O1006">
        <v>30278</v>
      </c>
      <c r="P1006">
        <v>0.72</v>
      </c>
      <c r="Q1006">
        <v>54</v>
      </c>
      <c r="R1006">
        <v>604</v>
      </c>
      <c r="S1006" t="s">
        <v>3</v>
      </c>
      <c r="T1006">
        <v>31872.5</v>
      </c>
      <c r="U1006" t="s">
        <v>2793</v>
      </c>
      <c r="V1006" t="s">
        <v>2794</v>
      </c>
      <c r="W1006">
        <v>1.79</v>
      </c>
    </row>
    <row r="1007" spans="1:23">
      <c r="A1007" t="str">
        <f>"002544"</f>
        <v>002544</v>
      </c>
      <c r="B1007" t="s">
        <v>2795</v>
      </c>
      <c r="C1007">
        <v>15.02</v>
      </c>
      <c r="D1007">
        <v>16.16</v>
      </c>
      <c r="E1007">
        <v>14.98</v>
      </c>
      <c r="F1007">
        <v>15.65</v>
      </c>
      <c r="G1007">
        <v>251732</v>
      </c>
      <c r="H1007">
        <v>394748000</v>
      </c>
      <c r="I1007">
        <v>1.47</v>
      </c>
      <c r="J1007" t="s">
        <v>758</v>
      </c>
      <c r="K1007" t="s">
        <v>211</v>
      </c>
      <c r="L1007">
        <v>4.1900000000000004</v>
      </c>
      <c r="M1007">
        <v>15.68</v>
      </c>
      <c r="N1007">
        <v>129488</v>
      </c>
      <c r="O1007">
        <v>122243</v>
      </c>
      <c r="P1007">
        <v>1.06</v>
      </c>
      <c r="Q1007">
        <v>248</v>
      </c>
      <c r="R1007">
        <v>58</v>
      </c>
      <c r="S1007" t="s">
        <v>3</v>
      </c>
      <c r="T1007">
        <v>50635.66</v>
      </c>
      <c r="U1007" t="s">
        <v>2796</v>
      </c>
      <c r="V1007" t="s">
        <v>2797</v>
      </c>
      <c r="W1007">
        <v>4.3499999999999996</v>
      </c>
    </row>
    <row r="1008" spans="1:23">
      <c r="A1008" t="str">
        <f>"002545"</f>
        <v>002545</v>
      </c>
      <c r="B1008" t="s">
        <v>2798</v>
      </c>
      <c r="C1008">
        <v>15.54</v>
      </c>
      <c r="D1008">
        <v>15.65</v>
      </c>
      <c r="E1008">
        <v>15.42</v>
      </c>
      <c r="F1008">
        <v>15.61</v>
      </c>
      <c r="G1008">
        <v>16493</v>
      </c>
      <c r="H1008">
        <v>25651474</v>
      </c>
      <c r="I1008">
        <v>0.52</v>
      </c>
      <c r="J1008" t="s">
        <v>838</v>
      </c>
      <c r="K1008" t="s">
        <v>250</v>
      </c>
      <c r="L1008">
        <v>0.45</v>
      </c>
      <c r="M1008">
        <v>15.55</v>
      </c>
      <c r="N1008">
        <v>7736</v>
      </c>
      <c r="O1008">
        <v>8756</v>
      </c>
      <c r="P1008">
        <v>0.88</v>
      </c>
      <c r="Q1008">
        <v>87</v>
      </c>
      <c r="R1008">
        <v>191</v>
      </c>
      <c r="S1008" t="s">
        <v>3</v>
      </c>
      <c r="T1008">
        <v>11400</v>
      </c>
      <c r="U1008" t="s">
        <v>2799</v>
      </c>
      <c r="V1008" t="s">
        <v>2800</v>
      </c>
      <c r="W1008">
        <v>0.61</v>
      </c>
    </row>
    <row r="1009" spans="1:23">
      <c r="A1009" t="str">
        <f>"002546"</f>
        <v>002546</v>
      </c>
      <c r="B1009" t="s">
        <v>2801</v>
      </c>
      <c r="C1009">
        <v>13.87</v>
      </c>
      <c r="D1009">
        <v>14.06</v>
      </c>
      <c r="E1009">
        <v>13.87</v>
      </c>
      <c r="F1009">
        <v>13.91</v>
      </c>
      <c r="G1009">
        <v>35261</v>
      </c>
      <c r="H1009">
        <v>49244808</v>
      </c>
      <c r="I1009">
        <v>0.97</v>
      </c>
      <c r="J1009" t="s">
        <v>145</v>
      </c>
      <c r="K1009" t="s">
        <v>244</v>
      </c>
      <c r="L1009">
        <v>0.28999999999999998</v>
      </c>
      <c r="M1009">
        <v>13.97</v>
      </c>
      <c r="N1009">
        <v>20048</v>
      </c>
      <c r="O1009">
        <v>15213</v>
      </c>
      <c r="P1009">
        <v>1.32</v>
      </c>
      <c r="Q1009">
        <v>371</v>
      </c>
      <c r="R1009">
        <v>128</v>
      </c>
      <c r="S1009" t="s">
        <v>3</v>
      </c>
      <c r="T1009">
        <v>23087.84</v>
      </c>
      <c r="U1009" t="s">
        <v>2802</v>
      </c>
      <c r="V1009" t="s">
        <v>2803</v>
      </c>
      <c r="W1009">
        <v>0.45</v>
      </c>
    </row>
    <row r="1010" spans="1:23">
      <c r="A1010" t="str">
        <f>"002547"</f>
        <v>002547</v>
      </c>
      <c r="B1010" t="s">
        <v>2804</v>
      </c>
      <c r="C1010">
        <v>13.5</v>
      </c>
      <c r="D1010">
        <v>13.75</v>
      </c>
      <c r="E1010">
        <v>13.45</v>
      </c>
      <c r="F1010">
        <v>13.59</v>
      </c>
      <c r="G1010">
        <v>45075</v>
      </c>
      <c r="H1010">
        <v>61257308</v>
      </c>
      <c r="I1010">
        <v>1.07</v>
      </c>
      <c r="J1010" t="s">
        <v>112</v>
      </c>
      <c r="K1010" t="s">
        <v>244</v>
      </c>
      <c r="L1010">
        <v>1.1200000000000001</v>
      </c>
      <c r="M1010">
        <v>13.59</v>
      </c>
      <c r="N1010">
        <v>22723</v>
      </c>
      <c r="O1010">
        <v>22352</v>
      </c>
      <c r="P1010">
        <v>1.02</v>
      </c>
      <c r="Q1010">
        <v>527</v>
      </c>
      <c r="R1010">
        <v>29</v>
      </c>
      <c r="S1010" t="s">
        <v>3</v>
      </c>
      <c r="T1010">
        <v>14378.58</v>
      </c>
      <c r="U1010" t="s">
        <v>2234</v>
      </c>
      <c r="V1010" t="s">
        <v>2805</v>
      </c>
      <c r="W1010">
        <v>1.27</v>
      </c>
    </row>
    <row r="1011" spans="1:23">
      <c r="A1011" t="str">
        <f>"002548"</f>
        <v>002548</v>
      </c>
      <c r="B1011" t="s">
        <v>2806</v>
      </c>
      <c r="C1011">
        <v>21.3</v>
      </c>
      <c r="D1011">
        <v>22.15</v>
      </c>
      <c r="E1011">
        <v>21.02</v>
      </c>
      <c r="F1011">
        <v>21.99</v>
      </c>
      <c r="G1011">
        <v>49710</v>
      </c>
      <c r="H1011">
        <v>107840992</v>
      </c>
      <c r="I1011">
        <v>0.95</v>
      </c>
      <c r="J1011" t="s">
        <v>141</v>
      </c>
      <c r="K1011" t="s">
        <v>2</v>
      </c>
      <c r="L1011">
        <v>3.34</v>
      </c>
      <c r="M1011">
        <v>21.69</v>
      </c>
      <c r="N1011">
        <v>26234</v>
      </c>
      <c r="O1011">
        <v>23475</v>
      </c>
      <c r="P1011">
        <v>1.1200000000000001</v>
      </c>
      <c r="Q1011">
        <v>283</v>
      </c>
      <c r="R1011">
        <v>141</v>
      </c>
      <c r="S1011" t="s">
        <v>3</v>
      </c>
      <c r="T1011">
        <v>14100</v>
      </c>
      <c r="U1011" t="s">
        <v>2369</v>
      </c>
      <c r="V1011" t="s">
        <v>2369</v>
      </c>
      <c r="W1011">
        <v>3.49</v>
      </c>
    </row>
    <row r="1012" spans="1:23">
      <c r="A1012" t="str">
        <f>"002549"</f>
        <v>002549</v>
      </c>
      <c r="B1012" t="s">
        <v>2807</v>
      </c>
      <c r="C1012">
        <v>16.05</v>
      </c>
      <c r="D1012">
        <v>16.350000000000001</v>
      </c>
      <c r="E1012">
        <v>15.82</v>
      </c>
      <c r="F1012">
        <v>16.329999999999998</v>
      </c>
      <c r="G1012">
        <v>32206</v>
      </c>
      <c r="H1012">
        <v>52198944</v>
      </c>
      <c r="I1012">
        <v>0.82</v>
      </c>
      <c r="J1012" t="s">
        <v>462</v>
      </c>
      <c r="K1012" t="s">
        <v>234</v>
      </c>
      <c r="L1012">
        <v>1.62</v>
      </c>
      <c r="M1012">
        <v>16.21</v>
      </c>
      <c r="N1012">
        <v>15706</v>
      </c>
      <c r="O1012">
        <v>16500</v>
      </c>
      <c r="P1012">
        <v>0.95</v>
      </c>
      <c r="Q1012">
        <v>92</v>
      </c>
      <c r="R1012">
        <v>145</v>
      </c>
      <c r="S1012" t="s">
        <v>3</v>
      </c>
      <c r="T1012">
        <v>13770</v>
      </c>
      <c r="U1012" t="s">
        <v>2808</v>
      </c>
      <c r="V1012" t="s">
        <v>2809</v>
      </c>
      <c r="W1012">
        <v>1.78</v>
      </c>
    </row>
    <row r="1013" spans="1:23">
      <c r="A1013" t="str">
        <f>"002550"</f>
        <v>002550</v>
      </c>
      <c r="B1013" t="s">
        <v>2810</v>
      </c>
      <c r="C1013">
        <v>24.74</v>
      </c>
      <c r="D1013">
        <v>25.06</v>
      </c>
      <c r="E1013">
        <v>24.51</v>
      </c>
      <c r="F1013">
        <v>24.7</v>
      </c>
      <c r="G1013">
        <v>61299</v>
      </c>
      <c r="H1013">
        <v>151898384</v>
      </c>
      <c r="I1013">
        <v>0.78</v>
      </c>
      <c r="J1013" t="s">
        <v>11</v>
      </c>
      <c r="K1013" t="s">
        <v>244</v>
      </c>
      <c r="L1013">
        <v>-0.12</v>
      </c>
      <c r="M1013">
        <v>24.78</v>
      </c>
      <c r="N1013">
        <v>32950</v>
      </c>
      <c r="O1013">
        <v>28348</v>
      </c>
      <c r="P1013">
        <v>1.1599999999999999</v>
      </c>
      <c r="Q1013">
        <v>7</v>
      </c>
      <c r="R1013">
        <v>251</v>
      </c>
      <c r="S1013" t="s">
        <v>3</v>
      </c>
      <c r="T1013">
        <v>20513.41</v>
      </c>
      <c r="U1013" t="s">
        <v>2811</v>
      </c>
      <c r="V1013" t="s">
        <v>2812</v>
      </c>
      <c r="W1013">
        <v>0.04</v>
      </c>
    </row>
    <row r="1014" spans="1:23">
      <c r="A1014" t="str">
        <f>"002551"</f>
        <v>002551</v>
      </c>
      <c r="B1014" t="s">
        <v>2813</v>
      </c>
      <c r="C1014" t="s">
        <v>3</v>
      </c>
      <c r="D1014" t="s">
        <v>3</v>
      </c>
      <c r="E1014" t="s">
        <v>3</v>
      </c>
      <c r="F1014">
        <v>0</v>
      </c>
      <c r="G1014">
        <v>0</v>
      </c>
      <c r="H1014">
        <v>0</v>
      </c>
      <c r="I1014">
        <v>0</v>
      </c>
      <c r="J1014" t="s">
        <v>1971</v>
      </c>
      <c r="K1014" t="s">
        <v>2</v>
      </c>
      <c r="L1014" t="s">
        <v>3</v>
      </c>
      <c r="M1014">
        <v>26.08</v>
      </c>
      <c r="N1014">
        <v>0</v>
      </c>
      <c r="O1014">
        <v>0</v>
      </c>
      <c r="P1014" t="s">
        <v>3</v>
      </c>
      <c r="Q1014">
        <v>0</v>
      </c>
      <c r="R1014">
        <v>0</v>
      </c>
      <c r="S1014" t="s">
        <v>3</v>
      </c>
      <c r="T1014">
        <v>21865.439999999999</v>
      </c>
      <c r="U1014" t="s">
        <v>2814</v>
      </c>
      <c r="V1014" t="s">
        <v>2815</v>
      </c>
      <c r="W1014">
        <v>0.16</v>
      </c>
    </row>
    <row r="1015" spans="1:23">
      <c r="A1015" t="str">
        <f>"002552"</f>
        <v>002552</v>
      </c>
      <c r="B1015" t="s">
        <v>2816</v>
      </c>
      <c r="C1015">
        <v>11.03</v>
      </c>
      <c r="D1015">
        <v>11.28</v>
      </c>
      <c r="E1015">
        <v>10.82</v>
      </c>
      <c r="F1015">
        <v>11.07</v>
      </c>
      <c r="G1015">
        <v>89442</v>
      </c>
      <c r="H1015">
        <v>98719544</v>
      </c>
      <c r="I1015">
        <v>1.04</v>
      </c>
      <c r="J1015" t="s">
        <v>398</v>
      </c>
      <c r="K1015" t="s">
        <v>229</v>
      </c>
      <c r="L1015">
        <v>0.09</v>
      </c>
      <c r="M1015">
        <v>11.04</v>
      </c>
      <c r="N1015">
        <v>45064</v>
      </c>
      <c r="O1015">
        <v>44378</v>
      </c>
      <c r="P1015">
        <v>1.02</v>
      </c>
      <c r="Q1015">
        <v>263</v>
      </c>
      <c r="R1015">
        <v>128</v>
      </c>
      <c r="S1015" t="s">
        <v>3</v>
      </c>
      <c r="T1015">
        <v>16837.5</v>
      </c>
      <c r="U1015" t="s">
        <v>2817</v>
      </c>
      <c r="V1015" t="s">
        <v>2818</v>
      </c>
      <c r="W1015">
        <v>0.25</v>
      </c>
    </row>
    <row r="1016" spans="1:23">
      <c r="A1016" t="str">
        <f>"002553"</f>
        <v>002553</v>
      </c>
      <c r="B1016" t="s">
        <v>2819</v>
      </c>
      <c r="C1016">
        <v>13.62</v>
      </c>
      <c r="D1016">
        <v>13.66</v>
      </c>
      <c r="E1016">
        <v>13.32</v>
      </c>
      <c r="F1016">
        <v>13.51</v>
      </c>
      <c r="G1016">
        <v>37914</v>
      </c>
      <c r="H1016">
        <v>50999836</v>
      </c>
      <c r="I1016">
        <v>0.92</v>
      </c>
      <c r="J1016" t="s">
        <v>398</v>
      </c>
      <c r="K1016" t="s">
        <v>244</v>
      </c>
      <c r="L1016">
        <v>-0.66</v>
      </c>
      <c r="M1016">
        <v>13.45</v>
      </c>
      <c r="N1016">
        <v>20355</v>
      </c>
      <c r="O1016">
        <v>17558</v>
      </c>
      <c r="P1016">
        <v>1.1599999999999999</v>
      </c>
      <c r="Q1016">
        <v>204</v>
      </c>
      <c r="R1016">
        <v>69</v>
      </c>
      <c r="S1016" t="s">
        <v>3</v>
      </c>
      <c r="T1016">
        <v>10887</v>
      </c>
      <c r="U1016" t="s">
        <v>2820</v>
      </c>
      <c r="V1016" t="s">
        <v>2821</v>
      </c>
      <c r="W1016">
        <v>-0.5</v>
      </c>
    </row>
    <row r="1017" spans="1:23">
      <c r="A1017" t="str">
        <f>"002554"</f>
        <v>002554</v>
      </c>
      <c r="B1017" t="s">
        <v>2822</v>
      </c>
      <c r="C1017">
        <v>13.43</v>
      </c>
      <c r="D1017">
        <v>13.49</v>
      </c>
      <c r="E1017">
        <v>13.2</v>
      </c>
      <c r="F1017">
        <v>13.35</v>
      </c>
      <c r="G1017">
        <v>69059</v>
      </c>
      <c r="H1017">
        <v>92169104</v>
      </c>
      <c r="I1017">
        <v>0.73</v>
      </c>
      <c r="J1017" t="s">
        <v>1924</v>
      </c>
      <c r="K1017" t="s">
        <v>34</v>
      </c>
      <c r="L1017">
        <v>-0.6</v>
      </c>
      <c r="M1017">
        <v>13.35</v>
      </c>
      <c r="N1017">
        <v>39822</v>
      </c>
      <c r="O1017">
        <v>29236</v>
      </c>
      <c r="P1017">
        <v>1.36</v>
      </c>
      <c r="Q1017">
        <v>181</v>
      </c>
      <c r="R1017">
        <v>199</v>
      </c>
      <c r="S1017" t="s">
        <v>3</v>
      </c>
      <c r="T1017">
        <v>19435.22</v>
      </c>
      <c r="U1017" t="s">
        <v>889</v>
      </c>
      <c r="V1017" t="s">
        <v>2154</v>
      </c>
      <c r="W1017">
        <v>-0.44</v>
      </c>
    </row>
    <row r="1018" spans="1:23">
      <c r="A1018" t="str">
        <f>"002555"</f>
        <v>002555</v>
      </c>
      <c r="B1018" t="s">
        <v>2823</v>
      </c>
      <c r="C1018">
        <v>42.58</v>
      </c>
      <c r="D1018">
        <v>43.96</v>
      </c>
      <c r="E1018">
        <v>42.54</v>
      </c>
      <c r="F1018">
        <v>43.92</v>
      </c>
      <c r="G1018">
        <v>17548</v>
      </c>
      <c r="H1018">
        <v>76161296</v>
      </c>
      <c r="I1018">
        <v>1.28</v>
      </c>
      <c r="J1018" t="s">
        <v>98</v>
      </c>
      <c r="K1018" t="s">
        <v>220</v>
      </c>
      <c r="L1018">
        <v>3.15</v>
      </c>
      <c r="M1018">
        <v>43.4</v>
      </c>
      <c r="N1018">
        <v>7860</v>
      </c>
      <c r="O1018">
        <v>9688</v>
      </c>
      <c r="P1018">
        <v>0.81</v>
      </c>
      <c r="Q1018">
        <v>95</v>
      </c>
      <c r="R1018">
        <v>664</v>
      </c>
      <c r="S1018" t="s">
        <v>3</v>
      </c>
      <c r="T1018">
        <v>5890</v>
      </c>
      <c r="U1018" t="s">
        <v>2824</v>
      </c>
      <c r="V1018" t="s">
        <v>2825</v>
      </c>
      <c r="W1018">
        <v>3.31</v>
      </c>
    </row>
    <row r="1019" spans="1:23">
      <c r="A1019" t="str">
        <f>"002556"</f>
        <v>002556</v>
      </c>
      <c r="B1019" t="s">
        <v>2826</v>
      </c>
      <c r="C1019">
        <v>11.26</v>
      </c>
      <c r="D1019">
        <v>11.66</v>
      </c>
      <c r="E1019">
        <v>11.11</v>
      </c>
      <c r="F1019">
        <v>11.62</v>
      </c>
      <c r="G1019">
        <v>286648</v>
      </c>
      <c r="H1019">
        <v>328062528</v>
      </c>
      <c r="I1019">
        <v>1.39</v>
      </c>
      <c r="J1019" t="s">
        <v>83</v>
      </c>
      <c r="K1019" t="s">
        <v>220</v>
      </c>
      <c r="L1019">
        <v>3.11</v>
      </c>
      <c r="M1019">
        <v>11.44</v>
      </c>
      <c r="N1019">
        <v>129619</v>
      </c>
      <c r="O1019">
        <v>157028</v>
      </c>
      <c r="P1019">
        <v>0.83</v>
      </c>
      <c r="Q1019">
        <v>3609</v>
      </c>
      <c r="R1019">
        <v>1303</v>
      </c>
      <c r="S1019" t="s">
        <v>3</v>
      </c>
      <c r="T1019">
        <v>45994.53</v>
      </c>
      <c r="U1019" t="s">
        <v>2827</v>
      </c>
      <c r="V1019" t="s">
        <v>422</v>
      </c>
      <c r="W1019">
        <v>3.26</v>
      </c>
    </row>
    <row r="1020" spans="1:23">
      <c r="A1020" t="str">
        <f>"002557"</f>
        <v>002557</v>
      </c>
      <c r="B1020" t="s">
        <v>2828</v>
      </c>
      <c r="C1020">
        <v>18.2</v>
      </c>
      <c r="D1020">
        <v>18.34</v>
      </c>
      <c r="E1020">
        <v>17.93</v>
      </c>
      <c r="F1020">
        <v>18.34</v>
      </c>
      <c r="G1020">
        <v>27645</v>
      </c>
      <c r="H1020">
        <v>50187912</v>
      </c>
      <c r="I1020">
        <v>1.4</v>
      </c>
      <c r="J1020" t="s">
        <v>421</v>
      </c>
      <c r="K1020" t="s">
        <v>220</v>
      </c>
      <c r="L1020">
        <v>0.71</v>
      </c>
      <c r="M1020">
        <v>18.149999999999999</v>
      </c>
      <c r="N1020">
        <v>12368</v>
      </c>
      <c r="O1020">
        <v>15276</v>
      </c>
      <c r="P1020">
        <v>0.81</v>
      </c>
      <c r="Q1020">
        <v>263</v>
      </c>
      <c r="R1020">
        <v>103</v>
      </c>
      <c r="S1020" t="s">
        <v>3</v>
      </c>
      <c r="T1020">
        <v>33800</v>
      </c>
      <c r="U1020" t="s">
        <v>2829</v>
      </c>
      <c r="V1020" t="s">
        <v>2829</v>
      </c>
      <c r="W1020">
        <v>0.87</v>
      </c>
    </row>
    <row r="1021" spans="1:23">
      <c r="A1021" t="str">
        <f>"002558"</f>
        <v>002558</v>
      </c>
      <c r="B1021" t="s">
        <v>2830</v>
      </c>
      <c r="C1021">
        <v>27.38</v>
      </c>
      <c r="D1021">
        <v>27.69</v>
      </c>
      <c r="E1021">
        <v>26.93</v>
      </c>
      <c r="F1021">
        <v>27.59</v>
      </c>
      <c r="G1021">
        <v>9248</v>
      </c>
      <c r="H1021">
        <v>25300132</v>
      </c>
      <c r="I1021">
        <v>0.8</v>
      </c>
      <c r="J1021" t="s">
        <v>625</v>
      </c>
      <c r="K1021" t="s">
        <v>386</v>
      </c>
      <c r="L1021">
        <v>0.88</v>
      </c>
      <c r="M1021">
        <v>27.36</v>
      </c>
      <c r="N1021">
        <v>4144</v>
      </c>
      <c r="O1021">
        <v>5103</v>
      </c>
      <c r="P1021">
        <v>0.81</v>
      </c>
      <c r="Q1021">
        <v>1</v>
      </c>
      <c r="R1021">
        <v>108</v>
      </c>
      <c r="S1021" t="s">
        <v>3</v>
      </c>
      <c r="T1021">
        <v>3244.39</v>
      </c>
      <c r="U1021" t="s">
        <v>2831</v>
      </c>
      <c r="V1021" t="s">
        <v>1228</v>
      </c>
      <c r="W1021">
        <v>1.04</v>
      </c>
    </row>
    <row r="1022" spans="1:23">
      <c r="A1022" t="str">
        <f>"002559"</f>
        <v>002559</v>
      </c>
      <c r="B1022" t="s">
        <v>2832</v>
      </c>
      <c r="C1022">
        <v>20.149999999999999</v>
      </c>
      <c r="D1022">
        <v>20.21</v>
      </c>
      <c r="E1022">
        <v>19.809999999999999</v>
      </c>
      <c r="F1022">
        <v>19.89</v>
      </c>
      <c r="G1022">
        <v>51288</v>
      </c>
      <c r="H1022">
        <v>102368688</v>
      </c>
      <c r="I1022">
        <v>0.93</v>
      </c>
      <c r="J1022" t="s">
        <v>283</v>
      </c>
      <c r="K1022" t="s">
        <v>244</v>
      </c>
      <c r="L1022">
        <v>-1.44</v>
      </c>
      <c r="M1022">
        <v>19.96</v>
      </c>
      <c r="N1022">
        <v>29940</v>
      </c>
      <c r="O1022">
        <v>21347</v>
      </c>
      <c r="P1022">
        <v>1.4</v>
      </c>
      <c r="Q1022">
        <v>298</v>
      </c>
      <c r="R1022">
        <v>128</v>
      </c>
      <c r="S1022" t="s">
        <v>3</v>
      </c>
      <c r="T1022">
        <v>13317.53</v>
      </c>
      <c r="U1022" t="s">
        <v>2833</v>
      </c>
      <c r="V1022" t="s">
        <v>2834</v>
      </c>
      <c r="W1022">
        <v>-1.28</v>
      </c>
    </row>
    <row r="1023" spans="1:23">
      <c r="A1023" t="str">
        <f>"002560"</f>
        <v>002560</v>
      </c>
      <c r="B1023" t="s">
        <v>2835</v>
      </c>
      <c r="C1023">
        <v>18.079999999999998</v>
      </c>
      <c r="D1023">
        <v>18.079999999999998</v>
      </c>
      <c r="E1023">
        <v>17.77</v>
      </c>
      <c r="F1023">
        <v>17.850000000000001</v>
      </c>
      <c r="G1023">
        <v>13966</v>
      </c>
      <c r="H1023">
        <v>24941240</v>
      </c>
      <c r="I1023">
        <v>0.86</v>
      </c>
      <c r="J1023" t="s">
        <v>145</v>
      </c>
      <c r="K1023" t="s">
        <v>254</v>
      </c>
      <c r="L1023">
        <v>-0.72</v>
      </c>
      <c r="M1023">
        <v>17.86</v>
      </c>
      <c r="N1023">
        <v>8327</v>
      </c>
      <c r="O1023">
        <v>5638</v>
      </c>
      <c r="P1023">
        <v>1.48</v>
      </c>
      <c r="Q1023">
        <v>201</v>
      </c>
      <c r="R1023">
        <v>180</v>
      </c>
      <c r="S1023" t="s">
        <v>3</v>
      </c>
      <c r="T1023">
        <v>4567.37</v>
      </c>
      <c r="U1023" t="s">
        <v>2836</v>
      </c>
      <c r="V1023" t="s">
        <v>2837</v>
      </c>
      <c r="W1023">
        <v>-0.56000000000000005</v>
      </c>
    </row>
    <row r="1024" spans="1:23">
      <c r="A1024" t="str">
        <f>"002561"</f>
        <v>002561</v>
      </c>
      <c r="B1024" t="s">
        <v>2838</v>
      </c>
      <c r="C1024">
        <v>11.19</v>
      </c>
      <c r="D1024">
        <v>11.24</v>
      </c>
      <c r="E1024">
        <v>11.05</v>
      </c>
      <c r="F1024">
        <v>11.23</v>
      </c>
      <c r="G1024">
        <v>48806</v>
      </c>
      <c r="H1024">
        <v>54390696</v>
      </c>
      <c r="I1024">
        <v>0.95</v>
      </c>
      <c r="J1024" t="s">
        <v>297</v>
      </c>
      <c r="K1024" t="s">
        <v>727</v>
      </c>
      <c r="L1024">
        <v>0.27</v>
      </c>
      <c r="M1024">
        <v>11.14</v>
      </c>
      <c r="N1024">
        <v>25253</v>
      </c>
      <c r="O1024">
        <v>23552</v>
      </c>
      <c r="P1024">
        <v>1.07</v>
      </c>
      <c r="Q1024">
        <v>519</v>
      </c>
      <c r="R1024">
        <v>650</v>
      </c>
      <c r="S1024" t="s">
        <v>3</v>
      </c>
      <c r="T1024">
        <v>37991.03</v>
      </c>
      <c r="U1024" t="s">
        <v>2839</v>
      </c>
      <c r="V1024" t="s">
        <v>1104</v>
      </c>
      <c r="W1024">
        <v>0.43</v>
      </c>
    </row>
    <row r="1025" spans="1:23">
      <c r="A1025" t="str">
        <f>"002562"</f>
        <v>002562</v>
      </c>
      <c r="B1025" t="s">
        <v>2840</v>
      </c>
      <c r="C1025">
        <v>13.8</v>
      </c>
      <c r="D1025">
        <v>13.95</v>
      </c>
      <c r="E1025">
        <v>13.5</v>
      </c>
      <c r="F1025">
        <v>13.77</v>
      </c>
      <c r="G1025">
        <v>22883</v>
      </c>
      <c r="H1025">
        <v>31301240</v>
      </c>
      <c r="I1025">
        <v>0.74</v>
      </c>
      <c r="J1025" t="s">
        <v>376</v>
      </c>
      <c r="K1025" t="s">
        <v>229</v>
      </c>
      <c r="L1025">
        <v>-7.0000000000000007E-2</v>
      </c>
      <c r="M1025">
        <v>13.68</v>
      </c>
      <c r="N1025">
        <v>12144</v>
      </c>
      <c r="O1025">
        <v>10738</v>
      </c>
      <c r="P1025">
        <v>1.1299999999999999</v>
      </c>
      <c r="Q1025">
        <v>79</v>
      </c>
      <c r="R1025">
        <v>259</v>
      </c>
      <c r="S1025" t="s">
        <v>3</v>
      </c>
      <c r="T1025">
        <v>7338.29</v>
      </c>
      <c r="U1025" t="s">
        <v>2841</v>
      </c>
      <c r="V1025" t="s">
        <v>2842</v>
      </c>
      <c r="W1025">
        <v>0.09</v>
      </c>
    </row>
    <row r="1026" spans="1:23">
      <c r="A1026" t="str">
        <f>"002563"</f>
        <v>002563</v>
      </c>
      <c r="B1026" t="s">
        <v>2843</v>
      </c>
      <c r="C1026">
        <v>30.93</v>
      </c>
      <c r="D1026">
        <v>31.2</v>
      </c>
      <c r="E1026">
        <v>30.8</v>
      </c>
      <c r="F1026">
        <v>31</v>
      </c>
      <c r="G1026">
        <v>5828</v>
      </c>
      <c r="H1026">
        <v>18042730</v>
      </c>
      <c r="I1026">
        <v>0.64</v>
      </c>
      <c r="J1026" t="s">
        <v>1373</v>
      </c>
      <c r="K1026" t="s">
        <v>229</v>
      </c>
      <c r="L1026">
        <v>0.03</v>
      </c>
      <c r="M1026">
        <v>30.96</v>
      </c>
      <c r="N1026">
        <v>3168</v>
      </c>
      <c r="O1026">
        <v>2660</v>
      </c>
      <c r="P1026">
        <v>1.19</v>
      </c>
      <c r="Q1026">
        <v>262</v>
      </c>
      <c r="R1026">
        <v>2</v>
      </c>
      <c r="S1026" t="s">
        <v>3</v>
      </c>
      <c r="T1026">
        <v>7000</v>
      </c>
      <c r="U1026" t="s">
        <v>2844</v>
      </c>
      <c r="V1026" t="s">
        <v>2845</v>
      </c>
      <c r="W1026">
        <v>0.19</v>
      </c>
    </row>
    <row r="1027" spans="1:23">
      <c r="A1027" t="str">
        <f>"002564"</f>
        <v>002564</v>
      </c>
      <c r="B1027" t="s">
        <v>2846</v>
      </c>
      <c r="C1027">
        <v>10.25</v>
      </c>
      <c r="D1027">
        <v>10.74</v>
      </c>
      <c r="E1027">
        <v>10.210000000000001</v>
      </c>
      <c r="F1027">
        <v>10.64</v>
      </c>
      <c r="G1027">
        <v>1028242</v>
      </c>
      <c r="H1027">
        <v>1075593728</v>
      </c>
      <c r="I1027">
        <v>8.01</v>
      </c>
      <c r="J1027" t="s">
        <v>1082</v>
      </c>
      <c r="K1027" t="s">
        <v>244</v>
      </c>
      <c r="L1027">
        <v>3.91</v>
      </c>
      <c r="M1027">
        <v>10.46</v>
      </c>
      <c r="N1027">
        <v>425701</v>
      </c>
      <c r="O1027">
        <v>602541</v>
      </c>
      <c r="P1027">
        <v>0.71</v>
      </c>
      <c r="Q1027">
        <v>891</v>
      </c>
      <c r="R1027">
        <v>2645</v>
      </c>
      <c r="S1027" t="s">
        <v>3</v>
      </c>
      <c r="T1027">
        <v>35157.53</v>
      </c>
      <c r="U1027" t="s">
        <v>2847</v>
      </c>
      <c r="V1027" t="s">
        <v>2848</v>
      </c>
      <c r="W1027">
        <v>4.0599999999999996</v>
      </c>
    </row>
    <row r="1028" spans="1:23">
      <c r="A1028" t="str">
        <f>"002565"</f>
        <v>002565</v>
      </c>
      <c r="B1028" t="s">
        <v>2849</v>
      </c>
      <c r="C1028">
        <v>9.18</v>
      </c>
      <c r="D1028">
        <v>9.35</v>
      </c>
      <c r="E1028">
        <v>9.0299999999999994</v>
      </c>
      <c r="F1028">
        <v>9.32</v>
      </c>
      <c r="G1028">
        <v>263569</v>
      </c>
      <c r="H1028">
        <v>242242224</v>
      </c>
      <c r="I1028">
        <v>1.1599999999999999</v>
      </c>
      <c r="J1028" t="s">
        <v>343</v>
      </c>
      <c r="K1028" t="s">
        <v>727</v>
      </c>
      <c r="L1028">
        <v>1.19</v>
      </c>
      <c r="M1028">
        <v>9.19</v>
      </c>
      <c r="N1028">
        <v>129934</v>
      </c>
      <c r="O1028">
        <v>133634</v>
      </c>
      <c r="P1028">
        <v>0.97</v>
      </c>
      <c r="Q1028">
        <v>1842</v>
      </c>
      <c r="R1028">
        <v>1403</v>
      </c>
      <c r="S1028" t="s">
        <v>3</v>
      </c>
      <c r="T1028">
        <v>36608</v>
      </c>
      <c r="U1028" t="s">
        <v>2850</v>
      </c>
      <c r="V1028" t="s">
        <v>2851</v>
      </c>
      <c r="W1028">
        <v>1.35</v>
      </c>
    </row>
    <row r="1029" spans="1:23">
      <c r="A1029" t="str">
        <f>"002566"</f>
        <v>002566</v>
      </c>
      <c r="B1029" t="s">
        <v>2852</v>
      </c>
      <c r="C1029">
        <v>15.71</v>
      </c>
      <c r="D1029">
        <v>16.2</v>
      </c>
      <c r="E1029">
        <v>15.58</v>
      </c>
      <c r="F1029">
        <v>16.14</v>
      </c>
      <c r="G1029">
        <v>83643</v>
      </c>
      <c r="H1029">
        <v>133217096</v>
      </c>
      <c r="I1029">
        <v>1.39</v>
      </c>
      <c r="J1029" t="s">
        <v>321</v>
      </c>
      <c r="K1029" t="s">
        <v>99</v>
      </c>
      <c r="L1029">
        <v>2.61</v>
      </c>
      <c r="M1029">
        <v>15.93</v>
      </c>
      <c r="N1029">
        <v>35501</v>
      </c>
      <c r="O1029">
        <v>48142</v>
      </c>
      <c r="P1029">
        <v>0.74</v>
      </c>
      <c r="Q1029">
        <v>200</v>
      </c>
      <c r="R1029">
        <v>905</v>
      </c>
      <c r="S1029" t="s">
        <v>3</v>
      </c>
      <c r="T1029">
        <v>20426.16</v>
      </c>
      <c r="U1029" t="s">
        <v>2853</v>
      </c>
      <c r="V1029" t="s">
        <v>2854</v>
      </c>
      <c r="W1029">
        <v>2.76</v>
      </c>
    </row>
    <row r="1030" spans="1:23">
      <c r="A1030" t="str">
        <f>"002567"</f>
        <v>002567</v>
      </c>
      <c r="B1030" t="s">
        <v>2855</v>
      </c>
      <c r="C1030">
        <v>8.1999999999999993</v>
      </c>
      <c r="D1030">
        <v>8.1999999999999993</v>
      </c>
      <c r="E1030">
        <v>8.01</v>
      </c>
      <c r="F1030">
        <v>8.1300000000000008</v>
      </c>
      <c r="G1030">
        <v>82102</v>
      </c>
      <c r="H1030">
        <v>66404772</v>
      </c>
      <c r="I1030">
        <v>1.41</v>
      </c>
      <c r="J1030" t="s">
        <v>141</v>
      </c>
      <c r="K1030" t="s">
        <v>234</v>
      </c>
      <c r="L1030">
        <v>-0.97</v>
      </c>
      <c r="M1030">
        <v>8.09</v>
      </c>
      <c r="N1030">
        <v>53789</v>
      </c>
      <c r="O1030">
        <v>28312</v>
      </c>
      <c r="P1030">
        <v>1.9</v>
      </c>
      <c r="Q1030">
        <v>252</v>
      </c>
      <c r="R1030">
        <v>447</v>
      </c>
      <c r="S1030" t="s">
        <v>3</v>
      </c>
      <c r="T1030">
        <v>41979.6</v>
      </c>
      <c r="U1030" t="s">
        <v>2856</v>
      </c>
      <c r="V1030" t="s">
        <v>2857</v>
      </c>
      <c r="W1030">
        <v>-0.82</v>
      </c>
    </row>
    <row r="1031" spans="1:23">
      <c r="A1031" t="str">
        <f>"002568"</f>
        <v>002568</v>
      </c>
      <c r="B1031" t="s">
        <v>2858</v>
      </c>
      <c r="C1031" t="s">
        <v>3</v>
      </c>
      <c r="D1031" t="s">
        <v>3</v>
      </c>
      <c r="E1031" t="s">
        <v>3</v>
      </c>
      <c r="F1031">
        <v>0</v>
      </c>
      <c r="G1031">
        <v>0</v>
      </c>
      <c r="H1031">
        <v>0</v>
      </c>
      <c r="I1031">
        <v>0</v>
      </c>
      <c r="J1031" t="s">
        <v>421</v>
      </c>
      <c r="K1031" t="s">
        <v>727</v>
      </c>
      <c r="L1031" t="s">
        <v>3</v>
      </c>
      <c r="M1031">
        <v>18.079999999999998</v>
      </c>
      <c r="N1031">
        <v>0</v>
      </c>
      <c r="O1031">
        <v>0</v>
      </c>
      <c r="P1031" t="s">
        <v>3</v>
      </c>
      <c r="Q1031">
        <v>0</v>
      </c>
      <c r="R1031">
        <v>0</v>
      </c>
      <c r="S1031" t="s">
        <v>3</v>
      </c>
      <c r="T1031">
        <v>10861</v>
      </c>
      <c r="U1031" t="s">
        <v>2859</v>
      </c>
      <c r="V1031" t="s">
        <v>2860</v>
      </c>
      <c r="W1031">
        <v>0.16</v>
      </c>
    </row>
    <row r="1032" spans="1:23">
      <c r="A1032" t="str">
        <f>"002569"</f>
        <v>002569</v>
      </c>
      <c r="B1032" t="s">
        <v>2861</v>
      </c>
      <c r="C1032">
        <v>19.579999999999998</v>
      </c>
      <c r="D1032">
        <v>20.440000000000001</v>
      </c>
      <c r="E1032">
        <v>19.23</v>
      </c>
      <c r="F1032">
        <v>20.149999999999999</v>
      </c>
      <c r="G1032">
        <v>64641</v>
      </c>
      <c r="H1032">
        <v>129105728</v>
      </c>
      <c r="I1032">
        <v>0.62</v>
      </c>
      <c r="J1032" t="s">
        <v>1373</v>
      </c>
      <c r="K1032" t="s">
        <v>229</v>
      </c>
      <c r="L1032">
        <v>2.34</v>
      </c>
      <c r="M1032">
        <v>19.97</v>
      </c>
      <c r="N1032">
        <v>32533</v>
      </c>
      <c r="O1032">
        <v>32108</v>
      </c>
      <c r="P1032">
        <v>1.01</v>
      </c>
      <c r="Q1032">
        <v>311</v>
      </c>
      <c r="R1032">
        <v>133</v>
      </c>
      <c r="S1032" t="s">
        <v>3</v>
      </c>
      <c r="T1032">
        <v>13794.28</v>
      </c>
      <c r="U1032" t="s">
        <v>2862</v>
      </c>
      <c r="V1032" t="s">
        <v>2863</v>
      </c>
      <c r="W1032">
        <v>2.4900000000000002</v>
      </c>
    </row>
    <row r="1033" spans="1:23">
      <c r="A1033" t="str">
        <f>"002570"</f>
        <v>002570</v>
      </c>
      <c r="B1033" t="s">
        <v>2864</v>
      </c>
      <c r="C1033">
        <v>15.8</v>
      </c>
      <c r="D1033">
        <v>15.8</v>
      </c>
      <c r="E1033">
        <v>15.8</v>
      </c>
      <c r="F1033">
        <v>15.8</v>
      </c>
      <c r="G1033">
        <v>5465</v>
      </c>
      <c r="H1033">
        <v>8633926</v>
      </c>
      <c r="I1033">
        <v>0.02</v>
      </c>
      <c r="J1033" t="s">
        <v>2250</v>
      </c>
      <c r="K1033" t="s">
        <v>229</v>
      </c>
      <c r="L1033">
        <v>10.029999999999999</v>
      </c>
      <c r="M1033">
        <v>15.8</v>
      </c>
      <c r="N1033">
        <v>5249</v>
      </c>
      <c r="O1033">
        <v>215</v>
      </c>
      <c r="P1033">
        <v>24.41</v>
      </c>
      <c r="Q1033">
        <v>402748</v>
      </c>
      <c r="R1033">
        <v>0</v>
      </c>
      <c r="S1033" t="s">
        <v>3</v>
      </c>
      <c r="T1033">
        <v>101926.67</v>
      </c>
      <c r="U1033" t="s">
        <v>2865</v>
      </c>
      <c r="V1033" t="s">
        <v>2866</v>
      </c>
      <c r="W1033">
        <v>10.19</v>
      </c>
    </row>
    <row r="1034" spans="1:23">
      <c r="A1034" t="str">
        <f>"002571"</f>
        <v>002571</v>
      </c>
      <c r="B1034" t="s">
        <v>2867</v>
      </c>
      <c r="C1034">
        <v>13.09</v>
      </c>
      <c r="D1034">
        <v>13.2</v>
      </c>
      <c r="E1034">
        <v>12.98</v>
      </c>
      <c r="F1034">
        <v>13.1</v>
      </c>
      <c r="G1034">
        <v>85923</v>
      </c>
      <c r="H1034">
        <v>112123344</v>
      </c>
      <c r="I1034">
        <v>0.64</v>
      </c>
      <c r="J1034" t="s">
        <v>41</v>
      </c>
      <c r="K1034" t="s">
        <v>220</v>
      </c>
      <c r="L1034">
        <v>0.08</v>
      </c>
      <c r="M1034">
        <v>13.05</v>
      </c>
      <c r="N1034">
        <v>47459</v>
      </c>
      <c r="O1034">
        <v>38464</v>
      </c>
      <c r="P1034">
        <v>1.23</v>
      </c>
      <c r="Q1034">
        <v>235</v>
      </c>
      <c r="R1034">
        <v>885</v>
      </c>
      <c r="S1034" t="s">
        <v>3</v>
      </c>
      <c r="T1034">
        <v>20517.57</v>
      </c>
      <c r="U1034" t="s">
        <v>2868</v>
      </c>
      <c r="V1034" t="s">
        <v>1672</v>
      </c>
      <c r="W1034">
        <v>0.23</v>
      </c>
    </row>
    <row r="1035" spans="1:23">
      <c r="A1035" t="str">
        <f>"002572"</f>
        <v>002572</v>
      </c>
      <c r="B1035" t="s">
        <v>2869</v>
      </c>
      <c r="C1035">
        <v>18.899999999999999</v>
      </c>
      <c r="D1035">
        <v>19.05</v>
      </c>
      <c r="E1035">
        <v>18.5</v>
      </c>
      <c r="F1035">
        <v>18.73</v>
      </c>
      <c r="G1035">
        <v>25654</v>
      </c>
      <c r="H1035">
        <v>47908236</v>
      </c>
      <c r="I1035">
        <v>1.46</v>
      </c>
      <c r="J1035" t="s">
        <v>1183</v>
      </c>
      <c r="K1035" t="s">
        <v>211</v>
      </c>
      <c r="L1035">
        <v>-1.27</v>
      </c>
      <c r="M1035">
        <v>18.670000000000002</v>
      </c>
      <c r="N1035">
        <v>17119</v>
      </c>
      <c r="O1035">
        <v>8534</v>
      </c>
      <c r="P1035">
        <v>2.0099999999999998</v>
      </c>
      <c r="Q1035">
        <v>68</v>
      </c>
      <c r="R1035">
        <v>16</v>
      </c>
      <c r="S1035" t="s">
        <v>3</v>
      </c>
      <c r="T1035">
        <v>25138.69</v>
      </c>
      <c r="U1035" t="s">
        <v>2870</v>
      </c>
      <c r="V1035" t="s">
        <v>2871</v>
      </c>
      <c r="W1035">
        <v>-1.1100000000000001</v>
      </c>
    </row>
    <row r="1036" spans="1:23">
      <c r="A1036" t="str">
        <f>"002573"</f>
        <v>002573</v>
      </c>
      <c r="B1036" t="s">
        <v>2872</v>
      </c>
      <c r="C1036">
        <v>20.98</v>
      </c>
      <c r="D1036">
        <v>21.79</v>
      </c>
      <c r="E1036">
        <v>20.97</v>
      </c>
      <c r="F1036">
        <v>21.63</v>
      </c>
      <c r="G1036">
        <v>202316</v>
      </c>
      <c r="H1036">
        <v>435768416</v>
      </c>
      <c r="I1036">
        <v>1.62</v>
      </c>
      <c r="J1036" t="s">
        <v>462</v>
      </c>
      <c r="K1036" t="s">
        <v>34</v>
      </c>
      <c r="L1036">
        <v>4.09</v>
      </c>
      <c r="M1036">
        <v>21.54</v>
      </c>
      <c r="N1036">
        <v>93410</v>
      </c>
      <c r="O1036">
        <v>108906</v>
      </c>
      <c r="P1036">
        <v>0.86</v>
      </c>
      <c r="Q1036">
        <v>1676</v>
      </c>
      <c r="R1036">
        <v>1370</v>
      </c>
      <c r="S1036" t="s">
        <v>3</v>
      </c>
      <c r="T1036">
        <v>53143.42</v>
      </c>
      <c r="U1036" t="s">
        <v>2873</v>
      </c>
      <c r="V1036" t="s">
        <v>2874</v>
      </c>
      <c r="W1036">
        <v>4.25</v>
      </c>
    </row>
    <row r="1037" spans="1:23">
      <c r="A1037" t="str">
        <f>"002574"</f>
        <v>002574</v>
      </c>
      <c r="B1037" t="s">
        <v>2875</v>
      </c>
      <c r="C1037">
        <v>11.8</v>
      </c>
      <c r="D1037">
        <v>11.84</v>
      </c>
      <c r="E1037">
        <v>11.62</v>
      </c>
      <c r="F1037">
        <v>11.78</v>
      </c>
      <c r="G1037">
        <v>172975</v>
      </c>
      <c r="H1037">
        <v>202511856</v>
      </c>
      <c r="I1037">
        <v>0.87</v>
      </c>
      <c r="J1037" t="s">
        <v>1373</v>
      </c>
      <c r="K1037" t="s">
        <v>229</v>
      </c>
      <c r="L1037">
        <v>0.34</v>
      </c>
      <c r="M1037">
        <v>11.71</v>
      </c>
      <c r="N1037">
        <v>83643</v>
      </c>
      <c r="O1037">
        <v>89331</v>
      </c>
      <c r="P1037">
        <v>0.94</v>
      </c>
      <c r="Q1037">
        <v>1204</v>
      </c>
      <c r="R1037">
        <v>2606</v>
      </c>
      <c r="S1037" t="s">
        <v>3</v>
      </c>
      <c r="T1037">
        <v>52800</v>
      </c>
      <c r="U1037" t="s">
        <v>2876</v>
      </c>
      <c r="V1037" t="s">
        <v>2876</v>
      </c>
      <c r="W1037">
        <v>0.5</v>
      </c>
    </row>
    <row r="1038" spans="1:23">
      <c r="A1038" t="str">
        <f>"002575"</f>
        <v>002575</v>
      </c>
      <c r="B1038" t="s">
        <v>2877</v>
      </c>
      <c r="C1038">
        <v>14.55</v>
      </c>
      <c r="D1038">
        <v>15.12</v>
      </c>
      <c r="E1038">
        <v>14.26</v>
      </c>
      <c r="F1038">
        <v>14.9</v>
      </c>
      <c r="G1038">
        <v>69873</v>
      </c>
      <c r="H1038">
        <v>103122320</v>
      </c>
      <c r="I1038">
        <v>1.45</v>
      </c>
      <c r="J1038" t="s">
        <v>51</v>
      </c>
      <c r="K1038" t="s">
        <v>211</v>
      </c>
      <c r="L1038">
        <v>2.2599999999999998</v>
      </c>
      <c r="M1038">
        <v>14.76</v>
      </c>
      <c r="N1038">
        <v>34292</v>
      </c>
      <c r="O1038">
        <v>35580</v>
      </c>
      <c r="P1038">
        <v>0.96</v>
      </c>
      <c r="Q1038">
        <v>436</v>
      </c>
      <c r="R1038">
        <v>224</v>
      </c>
      <c r="S1038" t="s">
        <v>3</v>
      </c>
      <c r="T1038">
        <v>25960</v>
      </c>
      <c r="U1038" t="s">
        <v>2878</v>
      </c>
      <c r="V1038" t="s">
        <v>426</v>
      </c>
      <c r="W1038">
        <v>2.42</v>
      </c>
    </row>
    <row r="1039" spans="1:23">
      <c r="A1039" t="str">
        <f>"002576"</f>
        <v>002576</v>
      </c>
      <c r="B1039" t="s">
        <v>2879</v>
      </c>
      <c r="C1039">
        <v>14.1</v>
      </c>
      <c r="D1039">
        <v>14.38</v>
      </c>
      <c r="E1039">
        <v>13.94</v>
      </c>
      <c r="F1039">
        <v>14.22</v>
      </c>
      <c r="G1039">
        <v>49214</v>
      </c>
      <c r="H1039">
        <v>69842400</v>
      </c>
      <c r="I1039">
        <v>0.68</v>
      </c>
      <c r="J1039" t="s">
        <v>145</v>
      </c>
      <c r="K1039" t="s">
        <v>244</v>
      </c>
      <c r="L1039">
        <v>0.85</v>
      </c>
      <c r="M1039">
        <v>14.19</v>
      </c>
      <c r="N1039">
        <v>23364</v>
      </c>
      <c r="O1039">
        <v>25849</v>
      </c>
      <c r="P1039">
        <v>0.9</v>
      </c>
      <c r="Q1039">
        <v>94</v>
      </c>
      <c r="R1039">
        <v>190</v>
      </c>
      <c r="S1039" t="s">
        <v>3</v>
      </c>
      <c r="T1039">
        <v>11376.59</v>
      </c>
      <c r="U1039" t="s">
        <v>2880</v>
      </c>
      <c r="V1039" t="s">
        <v>639</v>
      </c>
      <c r="W1039">
        <v>1.01</v>
      </c>
    </row>
    <row r="1040" spans="1:23">
      <c r="A1040" t="str">
        <f>"002577"</f>
        <v>002577</v>
      </c>
      <c r="B1040" t="s">
        <v>2881</v>
      </c>
      <c r="C1040">
        <v>27.4</v>
      </c>
      <c r="D1040">
        <v>28.14</v>
      </c>
      <c r="E1040">
        <v>27.02</v>
      </c>
      <c r="F1040">
        <v>27.2</v>
      </c>
      <c r="G1040">
        <v>57623</v>
      </c>
      <c r="H1040">
        <v>159078176</v>
      </c>
      <c r="I1040">
        <v>1.57</v>
      </c>
      <c r="J1040" t="s">
        <v>66</v>
      </c>
      <c r="K1040" t="s">
        <v>2</v>
      </c>
      <c r="L1040">
        <v>-0.28999999999999998</v>
      </c>
      <c r="M1040">
        <v>27.61</v>
      </c>
      <c r="N1040">
        <v>30510</v>
      </c>
      <c r="O1040">
        <v>27113</v>
      </c>
      <c r="P1040">
        <v>1.1299999999999999</v>
      </c>
      <c r="Q1040">
        <v>68</v>
      </c>
      <c r="R1040">
        <v>12</v>
      </c>
      <c r="S1040" t="s">
        <v>3</v>
      </c>
      <c r="T1040">
        <v>28288</v>
      </c>
      <c r="U1040" t="s">
        <v>2882</v>
      </c>
      <c r="V1040" t="s">
        <v>2882</v>
      </c>
      <c r="W1040">
        <v>-0.13</v>
      </c>
    </row>
    <row r="1041" spans="1:23">
      <c r="A1041" t="str">
        <f>"002578"</f>
        <v>002578</v>
      </c>
      <c r="B1041" t="s">
        <v>2883</v>
      </c>
      <c r="C1041">
        <v>12.72</v>
      </c>
      <c r="D1041">
        <v>12.93</v>
      </c>
      <c r="E1041">
        <v>12.68</v>
      </c>
      <c r="F1041">
        <v>12.85</v>
      </c>
      <c r="G1041">
        <v>47324</v>
      </c>
      <c r="H1041">
        <v>60724700</v>
      </c>
      <c r="I1041">
        <v>1.17</v>
      </c>
      <c r="J1041" t="s">
        <v>632</v>
      </c>
      <c r="K1041" t="s">
        <v>414</v>
      </c>
      <c r="L1041">
        <v>0.78</v>
      </c>
      <c r="M1041">
        <v>12.83</v>
      </c>
      <c r="N1041">
        <v>23833</v>
      </c>
      <c r="O1041">
        <v>23491</v>
      </c>
      <c r="P1041">
        <v>1.01</v>
      </c>
      <c r="Q1041">
        <v>92</v>
      </c>
      <c r="R1041">
        <v>236</v>
      </c>
      <c r="S1041" t="s">
        <v>3</v>
      </c>
      <c r="T1041">
        <v>8903</v>
      </c>
      <c r="U1041" t="s">
        <v>2884</v>
      </c>
      <c r="V1041" t="s">
        <v>2885</v>
      </c>
      <c r="W1041">
        <v>0.94</v>
      </c>
    </row>
    <row r="1042" spans="1:23">
      <c r="A1042" t="str">
        <f>"002579"</f>
        <v>002579</v>
      </c>
      <c r="B1042" t="s">
        <v>2886</v>
      </c>
      <c r="C1042">
        <v>20.350000000000001</v>
      </c>
      <c r="D1042">
        <v>21.2</v>
      </c>
      <c r="E1042">
        <v>20.22</v>
      </c>
      <c r="F1042">
        <v>20.29</v>
      </c>
      <c r="G1042">
        <v>96913</v>
      </c>
      <c r="H1042">
        <v>199257296</v>
      </c>
      <c r="I1042">
        <v>1.27</v>
      </c>
      <c r="J1042" t="s">
        <v>62</v>
      </c>
      <c r="K1042" t="s">
        <v>211</v>
      </c>
      <c r="L1042">
        <v>0.74</v>
      </c>
      <c r="M1042">
        <v>20.56</v>
      </c>
      <c r="N1042">
        <v>52508</v>
      </c>
      <c r="O1042">
        <v>44404</v>
      </c>
      <c r="P1042">
        <v>1.18</v>
      </c>
      <c r="Q1042">
        <v>227</v>
      </c>
      <c r="R1042">
        <v>726</v>
      </c>
      <c r="S1042" t="s">
        <v>3</v>
      </c>
      <c r="T1042">
        <v>23364</v>
      </c>
      <c r="U1042" t="s">
        <v>2887</v>
      </c>
      <c r="V1042" t="s">
        <v>2887</v>
      </c>
      <c r="W1042">
        <v>0.9</v>
      </c>
    </row>
    <row r="1043" spans="1:23">
      <c r="A1043" t="str">
        <f>"002580"</f>
        <v>002580</v>
      </c>
      <c r="B1043" t="s">
        <v>2888</v>
      </c>
      <c r="C1043">
        <v>18.25</v>
      </c>
      <c r="D1043">
        <v>18.440000000000001</v>
      </c>
      <c r="E1043">
        <v>17.98</v>
      </c>
      <c r="F1043">
        <v>18.25</v>
      </c>
      <c r="G1043">
        <v>28178</v>
      </c>
      <c r="H1043">
        <v>51308636</v>
      </c>
      <c r="I1043">
        <v>0.63</v>
      </c>
      <c r="J1043" t="s">
        <v>145</v>
      </c>
      <c r="K1043" t="s">
        <v>250</v>
      </c>
      <c r="L1043">
        <v>0</v>
      </c>
      <c r="M1043">
        <v>18.21</v>
      </c>
      <c r="N1043">
        <v>13591</v>
      </c>
      <c r="O1043">
        <v>14586</v>
      </c>
      <c r="P1043">
        <v>0.93</v>
      </c>
      <c r="Q1043">
        <v>92</v>
      </c>
      <c r="R1043">
        <v>22</v>
      </c>
      <c r="S1043" t="s">
        <v>3</v>
      </c>
      <c r="T1043">
        <v>8209.24</v>
      </c>
      <c r="U1043" t="s">
        <v>393</v>
      </c>
      <c r="V1043" t="s">
        <v>2889</v>
      </c>
      <c r="W1043">
        <v>0.16</v>
      </c>
    </row>
    <row r="1044" spans="1:23">
      <c r="A1044" t="str">
        <f>"002581"</f>
        <v>002581</v>
      </c>
      <c r="B1044" t="s">
        <v>2890</v>
      </c>
      <c r="C1044">
        <v>39.22</v>
      </c>
      <c r="D1044">
        <v>40.479999999999997</v>
      </c>
      <c r="E1044">
        <v>37.520000000000003</v>
      </c>
      <c r="F1044">
        <v>39.4</v>
      </c>
      <c r="G1044">
        <v>167946</v>
      </c>
      <c r="H1044">
        <v>655372160</v>
      </c>
      <c r="I1044">
        <v>2.0099999999999998</v>
      </c>
      <c r="J1044" t="s">
        <v>376</v>
      </c>
      <c r="K1044" t="s">
        <v>250</v>
      </c>
      <c r="L1044">
        <v>0.31</v>
      </c>
      <c r="M1044">
        <v>39.020000000000003</v>
      </c>
      <c r="N1044">
        <v>75677</v>
      </c>
      <c r="O1044">
        <v>92269</v>
      </c>
      <c r="P1044">
        <v>0.82</v>
      </c>
      <c r="Q1044">
        <v>43</v>
      </c>
      <c r="R1044">
        <v>460</v>
      </c>
      <c r="S1044" t="s">
        <v>3</v>
      </c>
      <c r="T1044">
        <v>11314.66</v>
      </c>
      <c r="U1044" t="s">
        <v>2891</v>
      </c>
      <c r="V1044" t="s">
        <v>2892</v>
      </c>
      <c r="W1044">
        <v>0.46</v>
      </c>
    </row>
    <row r="1045" spans="1:23">
      <c r="A1045" t="str">
        <f>"002582"</f>
        <v>002582</v>
      </c>
      <c r="B1045" t="s">
        <v>2893</v>
      </c>
      <c r="C1045">
        <v>20.25</v>
      </c>
      <c r="D1045">
        <v>20.25</v>
      </c>
      <c r="E1045">
        <v>19.77</v>
      </c>
      <c r="F1045">
        <v>19.96</v>
      </c>
      <c r="G1045">
        <v>24442</v>
      </c>
      <c r="H1045">
        <v>48806544</v>
      </c>
      <c r="I1045">
        <v>0.75</v>
      </c>
      <c r="J1045" t="s">
        <v>421</v>
      </c>
      <c r="K1045" t="s">
        <v>254</v>
      </c>
      <c r="L1045">
        <v>-0.2</v>
      </c>
      <c r="M1045">
        <v>19.97</v>
      </c>
      <c r="N1045">
        <v>15002</v>
      </c>
      <c r="O1045">
        <v>9440</v>
      </c>
      <c r="P1045">
        <v>1.59</v>
      </c>
      <c r="Q1045">
        <v>4</v>
      </c>
      <c r="R1045">
        <v>33</v>
      </c>
      <c r="S1045" t="s">
        <v>3</v>
      </c>
      <c r="T1045">
        <v>9155.75</v>
      </c>
      <c r="U1045" t="s">
        <v>2894</v>
      </c>
      <c r="V1045" t="s">
        <v>48</v>
      </c>
      <c r="W1045">
        <v>-0.04</v>
      </c>
    </row>
    <row r="1046" spans="1:23">
      <c r="A1046" t="str">
        <f>"002583"</f>
        <v>002583</v>
      </c>
      <c r="B1046" t="s">
        <v>2895</v>
      </c>
      <c r="C1046">
        <v>29.39</v>
      </c>
      <c r="D1046">
        <v>29.8</v>
      </c>
      <c r="E1046">
        <v>29.1</v>
      </c>
      <c r="F1046">
        <v>29.42</v>
      </c>
      <c r="G1046">
        <v>71773</v>
      </c>
      <c r="H1046">
        <v>211170944</v>
      </c>
      <c r="I1046">
        <v>0.94</v>
      </c>
      <c r="J1046" t="s">
        <v>112</v>
      </c>
      <c r="K1046" t="s">
        <v>2</v>
      </c>
      <c r="L1046">
        <v>-0.24</v>
      </c>
      <c r="M1046">
        <v>29.42</v>
      </c>
      <c r="N1046">
        <v>37534</v>
      </c>
      <c r="O1046">
        <v>34239</v>
      </c>
      <c r="P1046">
        <v>1.1000000000000001</v>
      </c>
      <c r="Q1046">
        <v>46</v>
      </c>
      <c r="R1046">
        <v>172</v>
      </c>
      <c r="S1046" t="s">
        <v>3</v>
      </c>
      <c r="T1046">
        <v>14823.24</v>
      </c>
      <c r="U1046" t="s">
        <v>2896</v>
      </c>
      <c r="V1046" t="s">
        <v>2897</v>
      </c>
      <c r="W1046">
        <v>-0.08</v>
      </c>
    </row>
    <row r="1047" spans="1:23">
      <c r="A1047" t="str">
        <f>"002584"</f>
        <v>002584</v>
      </c>
      <c r="B1047" t="s">
        <v>2898</v>
      </c>
      <c r="C1047">
        <v>17.21</v>
      </c>
      <c r="D1047">
        <v>17.78</v>
      </c>
      <c r="E1047">
        <v>17.18</v>
      </c>
      <c r="F1047">
        <v>17.579999999999998</v>
      </c>
      <c r="G1047">
        <v>31705</v>
      </c>
      <c r="H1047">
        <v>55642952</v>
      </c>
      <c r="I1047">
        <v>1.2</v>
      </c>
      <c r="J1047" t="s">
        <v>376</v>
      </c>
      <c r="K1047" t="s">
        <v>211</v>
      </c>
      <c r="L1047">
        <v>2.15</v>
      </c>
      <c r="M1047">
        <v>17.55</v>
      </c>
      <c r="N1047">
        <v>13449</v>
      </c>
      <c r="O1047">
        <v>18255</v>
      </c>
      <c r="P1047">
        <v>0.74</v>
      </c>
      <c r="Q1047">
        <v>16</v>
      </c>
      <c r="R1047">
        <v>33</v>
      </c>
      <c r="S1047" t="s">
        <v>3</v>
      </c>
      <c r="T1047">
        <v>8958.2000000000007</v>
      </c>
      <c r="U1047" t="s">
        <v>664</v>
      </c>
      <c r="V1047" t="s">
        <v>2899</v>
      </c>
      <c r="W1047">
        <v>2.31</v>
      </c>
    </row>
    <row r="1048" spans="1:23">
      <c r="A1048" t="str">
        <f>"002585"</f>
        <v>002585</v>
      </c>
      <c r="B1048" t="s">
        <v>2900</v>
      </c>
      <c r="C1048">
        <v>14.9</v>
      </c>
      <c r="D1048">
        <v>15.49</v>
      </c>
      <c r="E1048">
        <v>14.6</v>
      </c>
      <c r="F1048">
        <v>15</v>
      </c>
      <c r="G1048">
        <v>77839</v>
      </c>
      <c r="H1048">
        <v>115682544</v>
      </c>
      <c r="I1048">
        <v>1.45</v>
      </c>
      <c r="J1048" t="s">
        <v>273</v>
      </c>
      <c r="K1048" t="s">
        <v>244</v>
      </c>
      <c r="L1048">
        <v>0.81</v>
      </c>
      <c r="M1048">
        <v>14.86</v>
      </c>
      <c r="N1048">
        <v>42102</v>
      </c>
      <c r="O1048">
        <v>35736</v>
      </c>
      <c r="P1048">
        <v>1.18</v>
      </c>
      <c r="Q1048">
        <v>192</v>
      </c>
      <c r="R1048">
        <v>85</v>
      </c>
      <c r="S1048" t="s">
        <v>3</v>
      </c>
      <c r="T1048">
        <v>28100</v>
      </c>
      <c r="U1048" t="s">
        <v>2901</v>
      </c>
      <c r="V1048" t="s">
        <v>2902</v>
      </c>
      <c r="W1048">
        <v>0.96</v>
      </c>
    </row>
    <row r="1049" spans="1:23">
      <c r="A1049" t="str">
        <f>"002586"</f>
        <v>002586</v>
      </c>
      <c r="B1049" t="s">
        <v>2903</v>
      </c>
      <c r="C1049">
        <v>13.12</v>
      </c>
      <c r="D1049">
        <v>13.17</v>
      </c>
      <c r="E1049">
        <v>13</v>
      </c>
      <c r="F1049">
        <v>13.06</v>
      </c>
      <c r="G1049">
        <v>40495</v>
      </c>
      <c r="H1049">
        <v>52947340</v>
      </c>
      <c r="I1049">
        <v>0.87</v>
      </c>
      <c r="J1049" t="s">
        <v>33</v>
      </c>
      <c r="K1049" t="s">
        <v>229</v>
      </c>
      <c r="L1049">
        <v>-0.61</v>
      </c>
      <c r="M1049">
        <v>13.07</v>
      </c>
      <c r="N1049">
        <v>23721</v>
      </c>
      <c r="O1049">
        <v>16774</v>
      </c>
      <c r="P1049">
        <v>1.41</v>
      </c>
      <c r="Q1049">
        <v>251</v>
      </c>
      <c r="R1049">
        <v>100</v>
      </c>
      <c r="S1049" t="s">
        <v>3</v>
      </c>
      <c r="T1049">
        <v>28001.89</v>
      </c>
      <c r="U1049" t="s">
        <v>2904</v>
      </c>
      <c r="V1049" t="s">
        <v>2905</v>
      </c>
      <c r="W1049">
        <v>-0.45</v>
      </c>
    </row>
    <row r="1050" spans="1:23">
      <c r="A1050" t="str">
        <f>"002587"</f>
        <v>002587</v>
      </c>
      <c r="B1050" t="s">
        <v>2906</v>
      </c>
      <c r="C1050">
        <v>14.92</v>
      </c>
      <c r="D1050">
        <v>15.01</v>
      </c>
      <c r="E1050">
        <v>14.73</v>
      </c>
      <c r="F1050">
        <v>14.88</v>
      </c>
      <c r="G1050">
        <v>34656</v>
      </c>
      <c r="H1050">
        <v>51450132</v>
      </c>
      <c r="I1050">
        <v>0.71</v>
      </c>
      <c r="J1050" t="s">
        <v>62</v>
      </c>
      <c r="K1050" t="s">
        <v>2</v>
      </c>
      <c r="L1050">
        <v>-0.8</v>
      </c>
      <c r="M1050">
        <v>14.85</v>
      </c>
      <c r="N1050">
        <v>20941</v>
      </c>
      <c r="O1050">
        <v>13714</v>
      </c>
      <c r="P1050">
        <v>1.53</v>
      </c>
      <c r="Q1050">
        <v>54</v>
      </c>
      <c r="R1050">
        <v>336</v>
      </c>
      <c r="S1050" t="s">
        <v>3</v>
      </c>
      <c r="T1050">
        <v>13989.58</v>
      </c>
      <c r="U1050" t="s">
        <v>2907</v>
      </c>
      <c r="V1050" t="s">
        <v>2908</v>
      </c>
      <c r="W1050">
        <v>-0.64</v>
      </c>
    </row>
    <row r="1051" spans="1:23">
      <c r="A1051" t="str">
        <f>"002588"</f>
        <v>002588</v>
      </c>
      <c r="B1051" t="s">
        <v>2909</v>
      </c>
      <c r="C1051">
        <v>25.19</v>
      </c>
      <c r="D1051">
        <v>25.19</v>
      </c>
      <c r="E1051">
        <v>24.86</v>
      </c>
      <c r="F1051">
        <v>25</v>
      </c>
      <c r="G1051">
        <v>21231</v>
      </c>
      <c r="H1051">
        <v>53042092</v>
      </c>
      <c r="I1051">
        <v>0.81</v>
      </c>
      <c r="J1051" t="s">
        <v>224</v>
      </c>
      <c r="K1051" t="s">
        <v>250</v>
      </c>
      <c r="L1051">
        <v>-0.75</v>
      </c>
      <c r="M1051">
        <v>24.98</v>
      </c>
      <c r="N1051">
        <v>12536</v>
      </c>
      <c r="O1051">
        <v>8694</v>
      </c>
      <c r="P1051">
        <v>1.44</v>
      </c>
      <c r="Q1051">
        <v>463</v>
      </c>
      <c r="R1051">
        <v>10</v>
      </c>
      <c r="S1051" t="s">
        <v>3</v>
      </c>
      <c r="T1051">
        <v>16462.27</v>
      </c>
      <c r="U1051" t="s">
        <v>2910</v>
      </c>
      <c r="V1051" t="s">
        <v>2911</v>
      </c>
      <c r="W1051">
        <v>-0.6</v>
      </c>
    </row>
    <row r="1052" spans="1:23">
      <c r="A1052" t="str">
        <f>"002589"</f>
        <v>002589</v>
      </c>
      <c r="B1052" t="s">
        <v>2912</v>
      </c>
      <c r="C1052">
        <v>31.31</v>
      </c>
      <c r="D1052">
        <v>31.69</v>
      </c>
      <c r="E1052">
        <v>31.2</v>
      </c>
      <c r="F1052">
        <v>31.68</v>
      </c>
      <c r="G1052">
        <v>7046</v>
      </c>
      <c r="H1052">
        <v>22206984</v>
      </c>
      <c r="I1052">
        <v>0.7</v>
      </c>
      <c r="J1052" t="s">
        <v>91</v>
      </c>
      <c r="K1052" t="s">
        <v>250</v>
      </c>
      <c r="L1052">
        <v>0.73</v>
      </c>
      <c r="M1052">
        <v>31.52</v>
      </c>
      <c r="N1052">
        <v>3380</v>
      </c>
      <c r="O1052">
        <v>3666</v>
      </c>
      <c r="P1052">
        <v>0.92</v>
      </c>
      <c r="Q1052">
        <v>18</v>
      </c>
      <c r="R1052">
        <v>126</v>
      </c>
      <c r="S1052" t="s">
        <v>3</v>
      </c>
      <c r="T1052">
        <v>11486.7</v>
      </c>
      <c r="U1052" t="s">
        <v>2913</v>
      </c>
      <c r="V1052" t="s">
        <v>1276</v>
      </c>
      <c r="W1052">
        <v>0.89</v>
      </c>
    </row>
    <row r="1053" spans="1:23">
      <c r="A1053" t="str">
        <f>"002590"</f>
        <v>002590</v>
      </c>
      <c r="B1053" t="s">
        <v>2914</v>
      </c>
      <c r="C1053">
        <v>13.06</v>
      </c>
      <c r="D1053">
        <v>13.1</v>
      </c>
      <c r="E1053">
        <v>12.8</v>
      </c>
      <c r="F1053">
        <v>12.97</v>
      </c>
      <c r="G1053">
        <v>26772</v>
      </c>
      <c r="H1053">
        <v>34740936</v>
      </c>
      <c r="I1053">
        <v>0.85</v>
      </c>
      <c r="J1053" t="s">
        <v>98</v>
      </c>
      <c r="K1053" t="s">
        <v>229</v>
      </c>
      <c r="L1053">
        <v>-0.38</v>
      </c>
      <c r="M1053">
        <v>12.98</v>
      </c>
      <c r="N1053">
        <v>14451</v>
      </c>
      <c r="O1053">
        <v>12321</v>
      </c>
      <c r="P1053">
        <v>1.17</v>
      </c>
      <c r="Q1053">
        <v>102</v>
      </c>
      <c r="R1053">
        <v>89</v>
      </c>
      <c r="S1053" t="s">
        <v>3</v>
      </c>
      <c r="T1053">
        <v>17945.349999999999</v>
      </c>
      <c r="U1053" t="s">
        <v>2915</v>
      </c>
      <c r="V1053" t="s">
        <v>2916</v>
      </c>
      <c r="W1053">
        <v>-0.23</v>
      </c>
    </row>
    <row r="1054" spans="1:23">
      <c r="A1054" t="str">
        <f>"002591"</f>
        <v>002591</v>
      </c>
      <c r="B1054" t="s">
        <v>2917</v>
      </c>
      <c r="C1054">
        <v>8.5</v>
      </c>
      <c r="D1054">
        <v>8.84</v>
      </c>
      <c r="E1054">
        <v>8.44</v>
      </c>
      <c r="F1054">
        <v>8.84</v>
      </c>
      <c r="G1054">
        <v>104731</v>
      </c>
      <c r="H1054">
        <v>90833872</v>
      </c>
      <c r="I1054">
        <v>1.97</v>
      </c>
      <c r="J1054" t="s">
        <v>398</v>
      </c>
      <c r="K1054" t="s">
        <v>265</v>
      </c>
      <c r="L1054">
        <v>3.51</v>
      </c>
      <c r="M1054">
        <v>8.67</v>
      </c>
      <c r="N1054">
        <v>41990</v>
      </c>
      <c r="O1054">
        <v>62741</v>
      </c>
      <c r="P1054">
        <v>0.67</v>
      </c>
      <c r="Q1054">
        <v>110</v>
      </c>
      <c r="R1054">
        <v>917</v>
      </c>
      <c r="S1054" t="s">
        <v>3</v>
      </c>
      <c r="T1054">
        <v>14914.03</v>
      </c>
      <c r="U1054" t="s">
        <v>2286</v>
      </c>
      <c r="V1054" t="s">
        <v>2742</v>
      </c>
      <c r="W1054">
        <v>3.67</v>
      </c>
    </row>
    <row r="1055" spans="1:23">
      <c r="A1055" t="str">
        <f>"002592"</f>
        <v>002592</v>
      </c>
      <c r="B1055" t="s">
        <v>2918</v>
      </c>
      <c r="C1055">
        <v>14.78</v>
      </c>
      <c r="D1055">
        <v>15.16</v>
      </c>
      <c r="E1055">
        <v>14.67</v>
      </c>
      <c r="F1055">
        <v>15</v>
      </c>
      <c r="G1055">
        <v>18532</v>
      </c>
      <c r="H1055">
        <v>27726774</v>
      </c>
      <c r="I1055">
        <v>1.1399999999999999</v>
      </c>
      <c r="J1055" t="s">
        <v>1208</v>
      </c>
      <c r="K1055" t="s">
        <v>417</v>
      </c>
      <c r="L1055">
        <v>1.56</v>
      </c>
      <c r="M1055">
        <v>14.96</v>
      </c>
      <c r="N1055">
        <v>9146</v>
      </c>
      <c r="O1055">
        <v>9386</v>
      </c>
      <c r="P1055">
        <v>0.97</v>
      </c>
      <c r="Q1055">
        <v>39</v>
      </c>
      <c r="R1055">
        <v>204</v>
      </c>
      <c r="S1055" t="s">
        <v>3</v>
      </c>
      <c r="T1055">
        <v>6002.87</v>
      </c>
      <c r="U1055" t="s">
        <v>2919</v>
      </c>
      <c r="V1055" t="s">
        <v>2920</v>
      </c>
      <c r="W1055">
        <v>1.72</v>
      </c>
    </row>
    <row r="1056" spans="1:23">
      <c r="A1056" t="str">
        <f>"002593"</f>
        <v>002593</v>
      </c>
      <c r="B1056" t="s">
        <v>2921</v>
      </c>
      <c r="C1056">
        <v>11.4</v>
      </c>
      <c r="D1056">
        <v>11.58</v>
      </c>
      <c r="E1056">
        <v>11.22</v>
      </c>
      <c r="F1056">
        <v>11.58</v>
      </c>
      <c r="G1056">
        <v>30033</v>
      </c>
      <c r="H1056">
        <v>34200928</v>
      </c>
      <c r="I1056">
        <v>0.85</v>
      </c>
      <c r="J1056" t="s">
        <v>98</v>
      </c>
      <c r="K1056" t="s">
        <v>414</v>
      </c>
      <c r="L1056">
        <v>1.1399999999999999</v>
      </c>
      <c r="M1056">
        <v>11.39</v>
      </c>
      <c r="N1056">
        <v>16067</v>
      </c>
      <c r="O1056">
        <v>13965</v>
      </c>
      <c r="P1056">
        <v>1.1499999999999999</v>
      </c>
      <c r="Q1056">
        <v>119</v>
      </c>
      <c r="R1056">
        <v>236</v>
      </c>
      <c r="S1056" t="s">
        <v>3</v>
      </c>
      <c r="T1056">
        <v>13042.04</v>
      </c>
      <c r="U1056" t="s">
        <v>2922</v>
      </c>
      <c r="V1056" t="s">
        <v>2449</v>
      </c>
      <c r="W1056">
        <v>1.29</v>
      </c>
    </row>
    <row r="1057" spans="1:23">
      <c r="A1057" t="str">
        <f>"002594"</f>
        <v>002594</v>
      </c>
      <c r="B1057" t="s">
        <v>2923</v>
      </c>
      <c r="C1057">
        <v>51.81</v>
      </c>
      <c r="D1057">
        <v>54.29</v>
      </c>
      <c r="E1057">
        <v>51.79</v>
      </c>
      <c r="F1057">
        <v>54.13</v>
      </c>
      <c r="G1057">
        <v>105488</v>
      </c>
      <c r="H1057">
        <v>555227392</v>
      </c>
      <c r="I1057">
        <v>2.36</v>
      </c>
      <c r="J1057" t="s">
        <v>476</v>
      </c>
      <c r="K1057" t="s">
        <v>2</v>
      </c>
      <c r="L1057">
        <v>4.5999999999999996</v>
      </c>
      <c r="M1057">
        <v>52.63</v>
      </c>
      <c r="N1057">
        <v>42583</v>
      </c>
      <c r="O1057">
        <v>62904</v>
      </c>
      <c r="P1057">
        <v>0.68</v>
      </c>
      <c r="Q1057">
        <v>26</v>
      </c>
      <c r="R1057">
        <v>2022</v>
      </c>
      <c r="S1057" t="s">
        <v>3</v>
      </c>
      <c r="T1057">
        <v>65973.240000000005</v>
      </c>
      <c r="U1057" t="s">
        <v>2924</v>
      </c>
      <c r="V1057" t="s">
        <v>2925</v>
      </c>
      <c r="W1057">
        <v>4.76</v>
      </c>
    </row>
    <row r="1058" spans="1:23">
      <c r="A1058" t="str">
        <f>"002595"</f>
        <v>002595</v>
      </c>
      <c r="B1058" t="s">
        <v>2926</v>
      </c>
      <c r="C1058">
        <v>26.5</v>
      </c>
      <c r="D1058">
        <v>26.99</v>
      </c>
      <c r="E1058">
        <v>25.79</v>
      </c>
      <c r="F1058">
        <v>26.7</v>
      </c>
      <c r="G1058">
        <v>59776</v>
      </c>
      <c r="H1058">
        <v>157662688</v>
      </c>
      <c r="I1058">
        <v>1.22</v>
      </c>
      <c r="J1058" t="s">
        <v>269</v>
      </c>
      <c r="K1058" t="s">
        <v>250</v>
      </c>
      <c r="L1058">
        <v>0.83</v>
      </c>
      <c r="M1058">
        <v>26.38</v>
      </c>
      <c r="N1058">
        <v>31789</v>
      </c>
      <c r="O1058">
        <v>27986</v>
      </c>
      <c r="P1058">
        <v>1.1399999999999999</v>
      </c>
      <c r="Q1058">
        <v>270</v>
      </c>
      <c r="R1058">
        <v>239</v>
      </c>
      <c r="S1058" t="s">
        <v>3</v>
      </c>
      <c r="T1058">
        <v>22461.53</v>
      </c>
      <c r="U1058" t="s">
        <v>2927</v>
      </c>
      <c r="V1058" t="s">
        <v>2928</v>
      </c>
      <c r="W1058">
        <v>0.99</v>
      </c>
    </row>
    <row r="1059" spans="1:23">
      <c r="A1059" t="str">
        <f>"002596"</f>
        <v>002596</v>
      </c>
      <c r="B1059" t="s">
        <v>2929</v>
      </c>
      <c r="C1059">
        <v>10.029999999999999</v>
      </c>
      <c r="D1059">
        <v>10.029999999999999</v>
      </c>
      <c r="E1059">
        <v>10.029999999999999</v>
      </c>
      <c r="F1059">
        <v>10.029999999999999</v>
      </c>
      <c r="G1059">
        <v>2925</v>
      </c>
      <c r="H1059">
        <v>2933344</v>
      </c>
      <c r="I1059">
        <v>0.06</v>
      </c>
      <c r="J1059" t="s">
        <v>150</v>
      </c>
      <c r="K1059" t="s">
        <v>356</v>
      </c>
      <c r="L1059">
        <v>9.98</v>
      </c>
      <c r="M1059">
        <v>10.029999999999999</v>
      </c>
      <c r="N1059">
        <v>2646</v>
      </c>
      <c r="O1059">
        <v>278</v>
      </c>
      <c r="P1059">
        <v>9.52</v>
      </c>
      <c r="Q1059">
        <v>60085</v>
      </c>
      <c r="R1059">
        <v>0</v>
      </c>
      <c r="S1059" t="s">
        <v>3</v>
      </c>
      <c r="T1059">
        <v>16256.37</v>
      </c>
      <c r="U1059" t="s">
        <v>582</v>
      </c>
      <c r="V1059" t="s">
        <v>2930</v>
      </c>
      <c r="W1059">
        <v>10.14</v>
      </c>
    </row>
    <row r="1060" spans="1:23">
      <c r="A1060" t="str">
        <f>"002597"</f>
        <v>002597</v>
      </c>
      <c r="B1060" t="s">
        <v>2931</v>
      </c>
      <c r="C1060" t="s">
        <v>3</v>
      </c>
      <c r="D1060" t="s">
        <v>3</v>
      </c>
      <c r="E1060" t="s">
        <v>3</v>
      </c>
      <c r="F1060">
        <v>0</v>
      </c>
      <c r="G1060">
        <v>0</v>
      </c>
      <c r="H1060">
        <v>0</v>
      </c>
      <c r="I1060">
        <v>0</v>
      </c>
      <c r="J1060" t="s">
        <v>376</v>
      </c>
      <c r="K1060" t="s">
        <v>220</v>
      </c>
      <c r="L1060" t="s">
        <v>3</v>
      </c>
      <c r="M1060">
        <v>15.56</v>
      </c>
      <c r="N1060">
        <v>0</v>
      </c>
      <c r="O1060">
        <v>0</v>
      </c>
      <c r="P1060" t="s">
        <v>3</v>
      </c>
      <c r="Q1060">
        <v>0</v>
      </c>
      <c r="R1060">
        <v>0</v>
      </c>
      <c r="S1060" t="s">
        <v>3</v>
      </c>
      <c r="T1060">
        <v>27548.77</v>
      </c>
      <c r="U1060" t="s">
        <v>2932</v>
      </c>
      <c r="V1060" t="s">
        <v>2933</v>
      </c>
      <c r="W1060">
        <v>0.16</v>
      </c>
    </row>
    <row r="1061" spans="1:23">
      <c r="A1061" t="str">
        <f>"002598"</f>
        <v>002598</v>
      </c>
      <c r="B1061" t="s">
        <v>2934</v>
      </c>
      <c r="C1061">
        <v>8.86</v>
      </c>
      <c r="D1061">
        <v>8.92</v>
      </c>
      <c r="E1061">
        <v>8.73</v>
      </c>
      <c r="F1061">
        <v>8.9</v>
      </c>
      <c r="G1061">
        <v>81516</v>
      </c>
      <c r="H1061">
        <v>71951112</v>
      </c>
      <c r="I1061">
        <v>0.92</v>
      </c>
      <c r="J1061" t="s">
        <v>398</v>
      </c>
      <c r="K1061" t="s">
        <v>250</v>
      </c>
      <c r="L1061">
        <v>0.45</v>
      </c>
      <c r="M1061">
        <v>8.83</v>
      </c>
      <c r="N1061">
        <v>41614</v>
      </c>
      <c r="O1061">
        <v>39902</v>
      </c>
      <c r="P1061">
        <v>1.04</v>
      </c>
      <c r="Q1061">
        <v>152</v>
      </c>
      <c r="R1061">
        <v>251</v>
      </c>
      <c r="S1061" t="s">
        <v>3</v>
      </c>
      <c r="T1061">
        <v>26322.46</v>
      </c>
      <c r="U1061" t="s">
        <v>650</v>
      </c>
      <c r="V1061" t="s">
        <v>2935</v>
      </c>
      <c r="W1061">
        <v>0.61</v>
      </c>
    </row>
    <row r="1062" spans="1:23">
      <c r="A1062" t="str">
        <f>"002599"</f>
        <v>002599</v>
      </c>
      <c r="B1062" t="s">
        <v>2936</v>
      </c>
      <c r="C1062">
        <v>16.489999999999998</v>
      </c>
      <c r="D1062">
        <v>16.5</v>
      </c>
      <c r="E1062">
        <v>16.21</v>
      </c>
      <c r="F1062">
        <v>16.350000000000001</v>
      </c>
      <c r="G1062">
        <v>14983</v>
      </c>
      <c r="H1062">
        <v>24455718</v>
      </c>
      <c r="I1062">
        <v>0.43</v>
      </c>
      <c r="J1062" t="s">
        <v>707</v>
      </c>
      <c r="K1062" t="s">
        <v>34</v>
      </c>
      <c r="L1062">
        <v>-0.73</v>
      </c>
      <c r="M1062">
        <v>16.32</v>
      </c>
      <c r="N1062">
        <v>8905</v>
      </c>
      <c r="O1062">
        <v>6077</v>
      </c>
      <c r="P1062">
        <v>1.47</v>
      </c>
      <c r="Q1062">
        <v>127</v>
      </c>
      <c r="R1062">
        <v>141</v>
      </c>
      <c r="S1062" t="s">
        <v>3</v>
      </c>
      <c r="T1062">
        <v>8756.25</v>
      </c>
      <c r="U1062" t="s">
        <v>2937</v>
      </c>
      <c r="V1062" t="s">
        <v>2930</v>
      </c>
      <c r="W1062">
        <v>-0.56999999999999995</v>
      </c>
    </row>
    <row r="1063" spans="1:23">
      <c r="A1063" t="str">
        <f>"002600"</f>
        <v>002600</v>
      </c>
      <c r="B1063" t="s">
        <v>2938</v>
      </c>
      <c r="C1063">
        <v>12.05</v>
      </c>
      <c r="D1063">
        <v>12.43</v>
      </c>
      <c r="E1063">
        <v>11.89</v>
      </c>
      <c r="F1063">
        <v>12.38</v>
      </c>
      <c r="G1063">
        <v>226439</v>
      </c>
      <c r="H1063">
        <v>276988608</v>
      </c>
      <c r="I1063">
        <v>1.02</v>
      </c>
      <c r="J1063" t="s">
        <v>62</v>
      </c>
      <c r="K1063" t="s">
        <v>211</v>
      </c>
      <c r="L1063">
        <v>3.08</v>
      </c>
      <c r="M1063">
        <v>12.23</v>
      </c>
      <c r="N1063">
        <v>102222</v>
      </c>
      <c r="O1063">
        <v>124216</v>
      </c>
      <c r="P1063">
        <v>0.82</v>
      </c>
      <c r="Q1063">
        <v>458</v>
      </c>
      <c r="R1063">
        <v>846</v>
      </c>
      <c r="S1063" t="s">
        <v>3</v>
      </c>
      <c r="T1063">
        <v>19421.830000000002</v>
      </c>
      <c r="U1063" t="s">
        <v>2939</v>
      </c>
      <c r="V1063" t="s">
        <v>2940</v>
      </c>
      <c r="W1063">
        <v>3.24</v>
      </c>
    </row>
    <row r="1064" spans="1:23">
      <c r="A1064" t="str">
        <f>"002601"</f>
        <v>002601</v>
      </c>
      <c r="B1064" t="s">
        <v>2941</v>
      </c>
      <c r="C1064">
        <v>22.01</v>
      </c>
      <c r="D1064">
        <v>22.02</v>
      </c>
      <c r="E1064">
        <v>21.61</v>
      </c>
      <c r="F1064">
        <v>21.65</v>
      </c>
      <c r="G1064">
        <v>33648</v>
      </c>
      <c r="H1064">
        <v>73033352</v>
      </c>
      <c r="I1064">
        <v>0.92</v>
      </c>
      <c r="J1064" t="s">
        <v>376</v>
      </c>
      <c r="K1064" t="s">
        <v>254</v>
      </c>
      <c r="L1064">
        <v>-1.1000000000000001</v>
      </c>
      <c r="M1064">
        <v>21.71</v>
      </c>
      <c r="N1064">
        <v>18508</v>
      </c>
      <c r="O1064">
        <v>15139</v>
      </c>
      <c r="P1064">
        <v>1.22</v>
      </c>
      <c r="Q1064">
        <v>220</v>
      </c>
      <c r="R1064">
        <v>207</v>
      </c>
      <c r="S1064" t="s">
        <v>3</v>
      </c>
      <c r="T1064">
        <v>16341.03</v>
      </c>
      <c r="U1064" t="s">
        <v>2942</v>
      </c>
      <c r="V1064" t="s">
        <v>2943</v>
      </c>
      <c r="W1064">
        <v>-0.94</v>
      </c>
    </row>
    <row r="1065" spans="1:23">
      <c r="A1065" t="str">
        <f>"002602"</f>
        <v>002602</v>
      </c>
      <c r="B1065" t="s">
        <v>2944</v>
      </c>
      <c r="C1065">
        <v>21.93</v>
      </c>
      <c r="D1065">
        <v>22.17</v>
      </c>
      <c r="E1065">
        <v>21.49</v>
      </c>
      <c r="F1065">
        <v>21.7</v>
      </c>
      <c r="G1065">
        <v>17785</v>
      </c>
      <c r="H1065">
        <v>38517396</v>
      </c>
      <c r="I1065">
        <v>0.49</v>
      </c>
      <c r="J1065" t="s">
        <v>98</v>
      </c>
      <c r="K1065" t="s">
        <v>229</v>
      </c>
      <c r="L1065">
        <v>-0.91</v>
      </c>
      <c r="M1065">
        <v>21.66</v>
      </c>
      <c r="N1065">
        <v>11396</v>
      </c>
      <c r="O1065">
        <v>6389</v>
      </c>
      <c r="P1065">
        <v>1.78</v>
      </c>
      <c r="Q1065">
        <v>139</v>
      </c>
      <c r="R1065">
        <v>68</v>
      </c>
      <c r="S1065" t="s">
        <v>3</v>
      </c>
      <c r="T1065">
        <v>12600</v>
      </c>
      <c r="U1065" t="s">
        <v>2945</v>
      </c>
      <c r="V1065" t="s">
        <v>2946</v>
      </c>
      <c r="W1065">
        <v>-0.75</v>
      </c>
    </row>
    <row r="1066" spans="1:23">
      <c r="A1066" t="str">
        <f>"002603"</f>
        <v>002603</v>
      </c>
      <c r="B1066" t="s">
        <v>2947</v>
      </c>
      <c r="C1066">
        <v>31.73</v>
      </c>
      <c r="D1066">
        <v>32.58</v>
      </c>
      <c r="E1066">
        <v>31.7</v>
      </c>
      <c r="F1066">
        <v>32.42</v>
      </c>
      <c r="G1066">
        <v>69414</v>
      </c>
      <c r="H1066">
        <v>223739248</v>
      </c>
      <c r="I1066">
        <v>1.63</v>
      </c>
      <c r="J1066" t="s">
        <v>321</v>
      </c>
      <c r="K1066" t="s">
        <v>238</v>
      </c>
      <c r="L1066">
        <v>2.17</v>
      </c>
      <c r="M1066">
        <v>32.229999999999997</v>
      </c>
      <c r="N1066">
        <v>31548</v>
      </c>
      <c r="O1066">
        <v>37866</v>
      </c>
      <c r="P1066">
        <v>0.83</v>
      </c>
      <c r="Q1066">
        <v>38</v>
      </c>
      <c r="R1066">
        <v>149</v>
      </c>
      <c r="S1066" t="s">
        <v>3</v>
      </c>
      <c r="T1066">
        <v>19244.43</v>
      </c>
      <c r="U1066" t="s">
        <v>2948</v>
      </c>
      <c r="V1066" t="s">
        <v>2949</v>
      </c>
      <c r="W1066">
        <v>2.33</v>
      </c>
    </row>
    <row r="1067" spans="1:23">
      <c r="A1067" t="str">
        <f>"002604"</f>
        <v>002604</v>
      </c>
      <c r="B1067" t="s">
        <v>2950</v>
      </c>
      <c r="C1067">
        <v>14.3</v>
      </c>
      <c r="D1067">
        <v>14.74</v>
      </c>
      <c r="E1067">
        <v>14.16</v>
      </c>
      <c r="F1067">
        <v>14.54</v>
      </c>
      <c r="G1067">
        <v>100352</v>
      </c>
      <c r="H1067">
        <v>144826576</v>
      </c>
      <c r="I1067">
        <v>1.18</v>
      </c>
      <c r="J1067" t="s">
        <v>421</v>
      </c>
      <c r="K1067" t="s">
        <v>250</v>
      </c>
      <c r="L1067">
        <v>0.62</v>
      </c>
      <c r="M1067">
        <v>14.43</v>
      </c>
      <c r="N1067">
        <v>53859</v>
      </c>
      <c r="O1067">
        <v>46493</v>
      </c>
      <c r="P1067">
        <v>1.1599999999999999</v>
      </c>
      <c r="Q1067">
        <v>5</v>
      </c>
      <c r="R1067">
        <v>221</v>
      </c>
      <c r="S1067" t="s">
        <v>3</v>
      </c>
      <c r="T1067">
        <v>25815.73</v>
      </c>
      <c r="U1067" t="s">
        <v>2951</v>
      </c>
      <c r="V1067" t="s">
        <v>1006</v>
      </c>
      <c r="W1067">
        <v>0.78</v>
      </c>
    </row>
    <row r="1068" spans="1:23">
      <c r="A1068" t="str">
        <f>"002605"</f>
        <v>002605</v>
      </c>
      <c r="B1068" t="s">
        <v>2952</v>
      </c>
      <c r="C1068">
        <v>32.299999999999997</v>
      </c>
      <c r="D1068">
        <v>32.65</v>
      </c>
      <c r="E1068">
        <v>31.76</v>
      </c>
      <c r="F1068">
        <v>32.08</v>
      </c>
      <c r="G1068">
        <v>53533</v>
      </c>
      <c r="H1068">
        <v>171657184</v>
      </c>
      <c r="I1068">
        <v>1.58</v>
      </c>
      <c r="J1068" t="s">
        <v>51</v>
      </c>
      <c r="K1068" t="s">
        <v>727</v>
      </c>
      <c r="L1068">
        <v>1.17</v>
      </c>
      <c r="M1068">
        <v>32.07</v>
      </c>
      <c r="N1068">
        <v>25654</v>
      </c>
      <c r="O1068">
        <v>27879</v>
      </c>
      <c r="P1068">
        <v>0.92</v>
      </c>
      <c r="Q1068">
        <v>284</v>
      </c>
      <c r="R1068">
        <v>90</v>
      </c>
      <c r="S1068" t="s">
        <v>3</v>
      </c>
      <c r="T1068">
        <v>12729.03</v>
      </c>
      <c r="U1068" t="s">
        <v>1233</v>
      </c>
      <c r="V1068" t="s">
        <v>2953</v>
      </c>
      <c r="W1068">
        <v>1.33</v>
      </c>
    </row>
    <row r="1069" spans="1:23">
      <c r="A1069" t="str">
        <f>"002606"</f>
        <v>002606</v>
      </c>
      <c r="B1069" t="s">
        <v>2954</v>
      </c>
      <c r="C1069">
        <v>13.32</v>
      </c>
      <c r="D1069">
        <v>14.07</v>
      </c>
      <c r="E1069">
        <v>13.32</v>
      </c>
      <c r="F1069">
        <v>13.86</v>
      </c>
      <c r="G1069">
        <v>186319</v>
      </c>
      <c r="H1069">
        <v>256477152</v>
      </c>
      <c r="I1069">
        <v>2.2799999999999998</v>
      </c>
      <c r="J1069" t="s">
        <v>145</v>
      </c>
      <c r="K1069" t="s">
        <v>162</v>
      </c>
      <c r="L1069">
        <v>3.98</v>
      </c>
      <c r="M1069">
        <v>13.77</v>
      </c>
      <c r="N1069">
        <v>66511</v>
      </c>
      <c r="O1069">
        <v>119807</v>
      </c>
      <c r="P1069">
        <v>0.56000000000000005</v>
      </c>
      <c r="Q1069">
        <v>516</v>
      </c>
      <c r="R1069">
        <v>534</v>
      </c>
      <c r="S1069" t="s">
        <v>3</v>
      </c>
      <c r="T1069">
        <v>12050</v>
      </c>
      <c r="U1069" t="s">
        <v>2955</v>
      </c>
      <c r="V1069" t="s">
        <v>2956</v>
      </c>
      <c r="W1069">
        <v>4.13</v>
      </c>
    </row>
    <row r="1070" spans="1:23">
      <c r="A1070" t="str">
        <f>"002607"</f>
        <v>002607</v>
      </c>
      <c r="B1070" t="s">
        <v>2957</v>
      </c>
      <c r="C1070">
        <v>9.2899999999999991</v>
      </c>
      <c r="D1070">
        <v>9.2899999999999991</v>
      </c>
      <c r="E1070">
        <v>9.0500000000000007</v>
      </c>
      <c r="F1070">
        <v>9.16</v>
      </c>
      <c r="G1070">
        <v>135601</v>
      </c>
      <c r="H1070">
        <v>124080368</v>
      </c>
      <c r="I1070">
        <v>0.78</v>
      </c>
      <c r="J1070" t="s">
        <v>79</v>
      </c>
      <c r="K1070" t="s">
        <v>220</v>
      </c>
      <c r="L1070">
        <v>-1.51</v>
      </c>
      <c r="M1070">
        <v>9.15</v>
      </c>
      <c r="N1070">
        <v>89007</v>
      </c>
      <c r="O1070">
        <v>46593</v>
      </c>
      <c r="P1070">
        <v>1.91</v>
      </c>
      <c r="Q1070">
        <v>358</v>
      </c>
      <c r="R1070">
        <v>180</v>
      </c>
      <c r="S1070" t="s">
        <v>3</v>
      </c>
      <c r="T1070">
        <v>20053.900000000001</v>
      </c>
      <c r="U1070" t="s">
        <v>2389</v>
      </c>
      <c r="V1070" t="s">
        <v>2958</v>
      </c>
      <c r="W1070">
        <v>-1.35</v>
      </c>
    </row>
    <row r="1071" spans="1:23">
      <c r="A1071" t="str">
        <f>"002608"</f>
        <v>002608</v>
      </c>
      <c r="B1071" t="s">
        <v>2959</v>
      </c>
      <c r="C1071">
        <v>12.59</v>
      </c>
      <c r="D1071">
        <v>13.35</v>
      </c>
      <c r="E1071">
        <v>12.45</v>
      </c>
      <c r="F1071">
        <v>12.92</v>
      </c>
      <c r="G1071">
        <v>218416</v>
      </c>
      <c r="H1071">
        <v>282322784</v>
      </c>
      <c r="I1071">
        <v>1.23</v>
      </c>
      <c r="J1071" t="s">
        <v>2960</v>
      </c>
      <c r="K1071" t="s">
        <v>244</v>
      </c>
      <c r="L1071">
        <v>1.49</v>
      </c>
      <c r="M1071">
        <v>12.93</v>
      </c>
      <c r="N1071">
        <v>111857</v>
      </c>
      <c r="O1071">
        <v>106558</v>
      </c>
      <c r="P1071">
        <v>1.05</v>
      </c>
      <c r="Q1071">
        <v>1188</v>
      </c>
      <c r="R1071">
        <v>26</v>
      </c>
      <c r="S1071" t="s">
        <v>3</v>
      </c>
      <c r="T1071">
        <v>32855.160000000003</v>
      </c>
      <c r="U1071" t="s">
        <v>2961</v>
      </c>
      <c r="V1071" t="s">
        <v>2962</v>
      </c>
      <c r="W1071">
        <v>1.65</v>
      </c>
    </row>
    <row r="1072" spans="1:23">
      <c r="A1072" t="str">
        <f>"002609"</f>
        <v>002609</v>
      </c>
      <c r="B1072" t="s">
        <v>2963</v>
      </c>
      <c r="C1072">
        <v>19.7</v>
      </c>
      <c r="D1072">
        <v>19.71</v>
      </c>
      <c r="E1072">
        <v>18.899999999999999</v>
      </c>
      <c r="F1072">
        <v>19.600000000000001</v>
      </c>
      <c r="G1072">
        <v>54412</v>
      </c>
      <c r="H1072">
        <v>104507440</v>
      </c>
      <c r="I1072">
        <v>0.72</v>
      </c>
      <c r="J1072" t="s">
        <v>758</v>
      </c>
      <c r="K1072" t="s">
        <v>2</v>
      </c>
      <c r="L1072">
        <v>-0.91</v>
      </c>
      <c r="M1072">
        <v>19.21</v>
      </c>
      <c r="N1072">
        <v>34160</v>
      </c>
      <c r="O1072">
        <v>20252</v>
      </c>
      <c r="P1072">
        <v>1.69</v>
      </c>
      <c r="Q1072">
        <v>122</v>
      </c>
      <c r="R1072">
        <v>2</v>
      </c>
      <c r="S1072" t="s">
        <v>3</v>
      </c>
      <c r="T1072">
        <v>13726.75</v>
      </c>
      <c r="U1072" t="s">
        <v>2964</v>
      </c>
      <c r="V1072" t="s">
        <v>1054</v>
      </c>
      <c r="W1072">
        <v>-0.75</v>
      </c>
    </row>
    <row r="1073" spans="1:23">
      <c r="A1073" t="str">
        <f>"002610"</f>
        <v>002610</v>
      </c>
      <c r="B1073" t="s">
        <v>2965</v>
      </c>
      <c r="C1073">
        <v>20.67</v>
      </c>
      <c r="D1073">
        <v>20.98</v>
      </c>
      <c r="E1073">
        <v>20.5</v>
      </c>
      <c r="F1073">
        <v>20.73</v>
      </c>
      <c r="G1073">
        <v>47774</v>
      </c>
      <c r="H1073">
        <v>98783104</v>
      </c>
      <c r="I1073">
        <v>0.54</v>
      </c>
      <c r="J1073" t="s">
        <v>145</v>
      </c>
      <c r="K1073" t="s">
        <v>244</v>
      </c>
      <c r="L1073">
        <v>1.1200000000000001</v>
      </c>
      <c r="M1073">
        <v>20.68</v>
      </c>
      <c r="N1073">
        <v>29196</v>
      </c>
      <c r="O1073">
        <v>18577</v>
      </c>
      <c r="P1073">
        <v>1.57</v>
      </c>
      <c r="Q1073">
        <v>15</v>
      </c>
      <c r="R1073">
        <v>64</v>
      </c>
      <c r="S1073" t="s">
        <v>3</v>
      </c>
      <c r="T1073">
        <v>29775</v>
      </c>
      <c r="U1073" t="s">
        <v>2966</v>
      </c>
      <c r="V1073" t="s">
        <v>2967</v>
      </c>
      <c r="W1073">
        <v>1.28</v>
      </c>
    </row>
    <row r="1074" spans="1:23">
      <c r="A1074" t="str">
        <f>"002611"</f>
        <v>002611</v>
      </c>
      <c r="B1074" t="s">
        <v>2968</v>
      </c>
      <c r="C1074">
        <v>12.86</v>
      </c>
      <c r="D1074">
        <v>13.26</v>
      </c>
      <c r="E1074">
        <v>12.86</v>
      </c>
      <c r="F1074">
        <v>13.14</v>
      </c>
      <c r="G1074">
        <v>56140</v>
      </c>
      <c r="H1074">
        <v>73661936</v>
      </c>
      <c r="I1074">
        <v>1.1200000000000001</v>
      </c>
      <c r="J1074" t="s">
        <v>124</v>
      </c>
      <c r="K1074" t="s">
        <v>211</v>
      </c>
      <c r="L1074">
        <v>1</v>
      </c>
      <c r="M1074">
        <v>13.12</v>
      </c>
      <c r="N1074">
        <v>25216</v>
      </c>
      <c r="O1074">
        <v>30924</v>
      </c>
      <c r="P1074">
        <v>0.82</v>
      </c>
      <c r="Q1074">
        <v>397</v>
      </c>
      <c r="R1074">
        <v>381</v>
      </c>
      <c r="S1074" t="s">
        <v>3</v>
      </c>
      <c r="T1074">
        <v>19844.310000000001</v>
      </c>
      <c r="U1074" t="s">
        <v>2969</v>
      </c>
      <c r="V1074" t="s">
        <v>2970</v>
      </c>
      <c r="W1074">
        <v>1.1599999999999999</v>
      </c>
    </row>
    <row r="1075" spans="1:23">
      <c r="A1075" t="str">
        <f>"002612"</f>
        <v>002612</v>
      </c>
      <c r="B1075" t="s">
        <v>2971</v>
      </c>
      <c r="C1075" t="s">
        <v>3</v>
      </c>
      <c r="D1075" t="s">
        <v>3</v>
      </c>
      <c r="E1075" t="s">
        <v>3</v>
      </c>
      <c r="F1075">
        <v>0</v>
      </c>
      <c r="G1075">
        <v>0</v>
      </c>
      <c r="H1075">
        <v>0</v>
      </c>
      <c r="I1075">
        <v>0</v>
      </c>
      <c r="J1075" t="s">
        <v>1373</v>
      </c>
      <c r="K1075" t="s">
        <v>34</v>
      </c>
      <c r="L1075" t="s">
        <v>3</v>
      </c>
      <c r="M1075">
        <v>23.31</v>
      </c>
      <c r="N1075">
        <v>0</v>
      </c>
      <c r="O1075">
        <v>0</v>
      </c>
      <c r="P1075" t="s">
        <v>3</v>
      </c>
      <c r="Q1075">
        <v>0</v>
      </c>
      <c r="R1075">
        <v>0</v>
      </c>
      <c r="S1075" t="s">
        <v>3</v>
      </c>
      <c r="T1075">
        <v>10446.15</v>
      </c>
      <c r="U1075" t="s">
        <v>2972</v>
      </c>
      <c r="V1075" t="s">
        <v>2973</v>
      </c>
      <c r="W1075">
        <v>0.16</v>
      </c>
    </row>
    <row r="1076" spans="1:23">
      <c r="A1076" t="str">
        <f>"002613"</f>
        <v>002613</v>
      </c>
      <c r="B1076" t="s">
        <v>2974</v>
      </c>
      <c r="C1076">
        <v>9.01</v>
      </c>
      <c r="D1076">
        <v>9.01</v>
      </c>
      <c r="E1076">
        <v>8.82</v>
      </c>
      <c r="F1076">
        <v>8.99</v>
      </c>
      <c r="G1076">
        <v>49984</v>
      </c>
      <c r="H1076">
        <v>44613092</v>
      </c>
      <c r="I1076">
        <v>0.45</v>
      </c>
      <c r="J1076" t="s">
        <v>269</v>
      </c>
      <c r="K1076" t="s">
        <v>254</v>
      </c>
      <c r="L1076">
        <v>0</v>
      </c>
      <c r="M1076">
        <v>8.93</v>
      </c>
      <c r="N1076">
        <v>24448</v>
      </c>
      <c r="O1076">
        <v>25535</v>
      </c>
      <c r="P1076">
        <v>0.96</v>
      </c>
      <c r="Q1076">
        <v>40</v>
      </c>
      <c r="R1076">
        <v>2715</v>
      </c>
      <c r="S1076" t="s">
        <v>3</v>
      </c>
      <c r="T1076">
        <v>21819.4</v>
      </c>
      <c r="U1076" t="s">
        <v>2975</v>
      </c>
      <c r="V1076" t="s">
        <v>2976</v>
      </c>
      <c r="W1076">
        <v>0.16</v>
      </c>
    </row>
    <row r="1077" spans="1:23">
      <c r="A1077" t="str">
        <f>"002614"</f>
        <v>002614</v>
      </c>
      <c r="B1077" t="s">
        <v>2977</v>
      </c>
      <c r="C1077">
        <v>18.100000000000001</v>
      </c>
      <c r="D1077">
        <v>18.100000000000001</v>
      </c>
      <c r="E1077">
        <v>17.8</v>
      </c>
      <c r="F1077">
        <v>17.93</v>
      </c>
      <c r="G1077">
        <v>29833</v>
      </c>
      <c r="H1077">
        <v>53419452</v>
      </c>
      <c r="I1077">
        <v>0.91</v>
      </c>
      <c r="J1077" t="s">
        <v>1971</v>
      </c>
      <c r="K1077" t="s">
        <v>414</v>
      </c>
      <c r="L1077">
        <v>-0.94</v>
      </c>
      <c r="M1077">
        <v>17.91</v>
      </c>
      <c r="N1077">
        <v>19415</v>
      </c>
      <c r="O1077">
        <v>10417</v>
      </c>
      <c r="P1077">
        <v>1.86</v>
      </c>
      <c r="Q1077">
        <v>169</v>
      </c>
      <c r="R1077">
        <v>28</v>
      </c>
      <c r="S1077" t="s">
        <v>3</v>
      </c>
      <c r="T1077">
        <v>16696.39</v>
      </c>
      <c r="U1077" t="s">
        <v>2978</v>
      </c>
      <c r="V1077" t="s">
        <v>2979</v>
      </c>
      <c r="W1077">
        <v>-0.78</v>
      </c>
    </row>
    <row r="1078" spans="1:23">
      <c r="A1078" t="str">
        <f>"002615"</f>
        <v>002615</v>
      </c>
      <c r="B1078" t="s">
        <v>2980</v>
      </c>
      <c r="C1078">
        <v>25.05</v>
      </c>
      <c r="D1078">
        <v>25.4</v>
      </c>
      <c r="E1078">
        <v>24.78</v>
      </c>
      <c r="F1078">
        <v>24.96</v>
      </c>
      <c r="G1078">
        <v>19027</v>
      </c>
      <c r="H1078">
        <v>47460420</v>
      </c>
      <c r="I1078">
        <v>1.02</v>
      </c>
      <c r="J1078" t="s">
        <v>1183</v>
      </c>
      <c r="K1078" t="s">
        <v>229</v>
      </c>
      <c r="L1078">
        <v>-0.79</v>
      </c>
      <c r="M1078">
        <v>24.94</v>
      </c>
      <c r="N1078">
        <v>11840</v>
      </c>
      <c r="O1078">
        <v>7186</v>
      </c>
      <c r="P1078">
        <v>1.65</v>
      </c>
      <c r="Q1078">
        <v>26</v>
      </c>
      <c r="R1078">
        <v>30</v>
      </c>
      <c r="S1078" t="s">
        <v>3</v>
      </c>
      <c r="T1078">
        <v>3323.58</v>
      </c>
      <c r="U1078" t="s">
        <v>2981</v>
      </c>
      <c r="V1078" t="s">
        <v>1600</v>
      </c>
      <c r="W1078">
        <v>-0.64</v>
      </c>
    </row>
    <row r="1079" spans="1:23">
      <c r="A1079" t="str">
        <f>"002616"</f>
        <v>002616</v>
      </c>
      <c r="B1079" t="s">
        <v>2982</v>
      </c>
      <c r="C1079">
        <v>18.88</v>
      </c>
      <c r="D1079">
        <v>19.2</v>
      </c>
      <c r="E1079">
        <v>18.77</v>
      </c>
      <c r="F1079">
        <v>18.97</v>
      </c>
      <c r="G1079">
        <v>24576</v>
      </c>
      <c r="H1079">
        <v>46720276</v>
      </c>
      <c r="I1079">
        <v>1.6</v>
      </c>
      <c r="J1079" t="s">
        <v>462</v>
      </c>
      <c r="K1079" t="s">
        <v>211</v>
      </c>
      <c r="L1079">
        <v>0.8</v>
      </c>
      <c r="M1079">
        <v>19.010000000000002</v>
      </c>
      <c r="N1079">
        <v>13447</v>
      </c>
      <c r="O1079">
        <v>11128</v>
      </c>
      <c r="P1079">
        <v>1.21</v>
      </c>
      <c r="Q1079">
        <v>45</v>
      </c>
      <c r="R1079">
        <v>327</v>
      </c>
      <c r="S1079" t="s">
        <v>3</v>
      </c>
      <c r="T1079">
        <v>3811</v>
      </c>
      <c r="U1079" t="s">
        <v>2983</v>
      </c>
      <c r="V1079" t="s">
        <v>867</v>
      </c>
      <c r="W1079">
        <v>0.96</v>
      </c>
    </row>
    <row r="1080" spans="1:23">
      <c r="A1080" t="str">
        <f>"002617"</f>
        <v>002617</v>
      </c>
      <c r="B1080" t="s">
        <v>2984</v>
      </c>
      <c r="C1080">
        <v>28.17</v>
      </c>
      <c r="D1080">
        <v>29.17</v>
      </c>
      <c r="E1080">
        <v>28</v>
      </c>
      <c r="F1080">
        <v>29.05</v>
      </c>
      <c r="G1080">
        <v>74328</v>
      </c>
      <c r="H1080">
        <v>212512224</v>
      </c>
      <c r="I1080">
        <v>0.81</v>
      </c>
      <c r="J1080" t="s">
        <v>145</v>
      </c>
      <c r="K1080" t="s">
        <v>229</v>
      </c>
      <c r="L1080">
        <v>3.27</v>
      </c>
      <c r="M1080">
        <v>28.59</v>
      </c>
      <c r="N1080">
        <v>35308</v>
      </c>
      <c r="O1080">
        <v>39019</v>
      </c>
      <c r="P1080">
        <v>0.9</v>
      </c>
      <c r="Q1080">
        <v>286</v>
      </c>
      <c r="R1080">
        <v>302</v>
      </c>
      <c r="S1080" t="s">
        <v>3</v>
      </c>
      <c r="T1080">
        <v>5619.75</v>
      </c>
      <c r="U1080" t="s">
        <v>2985</v>
      </c>
      <c r="V1080" t="s">
        <v>2986</v>
      </c>
      <c r="W1080">
        <v>3.43</v>
      </c>
    </row>
    <row r="1081" spans="1:23">
      <c r="A1081" t="str">
        <f>"002618"</f>
        <v>002618</v>
      </c>
      <c r="B1081" t="s">
        <v>2987</v>
      </c>
      <c r="C1081">
        <v>36.6</v>
      </c>
      <c r="D1081">
        <v>38.200000000000003</v>
      </c>
      <c r="E1081">
        <v>36.049999999999997</v>
      </c>
      <c r="F1081">
        <v>38</v>
      </c>
      <c r="G1081">
        <v>18769</v>
      </c>
      <c r="H1081">
        <v>70326608</v>
      </c>
      <c r="I1081">
        <v>1.2</v>
      </c>
      <c r="J1081" t="s">
        <v>62</v>
      </c>
      <c r="K1081" t="s">
        <v>2</v>
      </c>
      <c r="L1081">
        <v>4.7699999999999996</v>
      </c>
      <c r="M1081">
        <v>37.47</v>
      </c>
      <c r="N1081">
        <v>7338</v>
      </c>
      <c r="O1081">
        <v>11430</v>
      </c>
      <c r="P1081">
        <v>0.64</v>
      </c>
      <c r="Q1081">
        <v>10</v>
      </c>
      <c r="R1081">
        <v>37</v>
      </c>
      <c r="S1081" t="s">
        <v>3</v>
      </c>
      <c r="T1081">
        <v>6528.39</v>
      </c>
      <c r="U1081" t="s">
        <v>2988</v>
      </c>
      <c r="V1081" t="s">
        <v>2989</v>
      </c>
      <c r="W1081">
        <v>4.93</v>
      </c>
    </row>
    <row r="1082" spans="1:23">
      <c r="A1082" t="str">
        <f>"002619"</f>
        <v>002619</v>
      </c>
      <c r="B1082" t="s">
        <v>2990</v>
      </c>
      <c r="C1082">
        <v>23.57</v>
      </c>
      <c r="D1082">
        <v>23.72</v>
      </c>
      <c r="E1082">
        <v>23.07</v>
      </c>
      <c r="F1082">
        <v>23.59</v>
      </c>
      <c r="G1082">
        <v>17910</v>
      </c>
      <c r="H1082">
        <v>41801076</v>
      </c>
      <c r="I1082">
        <v>0.91</v>
      </c>
      <c r="J1082" t="s">
        <v>258</v>
      </c>
      <c r="K1082" t="s">
        <v>229</v>
      </c>
      <c r="L1082">
        <v>-0.59</v>
      </c>
      <c r="M1082">
        <v>23.34</v>
      </c>
      <c r="N1082">
        <v>10053</v>
      </c>
      <c r="O1082">
        <v>7856</v>
      </c>
      <c r="P1082">
        <v>1.28</v>
      </c>
      <c r="Q1082">
        <v>13</v>
      </c>
      <c r="R1082">
        <v>10</v>
      </c>
      <c r="S1082" t="s">
        <v>3</v>
      </c>
      <c r="T1082">
        <v>5781</v>
      </c>
      <c r="U1082" t="s">
        <v>2679</v>
      </c>
      <c r="V1082" t="s">
        <v>23</v>
      </c>
      <c r="W1082">
        <v>-0.43</v>
      </c>
    </row>
    <row r="1083" spans="1:23">
      <c r="A1083" t="str">
        <f>"002620"</f>
        <v>002620</v>
      </c>
      <c r="B1083" t="s">
        <v>2991</v>
      </c>
      <c r="C1083">
        <v>16.649999999999999</v>
      </c>
      <c r="D1083">
        <v>16.77</v>
      </c>
      <c r="E1083">
        <v>16.41</v>
      </c>
      <c r="F1083">
        <v>16.559999999999999</v>
      </c>
      <c r="G1083">
        <v>17673</v>
      </c>
      <c r="H1083">
        <v>29289790</v>
      </c>
      <c r="I1083">
        <v>0.85</v>
      </c>
      <c r="J1083" t="s">
        <v>1496</v>
      </c>
      <c r="K1083" t="s">
        <v>2</v>
      </c>
      <c r="L1083">
        <v>-0.24</v>
      </c>
      <c r="M1083">
        <v>16.57</v>
      </c>
      <c r="N1083">
        <v>12369</v>
      </c>
      <c r="O1083">
        <v>5304</v>
      </c>
      <c r="P1083">
        <v>2.33</v>
      </c>
      <c r="Q1083">
        <v>13</v>
      </c>
      <c r="R1083">
        <v>732</v>
      </c>
      <c r="S1083" t="s">
        <v>3</v>
      </c>
      <c r="T1083">
        <v>5312.97</v>
      </c>
      <c r="U1083" t="s">
        <v>2992</v>
      </c>
      <c r="V1083" t="s">
        <v>2993</v>
      </c>
      <c r="W1083">
        <v>-0.08</v>
      </c>
    </row>
    <row r="1084" spans="1:23">
      <c r="A1084" t="str">
        <f>"002621"</f>
        <v>002621</v>
      </c>
      <c r="B1084" t="s">
        <v>2994</v>
      </c>
      <c r="C1084">
        <v>12.46</v>
      </c>
      <c r="D1084">
        <v>12.78</v>
      </c>
      <c r="E1084">
        <v>12.3</v>
      </c>
      <c r="F1084">
        <v>12.74</v>
      </c>
      <c r="G1084">
        <v>40510</v>
      </c>
      <c r="H1084">
        <v>51062156</v>
      </c>
      <c r="I1084">
        <v>0.95</v>
      </c>
      <c r="J1084" t="s">
        <v>269</v>
      </c>
      <c r="K1084" t="s">
        <v>162</v>
      </c>
      <c r="L1084">
        <v>3.24</v>
      </c>
      <c r="M1084">
        <v>12.6</v>
      </c>
      <c r="N1084">
        <v>18796</v>
      </c>
      <c r="O1084">
        <v>21713</v>
      </c>
      <c r="P1084">
        <v>0.87</v>
      </c>
      <c r="Q1084">
        <v>58</v>
      </c>
      <c r="R1084">
        <v>189</v>
      </c>
      <c r="S1084" t="s">
        <v>3</v>
      </c>
      <c r="T1084">
        <v>5625</v>
      </c>
      <c r="U1084" t="s">
        <v>2995</v>
      </c>
      <c r="V1084" t="s">
        <v>2996</v>
      </c>
      <c r="W1084">
        <v>3.4</v>
      </c>
    </row>
    <row r="1085" spans="1:23">
      <c r="A1085" t="str">
        <f>"002622"</f>
        <v>002622</v>
      </c>
      <c r="B1085" t="s">
        <v>2997</v>
      </c>
      <c r="C1085">
        <v>15.62</v>
      </c>
      <c r="D1085">
        <v>15.7</v>
      </c>
      <c r="E1085">
        <v>15.46</v>
      </c>
      <c r="F1085">
        <v>15.62</v>
      </c>
      <c r="G1085">
        <v>18202</v>
      </c>
      <c r="H1085">
        <v>28391844</v>
      </c>
      <c r="I1085">
        <v>0.64</v>
      </c>
      <c r="J1085" t="s">
        <v>145</v>
      </c>
      <c r="K1085" t="s">
        <v>99</v>
      </c>
      <c r="L1085">
        <v>0.06</v>
      </c>
      <c r="M1085">
        <v>15.6</v>
      </c>
      <c r="N1085">
        <v>10124</v>
      </c>
      <c r="O1085">
        <v>8077</v>
      </c>
      <c r="P1085">
        <v>1.25</v>
      </c>
      <c r="Q1085">
        <v>161</v>
      </c>
      <c r="R1085">
        <v>3</v>
      </c>
      <c r="S1085" t="s">
        <v>3</v>
      </c>
      <c r="T1085">
        <v>4228</v>
      </c>
      <c r="U1085" t="s">
        <v>2998</v>
      </c>
      <c r="V1085" t="s">
        <v>650</v>
      </c>
      <c r="W1085">
        <v>0.22</v>
      </c>
    </row>
    <row r="1086" spans="1:23">
      <c r="A1086" t="str">
        <f>"002623"</f>
        <v>002623</v>
      </c>
      <c r="B1086" t="s">
        <v>2999</v>
      </c>
      <c r="C1086">
        <v>22.88</v>
      </c>
      <c r="D1086">
        <v>23.25</v>
      </c>
      <c r="E1086">
        <v>22.5</v>
      </c>
      <c r="F1086">
        <v>22.91</v>
      </c>
      <c r="G1086">
        <v>25482</v>
      </c>
      <c r="H1086">
        <v>58364952</v>
      </c>
      <c r="I1086">
        <v>0.94</v>
      </c>
      <c r="J1086" t="s">
        <v>41</v>
      </c>
      <c r="K1086" t="s">
        <v>244</v>
      </c>
      <c r="L1086">
        <v>-0.09</v>
      </c>
      <c r="M1086">
        <v>22.9</v>
      </c>
      <c r="N1086">
        <v>13683</v>
      </c>
      <c r="O1086">
        <v>11798</v>
      </c>
      <c r="P1086">
        <v>1.1599999999999999</v>
      </c>
      <c r="Q1086">
        <v>54</v>
      </c>
      <c r="R1086">
        <v>25</v>
      </c>
      <c r="S1086" t="s">
        <v>3</v>
      </c>
      <c r="T1086">
        <v>7600</v>
      </c>
      <c r="U1086" t="s">
        <v>3000</v>
      </c>
      <c r="V1086" t="s">
        <v>3001</v>
      </c>
      <c r="W1086">
        <v>7.0000000000000007E-2</v>
      </c>
    </row>
    <row r="1087" spans="1:23">
      <c r="A1087" t="str">
        <f>"002624"</f>
        <v>002624</v>
      </c>
      <c r="B1087" t="s">
        <v>3002</v>
      </c>
      <c r="C1087">
        <v>14.28</v>
      </c>
      <c r="D1087">
        <v>14.28</v>
      </c>
      <c r="E1087">
        <v>14.28</v>
      </c>
      <c r="F1087">
        <v>14.28</v>
      </c>
      <c r="G1087">
        <v>3780</v>
      </c>
      <c r="H1087">
        <v>5397597</v>
      </c>
      <c r="I1087">
        <v>1.97</v>
      </c>
      <c r="J1087" t="s">
        <v>150</v>
      </c>
      <c r="K1087" t="s">
        <v>229</v>
      </c>
      <c r="L1087">
        <v>10.02</v>
      </c>
      <c r="M1087">
        <v>14.28</v>
      </c>
      <c r="N1087">
        <v>3623</v>
      </c>
      <c r="O1087">
        <v>156</v>
      </c>
      <c r="P1087">
        <v>23.22</v>
      </c>
      <c r="Q1087">
        <v>114470</v>
      </c>
      <c r="R1087">
        <v>0</v>
      </c>
      <c r="S1087" t="s">
        <v>3</v>
      </c>
      <c r="T1087">
        <v>7850</v>
      </c>
      <c r="U1087" t="s">
        <v>3003</v>
      </c>
      <c r="V1087" t="s">
        <v>3004</v>
      </c>
      <c r="W1087">
        <v>10.17</v>
      </c>
    </row>
    <row r="1088" spans="1:23">
      <c r="A1088" t="str">
        <f>"002625"</f>
        <v>002625</v>
      </c>
      <c r="B1088" t="s">
        <v>3005</v>
      </c>
      <c r="C1088">
        <v>11</v>
      </c>
      <c r="D1088">
        <v>11.29</v>
      </c>
      <c r="E1088">
        <v>10.97</v>
      </c>
      <c r="F1088">
        <v>11.24</v>
      </c>
      <c r="G1088">
        <v>66329</v>
      </c>
      <c r="H1088">
        <v>74154336</v>
      </c>
      <c r="I1088">
        <v>0.88</v>
      </c>
      <c r="J1088" t="s">
        <v>98</v>
      </c>
      <c r="K1088" t="s">
        <v>229</v>
      </c>
      <c r="L1088">
        <v>2.46</v>
      </c>
      <c r="M1088">
        <v>11.18</v>
      </c>
      <c r="N1088">
        <v>31220</v>
      </c>
      <c r="O1088">
        <v>35108</v>
      </c>
      <c r="P1088">
        <v>0.89</v>
      </c>
      <c r="Q1088">
        <v>273</v>
      </c>
      <c r="R1088">
        <v>1051</v>
      </c>
      <c r="S1088" t="s">
        <v>3</v>
      </c>
      <c r="T1088">
        <v>6308.54</v>
      </c>
      <c r="U1088" t="s">
        <v>3006</v>
      </c>
      <c r="V1088" t="s">
        <v>2146</v>
      </c>
      <c r="W1088">
        <v>2.62</v>
      </c>
    </row>
    <row r="1089" spans="1:23">
      <c r="A1089" t="str">
        <f>"002626"</f>
        <v>002626</v>
      </c>
      <c r="B1089" t="s">
        <v>3007</v>
      </c>
      <c r="C1089">
        <v>25</v>
      </c>
      <c r="D1089">
        <v>25.1</v>
      </c>
      <c r="E1089">
        <v>24.57</v>
      </c>
      <c r="F1089">
        <v>25</v>
      </c>
      <c r="G1089">
        <v>24065</v>
      </c>
      <c r="H1089">
        <v>59656388</v>
      </c>
      <c r="I1089">
        <v>0.99</v>
      </c>
      <c r="J1089" t="s">
        <v>421</v>
      </c>
      <c r="K1089" t="s">
        <v>414</v>
      </c>
      <c r="L1089">
        <v>0</v>
      </c>
      <c r="M1089">
        <v>24.79</v>
      </c>
      <c r="N1089">
        <v>14119</v>
      </c>
      <c r="O1089">
        <v>9945</v>
      </c>
      <c r="P1089">
        <v>1.42</v>
      </c>
      <c r="Q1089">
        <v>350</v>
      </c>
      <c r="R1089">
        <v>210</v>
      </c>
      <c r="S1089" t="s">
        <v>3</v>
      </c>
      <c r="T1089">
        <v>18594.060000000001</v>
      </c>
      <c r="U1089" t="s">
        <v>3008</v>
      </c>
      <c r="V1089" t="s">
        <v>3009</v>
      </c>
      <c r="W1089">
        <v>0.16</v>
      </c>
    </row>
    <row r="1090" spans="1:23">
      <c r="A1090" t="str">
        <f>"002627"</f>
        <v>002627</v>
      </c>
      <c r="B1090" t="s">
        <v>3010</v>
      </c>
      <c r="C1090">
        <v>14.82</v>
      </c>
      <c r="D1090">
        <v>14.82</v>
      </c>
      <c r="E1090">
        <v>14.55</v>
      </c>
      <c r="F1090">
        <v>14.7</v>
      </c>
      <c r="G1090">
        <v>23150</v>
      </c>
      <c r="H1090">
        <v>33904784</v>
      </c>
      <c r="I1090">
        <v>1.1000000000000001</v>
      </c>
      <c r="J1090" t="s">
        <v>1350</v>
      </c>
      <c r="K1090" t="s">
        <v>317</v>
      </c>
      <c r="L1090">
        <v>-0.81</v>
      </c>
      <c r="M1090">
        <v>14.65</v>
      </c>
      <c r="N1090">
        <v>13987</v>
      </c>
      <c r="O1090">
        <v>9162</v>
      </c>
      <c r="P1090">
        <v>1.53</v>
      </c>
      <c r="Q1090">
        <v>47</v>
      </c>
      <c r="R1090">
        <v>292</v>
      </c>
      <c r="S1090" t="s">
        <v>3</v>
      </c>
      <c r="T1090">
        <v>6974.5</v>
      </c>
      <c r="U1090" t="s">
        <v>3011</v>
      </c>
      <c r="V1090" t="s">
        <v>2975</v>
      </c>
      <c r="W1090">
        <v>-0.65</v>
      </c>
    </row>
    <row r="1091" spans="1:23">
      <c r="A1091" t="str">
        <f>"002628"</f>
        <v>002628</v>
      </c>
      <c r="B1091" t="s">
        <v>3012</v>
      </c>
      <c r="C1091">
        <v>4.71</v>
      </c>
      <c r="D1091">
        <v>4.84</v>
      </c>
      <c r="E1091">
        <v>4.67</v>
      </c>
      <c r="F1091">
        <v>4.78</v>
      </c>
      <c r="G1091">
        <v>249870</v>
      </c>
      <c r="H1091">
        <v>118685424</v>
      </c>
      <c r="I1091">
        <v>2.2799999999999998</v>
      </c>
      <c r="J1091" t="s">
        <v>33</v>
      </c>
      <c r="K1091" t="s">
        <v>225</v>
      </c>
      <c r="L1091">
        <v>1.49</v>
      </c>
      <c r="M1091">
        <v>4.75</v>
      </c>
      <c r="N1091">
        <v>124890</v>
      </c>
      <c r="O1091">
        <v>124980</v>
      </c>
      <c r="P1091">
        <v>1</v>
      </c>
      <c r="Q1091">
        <v>2427</v>
      </c>
      <c r="R1091">
        <v>345</v>
      </c>
      <c r="S1091" t="s">
        <v>3</v>
      </c>
      <c r="T1091">
        <v>46650.17</v>
      </c>
      <c r="U1091" t="s">
        <v>155</v>
      </c>
      <c r="V1091" t="s">
        <v>3013</v>
      </c>
      <c r="W1091">
        <v>1.64</v>
      </c>
    </row>
    <row r="1092" spans="1:23">
      <c r="A1092" t="str">
        <f>"002629"</f>
        <v>002629</v>
      </c>
      <c r="B1092" t="s">
        <v>3014</v>
      </c>
      <c r="C1092">
        <v>11.17</v>
      </c>
      <c r="D1092">
        <v>11.49</v>
      </c>
      <c r="E1092">
        <v>11.02</v>
      </c>
      <c r="F1092">
        <v>11.25</v>
      </c>
      <c r="G1092">
        <v>189753</v>
      </c>
      <c r="H1092">
        <v>214361504</v>
      </c>
      <c r="I1092">
        <v>0.87</v>
      </c>
      <c r="J1092" t="s">
        <v>204</v>
      </c>
      <c r="K1092" t="s">
        <v>225</v>
      </c>
      <c r="L1092">
        <v>0.81</v>
      </c>
      <c r="M1092">
        <v>11.3</v>
      </c>
      <c r="N1092">
        <v>104883</v>
      </c>
      <c r="O1092">
        <v>84869</v>
      </c>
      <c r="P1092">
        <v>1.24</v>
      </c>
      <c r="Q1092">
        <v>515</v>
      </c>
      <c r="R1092">
        <v>1061</v>
      </c>
      <c r="S1092" t="s">
        <v>3</v>
      </c>
      <c r="T1092">
        <v>19279.419999999998</v>
      </c>
      <c r="U1092" t="s">
        <v>3015</v>
      </c>
      <c r="V1092" t="s">
        <v>3016</v>
      </c>
      <c r="W1092">
        <v>0.96</v>
      </c>
    </row>
    <row r="1093" spans="1:23">
      <c r="A1093" t="str">
        <f>"002630"</f>
        <v>002630</v>
      </c>
      <c r="B1093" t="s">
        <v>3017</v>
      </c>
      <c r="C1093">
        <v>22.06</v>
      </c>
      <c r="D1093">
        <v>22.06</v>
      </c>
      <c r="E1093">
        <v>21.5</v>
      </c>
      <c r="F1093">
        <v>21.71</v>
      </c>
      <c r="G1093">
        <v>25020</v>
      </c>
      <c r="H1093">
        <v>54243956</v>
      </c>
      <c r="I1093">
        <v>0.52</v>
      </c>
      <c r="J1093" t="s">
        <v>269</v>
      </c>
      <c r="K1093" t="s">
        <v>225</v>
      </c>
      <c r="L1093">
        <v>-0.5</v>
      </c>
      <c r="M1093">
        <v>21.68</v>
      </c>
      <c r="N1093">
        <v>16066</v>
      </c>
      <c r="O1093">
        <v>8953</v>
      </c>
      <c r="P1093">
        <v>1.79</v>
      </c>
      <c r="Q1093">
        <v>76</v>
      </c>
      <c r="R1093">
        <v>303</v>
      </c>
      <c r="S1093" t="s">
        <v>3</v>
      </c>
      <c r="T1093">
        <v>20823.509999999998</v>
      </c>
      <c r="U1093" t="s">
        <v>3018</v>
      </c>
      <c r="V1093" t="s">
        <v>3019</v>
      </c>
      <c r="W1093">
        <v>-0.35</v>
      </c>
    </row>
    <row r="1094" spans="1:23">
      <c r="A1094" t="str">
        <f>"002631"</f>
        <v>002631</v>
      </c>
      <c r="B1094" t="s">
        <v>3020</v>
      </c>
      <c r="C1094">
        <v>13.01</v>
      </c>
      <c r="D1094">
        <v>13.01</v>
      </c>
      <c r="E1094">
        <v>12.33</v>
      </c>
      <c r="F1094">
        <v>12.38</v>
      </c>
      <c r="G1094">
        <v>69753</v>
      </c>
      <c r="H1094">
        <v>87973536</v>
      </c>
      <c r="I1094">
        <v>1.0900000000000001</v>
      </c>
      <c r="J1094" t="s">
        <v>1183</v>
      </c>
      <c r="K1094" t="s">
        <v>244</v>
      </c>
      <c r="L1094">
        <v>-4.62</v>
      </c>
      <c r="M1094">
        <v>12.61</v>
      </c>
      <c r="N1094">
        <v>44307</v>
      </c>
      <c r="O1094">
        <v>25445</v>
      </c>
      <c r="P1094">
        <v>1.74</v>
      </c>
      <c r="Q1094">
        <v>1239</v>
      </c>
      <c r="R1094">
        <v>156</v>
      </c>
      <c r="S1094" t="s">
        <v>3</v>
      </c>
      <c r="T1094">
        <v>14007.65</v>
      </c>
      <c r="U1094" t="s">
        <v>3021</v>
      </c>
      <c r="V1094" t="s">
        <v>3022</v>
      </c>
      <c r="W1094">
        <v>-4.46</v>
      </c>
    </row>
    <row r="1095" spans="1:23">
      <c r="A1095" t="str">
        <f>"002632"</f>
        <v>002632</v>
      </c>
      <c r="B1095" t="s">
        <v>3023</v>
      </c>
      <c r="C1095">
        <v>16.52</v>
      </c>
      <c r="D1095">
        <v>16.989999999999998</v>
      </c>
      <c r="E1095">
        <v>16.21</v>
      </c>
      <c r="F1095">
        <v>16.84</v>
      </c>
      <c r="G1095">
        <v>27769</v>
      </c>
      <c r="H1095">
        <v>45869808</v>
      </c>
      <c r="I1095">
        <v>0.98</v>
      </c>
      <c r="J1095" t="s">
        <v>376</v>
      </c>
      <c r="K1095" t="s">
        <v>229</v>
      </c>
      <c r="L1095">
        <v>2.06</v>
      </c>
      <c r="M1095">
        <v>16.52</v>
      </c>
      <c r="N1095">
        <v>11441</v>
      </c>
      <c r="O1095">
        <v>16327</v>
      </c>
      <c r="P1095">
        <v>0.7</v>
      </c>
      <c r="Q1095">
        <v>249</v>
      </c>
      <c r="R1095">
        <v>43</v>
      </c>
      <c r="S1095" t="s">
        <v>3</v>
      </c>
      <c r="T1095">
        <v>5040.75</v>
      </c>
      <c r="U1095" t="s">
        <v>3024</v>
      </c>
      <c r="V1095" t="s">
        <v>1606</v>
      </c>
      <c r="W1095">
        <v>2.2200000000000002</v>
      </c>
    </row>
    <row r="1096" spans="1:23">
      <c r="A1096" t="str">
        <f>"002633"</f>
        <v>002633</v>
      </c>
      <c r="B1096" t="s">
        <v>3025</v>
      </c>
      <c r="C1096">
        <v>23.3</v>
      </c>
      <c r="D1096">
        <v>23.45</v>
      </c>
      <c r="E1096">
        <v>22.77</v>
      </c>
      <c r="F1096">
        <v>23.4</v>
      </c>
      <c r="G1096">
        <v>25869</v>
      </c>
      <c r="H1096">
        <v>59806396</v>
      </c>
      <c r="I1096">
        <v>0.63</v>
      </c>
      <c r="J1096" t="s">
        <v>398</v>
      </c>
      <c r="K1096" t="s">
        <v>229</v>
      </c>
      <c r="L1096">
        <v>0.99</v>
      </c>
      <c r="M1096">
        <v>23.12</v>
      </c>
      <c r="N1096">
        <v>14057</v>
      </c>
      <c r="O1096">
        <v>11811</v>
      </c>
      <c r="P1096">
        <v>1.19</v>
      </c>
      <c r="Q1096">
        <v>232</v>
      </c>
      <c r="R1096">
        <v>64</v>
      </c>
      <c r="S1096" t="s">
        <v>3</v>
      </c>
      <c r="T1096">
        <v>6247.5</v>
      </c>
      <c r="U1096" t="s">
        <v>3026</v>
      </c>
      <c r="V1096" t="s">
        <v>3027</v>
      </c>
      <c r="W1096">
        <v>1.1499999999999999</v>
      </c>
    </row>
    <row r="1097" spans="1:23">
      <c r="A1097" t="str">
        <f>"002634"</f>
        <v>002634</v>
      </c>
      <c r="B1097" t="s">
        <v>3028</v>
      </c>
      <c r="C1097">
        <v>19.690000000000001</v>
      </c>
      <c r="D1097">
        <v>19.89</v>
      </c>
      <c r="E1097">
        <v>19.399999999999999</v>
      </c>
      <c r="F1097">
        <v>19.600000000000001</v>
      </c>
      <c r="G1097">
        <v>9948</v>
      </c>
      <c r="H1097">
        <v>19478110</v>
      </c>
      <c r="I1097">
        <v>0.55000000000000004</v>
      </c>
      <c r="J1097" t="s">
        <v>1373</v>
      </c>
      <c r="K1097" t="s">
        <v>229</v>
      </c>
      <c r="L1097">
        <v>-0.41</v>
      </c>
      <c r="M1097">
        <v>19.579999999999998</v>
      </c>
      <c r="N1097">
        <v>6769</v>
      </c>
      <c r="O1097">
        <v>3179</v>
      </c>
      <c r="P1097">
        <v>2.13</v>
      </c>
      <c r="Q1097">
        <v>31</v>
      </c>
      <c r="R1097">
        <v>332</v>
      </c>
      <c r="S1097" t="s">
        <v>3</v>
      </c>
      <c r="T1097">
        <v>3799.87</v>
      </c>
      <c r="U1097" t="s">
        <v>3029</v>
      </c>
      <c r="V1097" t="s">
        <v>3030</v>
      </c>
      <c r="W1097">
        <v>-0.25</v>
      </c>
    </row>
    <row r="1098" spans="1:23">
      <c r="A1098" t="str">
        <f>"002635"</f>
        <v>002635</v>
      </c>
      <c r="B1098" t="s">
        <v>3031</v>
      </c>
      <c r="C1098">
        <v>37.14</v>
      </c>
      <c r="D1098">
        <v>37.880000000000003</v>
      </c>
      <c r="E1098">
        <v>36.409999999999997</v>
      </c>
      <c r="F1098">
        <v>37.74</v>
      </c>
      <c r="G1098">
        <v>63824</v>
      </c>
      <c r="H1098">
        <v>237392368</v>
      </c>
      <c r="I1098">
        <v>1.56</v>
      </c>
      <c r="J1098" t="s">
        <v>66</v>
      </c>
      <c r="K1098" t="s">
        <v>244</v>
      </c>
      <c r="L1098">
        <v>1.62</v>
      </c>
      <c r="M1098">
        <v>37.200000000000003</v>
      </c>
      <c r="N1098">
        <v>30078</v>
      </c>
      <c r="O1098">
        <v>33745</v>
      </c>
      <c r="P1098">
        <v>0.89</v>
      </c>
      <c r="Q1098">
        <v>20</v>
      </c>
      <c r="R1098">
        <v>48</v>
      </c>
      <c r="S1098" t="s">
        <v>3</v>
      </c>
      <c r="T1098">
        <v>6225.74</v>
      </c>
      <c r="U1098" t="s">
        <v>3032</v>
      </c>
      <c r="V1098" t="s">
        <v>697</v>
      </c>
      <c r="W1098">
        <v>1.77</v>
      </c>
    </row>
    <row r="1099" spans="1:23">
      <c r="A1099" t="str">
        <f>"002636"</f>
        <v>002636</v>
      </c>
      <c r="B1099" t="s">
        <v>3033</v>
      </c>
      <c r="C1099">
        <v>12.58</v>
      </c>
      <c r="D1099">
        <v>12.58</v>
      </c>
      <c r="E1099">
        <v>12.31</v>
      </c>
      <c r="F1099">
        <v>12.39</v>
      </c>
      <c r="G1099">
        <v>50193</v>
      </c>
      <c r="H1099">
        <v>62171340</v>
      </c>
      <c r="I1099">
        <v>0.89</v>
      </c>
      <c r="J1099" t="s">
        <v>62</v>
      </c>
      <c r="K1099" t="s">
        <v>727</v>
      </c>
      <c r="L1099">
        <v>-1.35</v>
      </c>
      <c r="M1099">
        <v>12.39</v>
      </c>
      <c r="N1099">
        <v>33479</v>
      </c>
      <c r="O1099">
        <v>16714</v>
      </c>
      <c r="P1099">
        <v>2</v>
      </c>
      <c r="Q1099">
        <v>93</v>
      </c>
      <c r="R1099">
        <v>716</v>
      </c>
      <c r="S1099" t="s">
        <v>3</v>
      </c>
      <c r="T1099">
        <v>8909.57</v>
      </c>
      <c r="U1099" t="s">
        <v>1103</v>
      </c>
      <c r="V1099" t="s">
        <v>1845</v>
      </c>
      <c r="W1099">
        <v>-1.2</v>
      </c>
    </row>
    <row r="1100" spans="1:23">
      <c r="A1100" t="str">
        <f>"002637"</f>
        <v>002637</v>
      </c>
      <c r="B1100" t="s">
        <v>3034</v>
      </c>
      <c r="C1100">
        <v>16.54</v>
      </c>
      <c r="D1100">
        <v>16.54</v>
      </c>
      <c r="E1100">
        <v>16.260000000000002</v>
      </c>
      <c r="F1100">
        <v>16.350000000000001</v>
      </c>
      <c r="G1100">
        <v>26343</v>
      </c>
      <c r="H1100">
        <v>43067212</v>
      </c>
      <c r="I1100">
        <v>0.63</v>
      </c>
      <c r="J1100" t="s">
        <v>405</v>
      </c>
      <c r="K1100" t="s">
        <v>229</v>
      </c>
      <c r="L1100">
        <v>-0.85</v>
      </c>
      <c r="M1100">
        <v>16.350000000000001</v>
      </c>
      <c r="N1100">
        <v>13431</v>
      </c>
      <c r="O1100">
        <v>12911</v>
      </c>
      <c r="P1100">
        <v>1.04</v>
      </c>
      <c r="Q1100">
        <v>806</v>
      </c>
      <c r="R1100">
        <v>638</v>
      </c>
      <c r="S1100" t="s">
        <v>3</v>
      </c>
      <c r="T1100">
        <v>9650.91</v>
      </c>
      <c r="U1100" t="s">
        <v>3035</v>
      </c>
      <c r="V1100" t="s">
        <v>3036</v>
      </c>
      <c r="W1100">
        <v>-0.69</v>
      </c>
    </row>
    <row r="1101" spans="1:23">
      <c r="A1101" t="str">
        <f>"002638"</f>
        <v>002638</v>
      </c>
      <c r="B1101" t="s">
        <v>3037</v>
      </c>
      <c r="C1101">
        <v>16.91</v>
      </c>
      <c r="D1101">
        <v>17.18</v>
      </c>
      <c r="E1101">
        <v>16.670000000000002</v>
      </c>
      <c r="F1101">
        <v>17.18</v>
      </c>
      <c r="G1101">
        <v>59971</v>
      </c>
      <c r="H1101">
        <v>101070576</v>
      </c>
      <c r="I1101">
        <v>1.18</v>
      </c>
      <c r="J1101" t="s">
        <v>1581</v>
      </c>
      <c r="K1101" t="s">
        <v>211</v>
      </c>
      <c r="L1101">
        <v>1.42</v>
      </c>
      <c r="M1101">
        <v>16.850000000000001</v>
      </c>
      <c r="N1101">
        <v>25745</v>
      </c>
      <c r="O1101">
        <v>34225</v>
      </c>
      <c r="P1101">
        <v>0.75</v>
      </c>
      <c r="Q1101">
        <v>141</v>
      </c>
      <c r="R1101">
        <v>782</v>
      </c>
      <c r="S1101" t="s">
        <v>3</v>
      </c>
      <c r="T1101">
        <v>24641.1</v>
      </c>
      <c r="U1101" t="s">
        <v>275</v>
      </c>
      <c r="V1101" t="s">
        <v>3038</v>
      </c>
      <c r="W1101">
        <v>1.58</v>
      </c>
    </row>
    <row r="1102" spans="1:23">
      <c r="A1102" t="str">
        <f>"002639"</f>
        <v>002639</v>
      </c>
      <c r="B1102" t="s">
        <v>3039</v>
      </c>
      <c r="C1102">
        <v>17.649999999999999</v>
      </c>
      <c r="D1102">
        <v>18.77</v>
      </c>
      <c r="E1102">
        <v>17.440000000000001</v>
      </c>
      <c r="F1102">
        <v>18.63</v>
      </c>
      <c r="G1102">
        <v>34656</v>
      </c>
      <c r="H1102">
        <v>63130496</v>
      </c>
      <c r="I1102">
        <v>1.1399999999999999</v>
      </c>
      <c r="J1102" t="s">
        <v>269</v>
      </c>
      <c r="K1102" t="s">
        <v>414</v>
      </c>
      <c r="L1102">
        <v>5.85</v>
      </c>
      <c r="M1102">
        <v>18.22</v>
      </c>
      <c r="N1102">
        <v>14675</v>
      </c>
      <c r="O1102">
        <v>19980</v>
      </c>
      <c r="P1102">
        <v>0.73</v>
      </c>
      <c r="Q1102">
        <v>529</v>
      </c>
      <c r="R1102">
        <v>341</v>
      </c>
      <c r="S1102" t="s">
        <v>3</v>
      </c>
      <c r="T1102">
        <v>9302.7900000000009</v>
      </c>
      <c r="U1102" t="s">
        <v>3040</v>
      </c>
      <c r="V1102" t="s">
        <v>3041</v>
      </c>
      <c r="W1102">
        <v>6.01</v>
      </c>
    </row>
    <row r="1103" spans="1:23">
      <c r="A1103" t="str">
        <f>"002640"</f>
        <v>002640</v>
      </c>
      <c r="B1103" t="s">
        <v>3042</v>
      </c>
      <c r="C1103">
        <v>44.5</v>
      </c>
      <c r="D1103">
        <v>45.88</v>
      </c>
      <c r="E1103">
        <v>44.36</v>
      </c>
      <c r="F1103">
        <v>44.96</v>
      </c>
      <c r="G1103">
        <v>47498</v>
      </c>
      <c r="H1103">
        <v>214620944</v>
      </c>
      <c r="I1103">
        <v>0.64</v>
      </c>
      <c r="J1103" t="s">
        <v>1373</v>
      </c>
      <c r="K1103" t="s">
        <v>742</v>
      </c>
      <c r="L1103">
        <v>0.18</v>
      </c>
      <c r="M1103">
        <v>45.19</v>
      </c>
      <c r="N1103">
        <v>24653</v>
      </c>
      <c r="O1103">
        <v>22845</v>
      </c>
      <c r="P1103">
        <v>1.08</v>
      </c>
      <c r="Q1103">
        <v>781</v>
      </c>
      <c r="R1103">
        <v>11</v>
      </c>
      <c r="S1103" t="s">
        <v>3</v>
      </c>
      <c r="T1103">
        <v>3334</v>
      </c>
      <c r="U1103" t="s">
        <v>3043</v>
      </c>
      <c r="V1103" t="s">
        <v>3044</v>
      </c>
      <c r="W1103">
        <v>0.34</v>
      </c>
    </row>
    <row r="1104" spans="1:23">
      <c r="A1104" t="str">
        <f>"002641"</f>
        <v>002641</v>
      </c>
      <c r="B1104" t="s">
        <v>3045</v>
      </c>
      <c r="C1104">
        <v>9.76</v>
      </c>
      <c r="D1104">
        <v>10.18</v>
      </c>
      <c r="E1104">
        <v>9.76</v>
      </c>
      <c r="F1104">
        <v>10.029999999999999</v>
      </c>
      <c r="G1104">
        <v>88450</v>
      </c>
      <c r="H1104">
        <v>88732832</v>
      </c>
      <c r="I1104">
        <v>1.42</v>
      </c>
      <c r="J1104" t="s">
        <v>273</v>
      </c>
      <c r="K1104" t="s">
        <v>229</v>
      </c>
      <c r="L1104">
        <v>2.98</v>
      </c>
      <c r="M1104">
        <v>10.029999999999999</v>
      </c>
      <c r="N1104">
        <v>41591</v>
      </c>
      <c r="O1104">
        <v>46859</v>
      </c>
      <c r="P1104">
        <v>0.89</v>
      </c>
      <c r="Q1104">
        <v>358</v>
      </c>
      <c r="R1104">
        <v>450</v>
      </c>
      <c r="S1104" t="s">
        <v>3</v>
      </c>
      <c r="T1104">
        <v>10800</v>
      </c>
      <c r="U1104" t="s">
        <v>3046</v>
      </c>
      <c r="V1104" t="s">
        <v>3047</v>
      </c>
      <c r="W1104">
        <v>3.14</v>
      </c>
    </row>
    <row r="1105" spans="1:23">
      <c r="A1105" t="str">
        <f>"002642"</f>
        <v>002642</v>
      </c>
      <c r="B1105" t="s">
        <v>3048</v>
      </c>
      <c r="C1105">
        <v>26.47</v>
      </c>
      <c r="D1105">
        <v>27</v>
      </c>
      <c r="E1105">
        <v>26.2</v>
      </c>
      <c r="F1105">
        <v>26.75</v>
      </c>
      <c r="G1105">
        <v>40090</v>
      </c>
      <c r="H1105">
        <v>106872488</v>
      </c>
      <c r="I1105">
        <v>0.57999999999999996</v>
      </c>
      <c r="J1105" t="s">
        <v>758</v>
      </c>
      <c r="K1105" t="s">
        <v>34</v>
      </c>
      <c r="L1105">
        <v>-0.34</v>
      </c>
      <c r="M1105">
        <v>26.66</v>
      </c>
      <c r="N1105">
        <v>21393</v>
      </c>
      <c r="O1105">
        <v>18696</v>
      </c>
      <c r="P1105">
        <v>1.1399999999999999</v>
      </c>
      <c r="Q1105">
        <v>30</v>
      </c>
      <c r="R1105">
        <v>498</v>
      </c>
      <c r="S1105" t="s">
        <v>3</v>
      </c>
      <c r="T1105">
        <v>8346.66</v>
      </c>
      <c r="U1105" t="s">
        <v>3049</v>
      </c>
      <c r="V1105" t="s">
        <v>3050</v>
      </c>
      <c r="W1105">
        <v>-0.18</v>
      </c>
    </row>
    <row r="1106" spans="1:23">
      <c r="A1106" t="str">
        <f>"002643"</f>
        <v>002643</v>
      </c>
      <c r="B1106" t="s">
        <v>3051</v>
      </c>
      <c r="C1106">
        <v>13.18</v>
      </c>
      <c r="D1106">
        <v>13.27</v>
      </c>
      <c r="E1106">
        <v>13.1</v>
      </c>
      <c r="F1106">
        <v>13.2</v>
      </c>
      <c r="G1106">
        <v>29352</v>
      </c>
      <c r="H1106">
        <v>38675260</v>
      </c>
      <c r="I1106">
        <v>0.99</v>
      </c>
      <c r="J1106" t="s">
        <v>376</v>
      </c>
      <c r="K1106" t="s">
        <v>250</v>
      </c>
      <c r="L1106">
        <v>0.15</v>
      </c>
      <c r="M1106">
        <v>13.18</v>
      </c>
      <c r="N1106">
        <v>13624</v>
      </c>
      <c r="O1106">
        <v>15728</v>
      </c>
      <c r="P1106">
        <v>0.87</v>
      </c>
      <c r="Q1106">
        <v>136</v>
      </c>
      <c r="R1106">
        <v>170</v>
      </c>
      <c r="S1106" t="s">
        <v>3</v>
      </c>
      <c r="T1106">
        <v>18553.55</v>
      </c>
      <c r="U1106" t="s">
        <v>1821</v>
      </c>
      <c r="V1106" t="s">
        <v>3052</v>
      </c>
      <c r="W1106">
        <v>0.31</v>
      </c>
    </row>
    <row r="1107" spans="1:23">
      <c r="A1107" t="str">
        <f>"002644"</f>
        <v>002644</v>
      </c>
      <c r="B1107" t="s">
        <v>3053</v>
      </c>
      <c r="C1107">
        <v>21</v>
      </c>
      <c r="D1107">
        <v>21.25</v>
      </c>
      <c r="E1107">
        <v>20.95</v>
      </c>
      <c r="F1107">
        <v>21.06</v>
      </c>
      <c r="G1107">
        <v>15205</v>
      </c>
      <c r="H1107">
        <v>32071546</v>
      </c>
      <c r="I1107">
        <v>0.91</v>
      </c>
      <c r="J1107" t="s">
        <v>321</v>
      </c>
      <c r="K1107" t="s">
        <v>483</v>
      </c>
      <c r="L1107">
        <v>0.43</v>
      </c>
      <c r="M1107">
        <v>21.09</v>
      </c>
      <c r="N1107">
        <v>7912</v>
      </c>
      <c r="O1107">
        <v>7292</v>
      </c>
      <c r="P1107">
        <v>1.0900000000000001</v>
      </c>
      <c r="Q1107">
        <v>158</v>
      </c>
      <c r="R1107">
        <v>24</v>
      </c>
      <c r="S1107" t="s">
        <v>3</v>
      </c>
      <c r="T1107">
        <v>4774</v>
      </c>
      <c r="U1107" t="s">
        <v>3054</v>
      </c>
      <c r="V1107" t="s">
        <v>85</v>
      </c>
      <c r="W1107">
        <v>0.59</v>
      </c>
    </row>
    <row r="1108" spans="1:23">
      <c r="A1108" t="str">
        <f>"002645"</f>
        <v>002645</v>
      </c>
      <c r="B1108" t="s">
        <v>3055</v>
      </c>
      <c r="C1108">
        <v>15.31</v>
      </c>
      <c r="D1108">
        <v>15.44</v>
      </c>
      <c r="E1108">
        <v>15.19</v>
      </c>
      <c r="F1108">
        <v>15.26</v>
      </c>
      <c r="G1108">
        <v>22134</v>
      </c>
      <c r="H1108">
        <v>33813744</v>
      </c>
      <c r="I1108">
        <v>0.92</v>
      </c>
      <c r="J1108" t="s">
        <v>269</v>
      </c>
      <c r="K1108" t="s">
        <v>244</v>
      </c>
      <c r="L1108">
        <v>-0.97</v>
      </c>
      <c r="M1108">
        <v>15.28</v>
      </c>
      <c r="N1108">
        <v>14217</v>
      </c>
      <c r="O1108">
        <v>7917</v>
      </c>
      <c r="P1108">
        <v>1.8</v>
      </c>
      <c r="Q1108">
        <v>173</v>
      </c>
      <c r="R1108">
        <v>70</v>
      </c>
      <c r="S1108" t="s">
        <v>3</v>
      </c>
      <c r="T1108">
        <v>4286.87</v>
      </c>
      <c r="U1108" t="s">
        <v>3056</v>
      </c>
      <c r="V1108" t="s">
        <v>813</v>
      </c>
      <c r="W1108">
        <v>-0.81</v>
      </c>
    </row>
    <row r="1109" spans="1:23">
      <c r="A1109" t="str">
        <f>"002646"</f>
        <v>002646</v>
      </c>
      <c r="B1109" t="s">
        <v>3057</v>
      </c>
      <c r="C1109">
        <v>17.690000000000001</v>
      </c>
      <c r="D1109">
        <v>17.79</v>
      </c>
      <c r="E1109">
        <v>17.440000000000001</v>
      </c>
      <c r="F1109">
        <v>17.5</v>
      </c>
      <c r="G1109">
        <v>103114</v>
      </c>
      <c r="H1109">
        <v>181390928</v>
      </c>
      <c r="I1109">
        <v>1.5</v>
      </c>
      <c r="J1109" t="s">
        <v>531</v>
      </c>
      <c r="K1109" t="s">
        <v>613</v>
      </c>
      <c r="L1109">
        <v>0.46</v>
      </c>
      <c r="M1109">
        <v>17.59</v>
      </c>
      <c r="N1109">
        <v>58280</v>
      </c>
      <c r="O1109">
        <v>44834</v>
      </c>
      <c r="P1109">
        <v>1.3</v>
      </c>
      <c r="Q1109">
        <v>203</v>
      </c>
      <c r="R1109">
        <v>412</v>
      </c>
      <c r="S1109" t="s">
        <v>3</v>
      </c>
      <c r="T1109">
        <v>15750</v>
      </c>
      <c r="U1109" t="s">
        <v>3058</v>
      </c>
      <c r="V1109" t="s">
        <v>3059</v>
      </c>
      <c r="W1109">
        <v>0.62</v>
      </c>
    </row>
    <row r="1110" spans="1:23">
      <c r="A1110" t="str">
        <f>"002647"</f>
        <v>002647</v>
      </c>
      <c r="B1110" t="s">
        <v>3060</v>
      </c>
      <c r="C1110" t="s">
        <v>3</v>
      </c>
      <c r="D1110" t="s">
        <v>3</v>
      </c>
      <c r="E1110" t="s">
        <v>3</v>
      </c>
      <c r="F1110">
        <v>0</v>
      </c>
      <c r="G1110">
        <v>0</v>
      </c>
      <c r="H1110">
        <v>0</v>
      </c>
      <c r="I1110">
        <v>0</v>
      </c>
      <c r="J1110" t="s">
        <v>145</v>
      </c>
      <c r="K1110" t="s">
        <v>229</v>
      </c>
      <c r="L1110" t="s">
        <v>3</v>
      </c>
      <c r="M1110">
        <v>8.41</v>
      </c>
      <c r="N1110">
        <v>0</v>
      </c>
      <c r="O1110">
        <v>0</v>
      </c>
      <c r="P1110" t="s">
        <v>3</v>
      </c>
      <c r="Q1110">
        <v>0</v>
      </c>
      <c r="R1110">
        <v>0</v>
      </c>
      <c r="S1110" t="s">
        <v>3</v>
      </c>
      <c r="T1110">
        <v>7694.79</v>
      </c>
      <c r="U1110" t="s">
        <v>3061</v>
      </c>
      <c r="V1110" t="s">
        <v>3062</v>
      </c>
      <c r="W1110">
        <v>0.16</v>
      </c>
    </row>
    <row r="1111" spans="1:23">
      <c r="A1111" t="str">
        <f>"002648"</f>
        <v>002648</v>
      </c>
      <c r="B1111" t="s">
        <v>3063</v>
      </c>
      <c r="C1111">
        <v>15.48</v>
      </c>
      <c r="D1111">
        <v>16.47</v>
      </c>
      <c r="E1111">
        <v>15.31</v>
      </c>
      <c r="F1111">
        <v>16.02</v>
      </c>
      <c r="G1111">
        <v>259389</v>
      </c>
      <c r="H1111">
        <v>413523104</v>
      </c>
      <c r="I1111">
        <v>1.56</v>
      </c>
      <c r="J1111" t="s">
        <v>376</v>
      </c>
      <c r="K1111" t="s">
        <v>229</v>
      </c>
      <c r="L1111">
        <v>4.16</v>
      </c>
      <c r="M1111">
        <v>15.94</v>
      </c>
      <c r="N1111">
        <v>104123</v>
      </c>
      <c r="O1111">
        <v>155265</v>
      </c>
      <c r="P1111">
        <v>0.67</v>
      </c>
      <c r="Q1111">
        <v>1204</v>
      </c>
      <c r="R1111">
        <v>542</v>
      </c>
      <c r="S1111" t="s">
        <v>3</v>
      </c>
      <c r="T1111">
        <v>20000</v>
      </c>
      <c r="U1111" t="s">
        <v>2382</v>
      </c>
      <c r="V1111" t="s">
        <v>3064</v>
      </c>
      <c r="W1111">
        <v>4.32</v>
      </c>
    </row>
    <row r="1112" spans="1:23">
      <c r="A1112" t="str">
        <f>"002649"</f>
        <v>002649</v>
      </c>
      <c r="B1112" t="s">
        <v>3065</v>
      </c>
      <c r="C1112">
        <v>37.159999999999997</v>
      </c>
      <c r="D1112">
        <v>37.479999999999997</v>
      </c>
      <c r="E1112">
        <v>36.6</v>
      </c>
      <c r="F1112">
        <v>36.72</v>
      </c>
      <c r="G1112">
        <v>16612</v>
      </c>
      <c r="H1112">
        <v>61315028</v>
      </c>
      <c r="I1112">
        <v>0.56999999999999995</v>
      </c>
      <c r="J1112" t="s">
        <v>758</v>
      </c>
      <c r="K1112" t="s">
        <v>34</v>
      </c>
      <c r="L1112">
        <v>-1.18</v>
      </c>
      <c r="M1112">
        <v>36.909999999999997</v>
      </c>
      <c r="N1112">
        <v>9790</v>
      </c>
      <c r="O1112">
        <v>6822</v>
      </c>
      <c r="P1112">
        <v>1.44</v>
      </c>
      <c r="Q1112">
        <v>53</v>
      </c>
      <c r="R1112">
        <v>7</v>
      </c>
      <c r="S1112" t="s">
        <v>3</v>
      </c>
      <c r="T1112">
        <v>6331.18</v>
      </c>
      <c r="U1112" t="s">
        <v>830</v>
      </c>
      <c r="V1112" t="s">
        <v>428</v>
      </c>
      <c r="W1112">
        <v>-1.03</v>
      </c>
    </row>
    <row r="1113" spans="1:23">
      <c r="A1113" t="str">
        <f>"002650"</f>
        <v>002650</v>
      </c>
      <c r="B1113" t="s">
        <v>3066</v>
      </c>
      <c r="C1113">
        <v>11.38</v>
      </c>
      <c r="D1113">
        <v>11.5</v>
      </c>
      <c r="E1113">
        <v>11.15</v>
      </c>
      <c r="F1113">
        <v>11.26</v>
      </c>
      <c r="G1113">
        <v>72509</v>
      </c>
      <c r="H1113">
        <v>81349960</v>
      </c>
      <c r="I1113">
        <v>0.64</v>
      </c>
      <c r="J1113" t="s">
        <v>421</v>
      </c>
      <c r="K1113" t="s">
        <v>234</v>
      </c>
      <c r="L1113">
        <v>-1.4</v>
      </c>
      <c r="M1113">
        <v>11.22</v>
      </c>
      <c r="N1113">
        <v>42924</v>
      </c>
      <c r="O1113">
        <v>29585</v>
      </c>
      <c r="P1113">
        <v>1.45</v>
      </c>
      <c r="Q1113">
        <v>242</v>
      </c>
      <c r="R1113">
        <v>79</v>
      </c>
      <c r="S1113" t="s">
        <v>3</v>
      </c>
      <c r="T1113">
        <v>22439.23</v>
      </c>
      <c r="U1113" t="s">
        <v>3067</v>
      </c>
      <c r="V1113" t="s">
        <v>3068</v>
      </c>
      <c r="W1113">
        <v>-1.24</v>
      </c>
    </row>
    <row r="1114" spans="1:23">
      <c r="A1114" t="str">
        <f>"002651"</f>
        <v>002651</v>
      </c>
      <c r="B1114" t="s">
        <v>3069</v>
      </c>
      <c r="C1114">
        <v>24.8</v>
      </c>
      <c r="D1114">
        <v>24.8</v>
      </c>
      <c r="E1114">
        <v>23.88</v>
      </c>
      <c r="F1114">
        <v>24.58</v>
      </c>
      <c r="G1114">
        <v>17753</v>
      </c>
      <c r="H1114">
        <v>43387448</v>
      </c>
      <c r="I1114">
        <v>0.73</v>
      </c>
      <c r="J1114" t="s">
        <v>269</v>
      </c>
      <c r="K1114" t="s">
        <v>225</v>
      </c>
      <c r="L1114">
        <v>-0.41</v>
      </c>
      <c r="M1114">
        <v>24.44</v>
      </c>
      <c r="N1114">
        <v>7652</v>
      </c>
      <c r="O1114">
        <v>10100</v>
      </c>
      <c r="P1114">
        <v>0.76</v>
      </c>
      <c r="Q1114">
        <v>154</v>
      </c>
      <c r="R1114">
        <v>9</v>
      </c>
      <c r="S1114" t="s">
        <v>3</v>
      </c>
      <c r="T1114">
        <v>6140</v>
      </c>
      <c r="U1114" t="s">
        <v>2547</v>
      </c>
      <c r="V1114" t="s">
        <v>3070</v>
      </c>
      <c r="W1114">
        <v>-0.25</v>
      </c>
    </row>
    <row r="1115" spans="1:23">
      <c r="A1115" t="str">
        <f>"002652"</f>
        <v>002652</v>
      </c>
      <c r="B1115" t="s">
        <v>3071</v>
      </c>
      <c r="C1115">
        <v>13.18</v>
      </c>
      <c r="D1115">
        <v>13.75</v>
      </c>
      <c r="E1115">
        <v>13.18</v>
      </c>
      <c r="F1115">
        <v>13.5</v>
      </c>
      <c r="G1115">
        <v>33220</v>
      </c>
      <c r="H1115">
        <v>44640888</v>
      </c>
      <c r="I1115">
        <v>1.36</v>
      </c>
      <c r="J1115" t="s">
        <v>150</v>
      </c>
      <c r="K1115" t="s">
        <v>244</v>
      </c>
      <c r="L1115">
        <v>2.2000000000000002</v>
      </c>
      <c r="M1115">
        <v>13.44</v>
      </c>
      <c r="N1115">
        <v>13856</v>
      </c>
      <c r="O1115">
        <v>19364</v>
      </c>
      <c r="P1115">
        <v>0.72</v>
      </c>
      <c r="Q1115">
        <v>177</v>
      </c>
      <c r="R1115">
        <v>429</v>
      </c>
      <c r="S1115" t="s">
        <v>3</v>
      </c>
      <c r="T1115">
        <v>4218.1400000000003</v>
      </c>
      <c r="U1115" t="s">
        <v>3072</v>
      </c>
      <c r="V1115" t="s">
        <v>3073</v>
      </c>
      <c r="W1115">
        <v>2.35</v>
      </c>
    </row>
    <row r="1116" spans="1:23">
      <c r="A1116" t="str">
        <f>"002653"</f>
        <v>002653</v>
      </c>
      <c r="B1116" t="s">
        <v>3074</v>
      </c>
      <c r="C1116">
        <v>20.7</v>
      </c>
      <c r="D1116">
        <v>21.1</v>
      </c>
      <c r="E1116">
        <v>20.59</v>
      </c>
      <c r="F1116">
        <v>20.98</v>
      </c>
      <c r="G1116">
        <v>37851</v>
      </c>
      <c r="H1116">
        <v>78952744</v>
      </c>
      <c r="I1116">
        <v>0.6</v>
      </c>
      <c r="J1116" t="s">
        <v>219</v>
      </c>
      <c r="K1116" t="s">
        <v>905</v>
      </c>
      <c r="L1116">
        <v>1.35</v>
      </c>
      <c r="M1116">
        <v>20.86</v>
      </c>
      <c r="N1116">
        <v>13972</v>
      </c>
      <c r="O1116">
        <v>23878</v>
      </c>
      <c r="P1116">
        <v>0.59</v>
      </c>
      <c r="Q1116">
        <v>188</v>
      </c>
      <c r="R1116">
        <v>237</v>
      </c>
      <c r="S1116" t="s">
        <v>3</v>
      </c>
      <c r="T1116">
        <v>17864.27</v>
      </c>
      <c r="U1116" t="s">
        <v>2352</v>
      </c>
      <c r="V1116" t="s">
        <v>3075</v>
      </c>
      <c r="W1116">
        <v>1.51</v>
      </c>
    </row>
    <row r="1117" spans="1:23">
      <c r="A1117" t="str">
        <f>"002654"</f>
        <v>002654</v>
      </c>
      <c r="B1117" t="s">
        <v>3076</v>
      </c>
      <c r="C1117">
        <v>14.9</v>
      </c>
      <c r="D1117">
        <v>14.98</v>
      </c>
      <c r="E1117">
        <v>14.63</v>
      </c>
      <c r="F1117">
        <v>14.76</v>
      </c>
      <c r="G1117">
        <v>39953</v>
      </c>
      <c r="H1117">
        <v>58971228</v>
      </c>
      <c r="I1117">
        <v>0.86</v>
      </c>
      <c r="J1117" t="s">
        <v>1581</v>
      </c>
      <c r="K1117" t="s">
        <v>2</v>
      </c>
      <c r="L1117">
        <v>-0.94</v>
      </c>
      <c r="M1117">
        <v>14.76</v>
      </c>
      <c r="N1117">
        <v>22797</v>
      </c>
      <c r="O1117">
        <v>17155</v>
      </c>
      <c r="P1117">
        <v>1.33</v>
      </c>
      <c r="Q1117">
        <v>165</v>
      </c>
      <c r="R1117">
        <v>11</v>
      </c>
      <c r="S1117" t="s">
        <v>3</v>
      </c>
      <c r="T1117">
        <v>7124</v>
      </c>
      <c r="U1117" t="s">
        <v>3077</v>
      </c>
      <c r="V1117" t="s">
        <v>2307</v>
      </c>
      <c r="W1117">
        <v>-0.78</v>
      </c>
    </row>
    <row r="1118" spans="1:23">
      <c r="A1118" t="str">
        <f>"002655"</f>
        <v>002655</v>
      </c>
      <c r="B1118" t="s">
        <v>3078</v>
      </c>
      <c r="C1118">
        <v>11.81</v>
      </c>
      <c r="D1118">
        <v>12.2</v>
      </c>
      <c r="E1118">
        <v>11.5</v>
      </c>
      <c r="F1118">
        <v>12.12</v>
      </c>
      <c r="G1118">
        <v>334937</v>
      </c>
      <c r="H1118">
        <v>398757856</v>
      </c>
      <c r="I1118">
        <v>0.7</v>
      </c>
      <c r="J1118" t="s">
        <v>62</v>
      </c>
      <c r="K1118" t="s">
        <v>250</v>
      </c>
      <c r="L1118">
        <v>2.62</v>
      </c>
      <c r="M1118">
        <v>11.91</v>
      </c>
      <c r="N1118">
        <v>155326</v>
      </c>
      <c r="O1118">
        <v>179610</v>
      </c>
      <c r="P1118">
        <v>0.86</v>
      </c>
      <c r="Q1118">
        <v>3295</v>
      </c>
      <c r="R1118">
        <v>1361</v>
      </c>
      <c r="S1118" t="s">
        <v>3</v>
      </c>
      <c r="T1118">
        <v>19962</v>
      </c>
      <c r="U1118" t="s">
        <v>3079</v>
      </c>
      <c r="V1118" t="s">
        <v>333</v>
      </c>
      <c r="W1118">
        <v>2.78</v>
      </c>
    </row>
    <row r="1119" spans="1:23">
      <c r="A1119" t="str">
        <f>"002656"</f>
        <v>002656</v>
      </c>
      <c r="B1119" t="s">
        <v>3080</v>
      </c>
      <c r="C1119">
        <v>15.61</v>
      </c>
      <c r="D1119">
        <v>15.86</v>
      </c>
      <c r="E1119">
        <v>15.5</v>
      </c>
      <c r="F1119">
        <v>15.66</v>
      </c>
      <c r="G1119">
        <v>43370</v>
      </c>
      <c r="H1119">
        <v>68059416</v>
      </c>
      <c r="I1119">
        <v>1.53</v>
      </c>
      <c r="J1119" t="s">
        <v>1373</v>
      </c>
      <c r="K1119" t="s">
        <v>211</v>
      </c>
      <c r="L1119">
        <v>0.38</v>
      </c>
      <c r="M1119">
        <v>15.69</v>
      </c>
      <c r="N1119">
        <v>22793</v>
      </c>
      <c r="O1119">
        <v>20577</v>
      </c>
      <c r="P1119">
        <v>1.1100000000000001</v>
      </c>
      <c r="Q1119">
        <v>197</v>
      </c>
      <c r="R1119">
        <v>180</v>
      </c>
      <c r="S1119" t="s">
        <v>3</v>
      </c>
      <c r="T1119">
        <v>5975</v>
      </c>
      <c r="U1119" t="s">
        <v>3081</v>
      </c>
      <c r="V1119" t="s">
        <v>3082</v>
      </c>
      <c r="W1119">
        <v>0.54</v>
      </c>
    </row>
    <row r="1120" spans="1:23">
      <c r="A1120" t="str">
        <f>"002657"</f>
        <v>002657</v>
      </c>
      <c r="B1120" t="s">
        <v>3083</v>
      </c>
      <c r="C1120">
        <v>41.59</v>
      </c>
      <c r="D1120">
        <v>42.72</v>
      </c>
      <c r="E1120">
        <v>40.9</v>
      </c>
      <c r="F1120">
        <v>41.14</v>
      </c>
      <c r="G1120">
        <v>11184</v>
      </c>
      <c r="H1120">
        <v>46569044</v>
      </c>
      <c r="I1120">
        <v>0.52</v>
      </c>
      <c r="J1120" t="s">
        <v>758</v>
      </c>
      <c r="K1120" t="s">
        <v>34</v>
      </c>
      <c r="L1120">
        <v>-1.08</v>
      </c>
      <c r="M1120">
        <v>41.64</v>
      </c>
      <c r="N1120">
        <v>7085</v>
      </c>
      <c r="O1120">
        <v>4099</v>
      </c>
      <c r="P1120">
        <v>1.73</v>
      </c>
      <c r="Q1120">
        <v>27</v>
      </c>
      <c r="R1120">
        <v>8</v>
      </c>
      <c r="S1120" t="s">
        <v>3</v>
      </c>
      <c r="T1120">
        <v>5320.35</v>
      </c>
      <c r="U1120" t="s">
        <v>3084</v>
      </c>
      <c r="V1120" t="s">
        <v>3085</v>
      </c>
      <c r="W1120">
        <v>-0.92</v>
      </c>
    </row>
    <row r="1121" spans="1:23">
      <c r="A1121" t="str">
        <f>"002658"</f>
        <v>002658</v>
      </c>
      <c r="B1121" t="s">
        <v>3086</v>
      </c>
      <c r="C1121">
        <v>23.61</v>
      </c>
      <c r="D1121">
        <v>24.1</v>
      </c>
      <c r="E1121">
        <v>23.61</v>
      </c>
      <c r="F1121">
        <v>23.81</v>
      </c>
      <c r="G1121">
        <v>31409</v>
      </c>
      <c r="H1121">
        <v>75128592</v>
      </c>
      <c r="I1121">
        <v>1.03</v>
      </c>
      <c r="J1121" t="s">
        <v>617</v>
      </c>
      <c r="K1121" t="s">
        <v>34</v>
      </c>
      <c r="L1121">
        <v>0.93</v>
      </c>
      <c r="M1121">
        <v>23.92</v>
      </c>
      <c r="N1121">
        <v>13607</v>
      </c>
      <c r="O1121">
        <v>17802</v>
      </c>
      <c r="P1121">
        <v>0.76</v>
      </c>
      <c r="Q1121">
        <v>213</v>
      </c>
      <c r="R1121">
        <v>389</v>
      </c>
      <c r="S1121" t="s">
        <v>3</v>
      </c>
      <c r="T1121">
        <v>7494.56</v>
      </c>
      <c r="U1121" t="s">
        <v>3087</v>
      </c>
      <c r="V1121" t="s">
        <v>3088</v>
      </c>
      <c r="W1121">
        <v>1.0900000000000001</v>
      </c>
    </row>
    <row r="1122" spans="1:23">
      <c r="A1122" t="str">
        <f>"002659"</f>
        <v>002659</v>
      </c>
      <c r="B1122" t="s">
        <v>3089</v>
      </c>
      <c r="C1122">
        <v>9.2799999999999994</v>
      </c>
      <c r="D1122">
        <v>9.49</v>
      </c>
      <c r="E1122">
        <v>9.15</v>
      </c>
      <c r="F1122">
        <v>9.19</v>
      </c>
      <c r="G1122">
        <v>40615</v>
      </c>
      <c r="H1122">
        <v>37821036</v>
      </c>
      <c r="I1122">
        <v>0.67</v>
      </c>
      <c r="J1122" t="s">
        <v>33</v>
      </c>
      <c r="K1122" t="s">
        <v>244</v>
      </c>
      <c r="L1122">
        <v>-1.61</v>
      </c>
      <c r="M1122">
        <v>9.31</v>
      </c>
      <c r="N1122">
        <v>24162</v>
      </c>
      <c r="O1122">
        <v>16452</v>
      </c>
      <c r="P1122">
        <v>1.47</v>
      </c>
      <c r="Q1122">
        <v>302</v>
      </c>
      <c r="R1122">
        <v>171</v>
      </c>
      <c r="S1122" t="s">
        <v>3</v>
      </c>
      <c r="T1122">
        <v>14540</v>
      </c>
      <c r="U1122" t="s">
        <v>3090</v>
      </c>
      <c r="V1122" t="s">
        <v>3091</v>
      </c>
      <c r="W1122">
        <v>-1.45</v>
      </c>
    </row>
    <row r="1123" spans="1:23">
      <c r="A1123" t="str">
        <f>"002660"</f>
        <v>002660</v>
      </c>
      <c r="B1123" t="s">
        <v>3092</v>
      </c>
      <c r="C1123" t="s">
        <v>3</v>
      </c>
      <c r="D1123" t="s">
        <v>3</v>
      </c>
      <c r="E1123" t="s">
        <v>3</v>
      </c>
      <c r="F1123">
        <v>0</v>
      </c>
      <c r="G1123">
        <v>0</v>
      </c>
      <c r="H1123">
        <v>0</v>
      </c>
      <c r="I1123">
        <v>0</v>
      </c>
      <c r="J1123" t="s">
        <v>145</v>
      </c>
      <c r="K1123" t="s">
        <v>2</v>
      </c>
      <c r="L1123" t="s">
        <v>3</v>
      </c>
      <c r="M1123">
        <v>9.67</v>
      </c>
      <c r="N1123">
        <v>0</v>
      </c>
      <c r="O1123">
        <v>0</v>
      </c>
      <c r="P1123" t="s">
        <v>3</v>
      </c>
      <c r="Q1123">
        <v>0</v>
      </c>
      <c r="R1123">
        <v>0</v>
      </c>
      <c r="S1123" t="s">
        <v>3</v>
      </c>
      <c r="T1123">
        <v>15486.03</v>
      </c>
      <c r="U1123" t="s">
        <v>3093</v>
      </c>
      <c r="V1123" t="s">
        <v>3094</v>
      </c>
      <c r="W1123">
        <v>0.16</v>
      </c>
    </row>
    <row r="1124" spans="1:23">
      <c r="A1124" t="str">
        <f>"002661"</f>
        <v>002661</v>
      </c>
      <c r="B1124" t="s">
        <v>3095</v>
      </c>
      <c r="C1124">
        <v>34.71</v>
      </c>
      <c r="D1124">
        <v>35.24</v>
      </c>
      <c r="E1124">
        <v>34.56</v>
      </c>
      <c r="F1124">
        <v>35.229999999999997</v>
      </c>
      <c r="G1124">
        <v>6925</v>
      </c>
      <c r="H1124">
        <v>24221474</v>
      </c>
      <c r="I1124">
        <v>0.87</v>
      </c>
      <c r="J1124" t="s">
        <v>421</v>
      </c>
      <c r="K1124" t="s">
        <v>234</v>
      </c>
      <c r="L1124">
        <v>1.53</v>
      </c>
      <c r="M1124">
        <v>34.979999999999997</v>
      </c>
      <c r="N1124">
        <v>3474</v>
      </c>
      <c r="O1124">
        <v>3450</v>
      </c>
      <c r="P1124">
        <v>1.01</v>
      </c>
      <c r="Q1124">
        <v>142</v>
      </c>
      <c r="R1124">
        <v>41</v>
      </c>
      <c r="S1124" t="s">
        <v>3</v>
      </c>
      <c r="T1124">
        <v>2135.75</v>
      </c>
      <c r="U1124" t="s">
        <v>3096</v>
      </c>
      <c r="V1124" t="s">
        <v>3097</v>
      </c>
      <c r="W1124">
        <v>1.69</v>
      </c>
    </row>
    <row r="1125" spans="1:23">
      <c r="A1125" t="str">
        <f>"002662"</f>
        <v>002662</v>
      </c>
      <c r="B1125" t="s">
        <v>3098</v>
      </c>
      <c r="C1125">
        <v>12.3</v>
      </c>
      <c r="D1125">
        <v>12.35</v>
      </c>
      <c r="E1125">
        <v>11.97</v>
      </c>
      <c r="F1125">
        <v>12.23</v>
      </c>
      <c r="G1125">
        <v>56050</v>
      </c>
      <c r="H1125">
        <v>68405552</v>
      </c>
      <c r="I1125">
        <v>0.74</v>
      </c>
      <c r="J1125" t="s">
        <v>98</v>
      </c>
      <c r="K1125" t="s">
        <v>34</v>
      </c>
      <c r="L1125">
        <v>0.08</v>
      </c>
      <c r="M1125">
        <v>12.2</v>
      </c>
      <c r="N1125">
        <v>31400</v>
      </c>
      <c r="O1125">
        <v>24650</v>
      </c>
      <c r="P1125">
        <v>1.27</v>
      </c>
      <c r="Q1125">
        <v>360</v>
      </c>
      <c r="R1125">
        <v>7</v>
      </c>
      <c r="S1125" t="s">
        <v>3</v>
      </c>
      <c r="T1125">
        <v>14998.71</v>
      </c>
      <c r="U1125" t="s">
        <v>3099</v>
      </c>
      <c r="V1125" t="s">
        <v>3100</v>
      </c>
      <c r="W1125">
        <v>0.24</v>
      </c>
    </row>
    <row r="1126" spans="1:23">
      <c r="A1126" t="str">
        <f>"002663"</f>
        <v>002663</v>
      </c>
      <c r="B1126" t="s">
        <v>3101</v>
      </c>
      <c r="C1126">
        <v>13.58</v>
      </c>
      <c r="D1126">
        <v>13.63</v>
      </c>
      <c r="E1126">
        <v>13.36</v>
      </c>
      <c r="F1126">
        <v>13.56</v>
      </c>
      <c r="G1126">
        <v>72954</v>
      </c>
      <c r="H1126">
        <v>98114680</v>
      </c>
      <c r="I1126">
        <v>1.58</v>
      </c>
      <c r="J1126" t="s">
        <v>33</v>
      </c>
      <c r="K1126" t="s">
        <v>211</v>
      </c>
      <c r="L1126">
        <v>-7.0000000000000007E-2</v>
      </c>
      <c r="M1126">
        <v>13.45</v>
      </c>
      <c r="N1126">
        <v>39417</v>
      </c>
      <c r="O1126">
        <v>33537</v>
      </c>
      <c r="P1126">
        <v>1.18</v>
      </c>
      <c r="Q1126">
        <v>1491</v>
      </c>
      <c r="R1126">
        <v>152</v>
      </c>
      <c r="S1126" t="s">
        <v>3</v>
      </c>
      <c r="T1126">
        <v>25818.84</v>
      </c>
      <c r="U1126" t="s">
        <v>2834</v>
      </c>
      <c r="V1126" t="s">
        <v>3102</v>
      </c>
      <c r="W1126">
        <v>0.08</v>
      </c>
    </row>
    <row r="1127" spans="1:23">
      <c r="A1127" t="str">
        <f>"002664"</f>
        <v>002664</v>
      </c>
      <c r="B1127" t="s">
        <v>3103</v>
      </c>
      <c r="C1127">
        <v>35.5</v>
      </c>
      <c r="D1127">
        <v>35.9</v>
      </c>
      <c r="E1127">
        <v>34.71</v>
      </c>
      <c r="F1127">
        <v>35.1</v>
      </c>
      <c r="G1127">
        <v>19527</v>
      </c>
      <c r="H1127">
        <v>69011952</v>
      </c>
      <c r="I1127">
        <v>0.67</v>
      </c>
      <c r="J1127" t="s">
        <v>145</v>
      </c>
      <c r="K1127" t="s">
        <v>229</v>
      </c>
      <c r="L1127">
        <v>-0.56999999999999995</v>
      </c>
      <c r="M1127">
        <v>35.340000000000003</v>
      </c>
      <c r="N1127">
        <v>12610</v>
      </c>
      <c r="O1127">
        <v>6916</v>
      </c>
      <c r="P1127">
        <v>1.82</v>
      </c>
      <c r="Q1127">
        <v>156</v>
      </c>
      <c r="R1127">
        <v>2</v>
      </c>
      <c r="S1127" t="s">
        <v>3</v>
      </c>
      <c r="T1127">
        <v>6914.06</v>
      </c>
      <c r="U1127" t="s">
        <v>3104</v>
      </c>
      <c r="V1127" t="s">
        <v>2223</v>
      </c>
      <c r="W1127">
        <v>-0.41</v>
      </c>
    </row>
    <row r="1128" spans="1:23">
      <c r="A1128" t="str">
        <f>"002665"</f>
        <v>002665</v>
      </c>
      <c r="B1128" t="s">
        <v>3105</v>
      </c>
      <c r="C1128">
        <v>42.86</v>
      </c>
      <c r="D1128">
        <v>43.17</v>
      </c>
      <c r="E1128">
        <v>42.22</v>
      </c>
      <c r="F1128">
        <v>42.94</v>
      </c>
      <c r="G1128">
        <v>16730</v>
      </c>
      <c r="H1128">
        <v>71463384</v>
      </c>
      <c r="I1128">
        <v>0.43</v>
      </c>
      <c r="J1128" t="s">
        <v>145</v>
      </c>
      <c r="K1128" t="s">
        <v>34</v>
      </c>
      <c r="L1128">
        <v>0.56000000000000005</v>
      </c>
      <c r="M1128">
        <v>42.72</v>
      </c>
      <c r="N1128">
        <v>7491</v>
      </c>
      <c r="O1128">
        <v>9239</v>
      </c>
      <c r="P1128">
        <v>0.81</v>
      </c>
      <c r="Q1128">
        <v>11</v>
      </c>
      <c r="R1128">
        <v>5</v>
      </c>
      <c r="S1128" t="s">
        <v>3</v>
      </c>
      <c r="T1128">
        <v>12652.5</v>
      </c>
      <c r="U1128" t="s">
        <v>3106</v>
      </c>
      <c r="V1128" t="s">
        <v>3107</v>
      </c>
      <c r="W1128">
        <v>0.72</v>
      </c>
    </row>
    <row r="1129" spans="1:23">
      <c r="A1129" t="str">
        <f>"002666"</f>
        <v>002666</v>
      </c>
      <c r="B1129" t="s">
        <v>3108</v>
      </c>
      <c r="C1129">
        <v>14.37</v>
      </c>
      <c r="D1129">
        <v>14.37</v>
      </c>
      <c r="E1129">
        <v>13.66</v>
      </c>
      <c r="F1129">
        <v>13.79</v>
      </c>
      <c r="G1129">
        <v>60443</v>
      </c>
      <c r="H1129">
        <v>84159248</v>
      </c>
      <c r="I1129">
        <v>1.19</v>
      </c>
      <c r="J1129" t="s">
        <v>376</v>
      </c>
      <c r="K1129" t="s">
        <v>211</v>
      </c>
      <c r="L1129">
        <v>-4.04</v>
      </c>
      <c r="M1129">
        <v>13.92</v>
      </c>
      <c r="N1129">
        <v>42711</v>
      </c>
      <c r="O1129">
        <v>17732</v>
      </c>
      <c r="P1129">
        <v>2.41</v>
      </c>
      <c r="Q1129">
        <v>238</v>
      </c>
      <c r="R1129">
        <v>92</v>
      </c>
      <c r="S1129" t="s">
        <v>3</v>
      </c>
      <c r="T1129">
        <v>11346.62</v>
      </c>
      <c r="U1129" t="s">
        <v>3109</v>
      </c>
      <c r="V1129" t="s">
        <v>3110</v>
      </c>
      <c r="W1129">
        <v>-3.88</v>
      </c>
    </row>
    <row r="1130" spans="1:23">
      <c r="A1130" t="str">
        <f>"002667"</f>
        <v>002667</v>
      </c>
      <c r="B1130" t="s">
        <v>3111</v>
      </c>
      <c r="C1130">
        <v>27.24</v>
      </c>
      <c r="D1130">
        <v>28.2</v>
      </c>
      <c r="E1130">
        <v>26.88</v>
      </c>
      <c r="F1130">
        <v>27.82</v>
      </c>
      <c r="G1130">
        <v>18599</v>
      </c>
      <c r="H1130">
        <v>51069544</v>
      </c>
      <c r="I1130">
        <v>1.05</v>
      </c>
      <c r="J1130" t="s">
        <v>233</v>
      </c>
      <c r="K1130" t="s">
        <v>162</v>
      </c>
      <c r="L1130">
        <v>2.13</v>
      </c>
      <c r="M1130">
        <v>27.46</v>
      </c>
      <c r="N1130">
        <v>9780</v>
      </c>
      <c r="O1130">
        <v>8818</v>
      </c>
      <c r="P1130">
        <v>1.1100000000000001</v>
      </c>
      <c r="Q1130">
        <v>18</v>
      </c>
      <c r="R1130">
        <v>144</v>
      </c>
      <c r="S1130" t="s">
        <v>3</v>
      </c>
      <c r="T1130">
        <v>2798</v>
      </c>
      <c r="U1130" t="s">
        <v>3112</v>
      </c>
      <c r="V1130" t="s">
        <v>3113</v>
      </c>
      <c r="W1130">
        <v>2.29</v>
      </c>
    </row>
    <row r="1131" spans="1:23">
      <c r="A1131" t="str">
        <f>"002668"</f>
        <v>002668</v>
      </c>
      <c r="B1131" t="s">
        <v>3114</v>
      </c>
      <c r="C1131">
        <v>21.75</v>
      </c>
      <c r="D1131">
        <v>21.98</v>
      </c>
      <c r="E1131">
        <v>21.25</v>
      </c>
      <c r="F1131">
        <v>21.85</v>
      </c>
      <c r="G1131">
        <v>79412</v>
      </c>
      <c r="H1131">
        <v>171991664</v>
      </c>
      <c r="I1131">
        <v>1.04</v>
      </c>
      <c r="J1131" t="s">
        <v>47</v>
      </c>
      <c r="K1131" t="s">
        <v>211</v>
      </c>
      <c r="L1131">
        <v>-0.86</v>
      </c>
      <c r="M1131">
        <v>21.66</v>
      </c>
      <c r="N1131">
        <v>47337</v>
      </c>
      <c r="O1131">
        <v>32075</v>
      </c>
      <c r="P1131">
        <v>1.48</v>
      </c>
      <c r="Q1131">
        <v>236</v>
      </c>
      <c r="R1131">
        <v>89</v>
      </c>
      <c r="S1131" t="s">
        <v>3</v>
      </c>
      <c r="T1131">
        <v>7235</v>
      </c>
      <c r="U1131" t="s">
        <v>3115</v>
      </c>
      <c r="V1131" t="s">
        <v>2589</v>
      </c>
      <c r="W1131">
        <v>-0.7</v>
      </c>
    </row>
    <row r="1132" spans="1:23">
      <c r="A1132" t="str">
        <f>"002669"</f>
        <v>002669</v>
      </c>
      <c r="B1132" t="s">
        <v>3116</v>
      </c>
      <c r="C1132">
        <v>16.829999999999998</v>
      </c>
      <c r="D1132">
        <v>17.600000000000001</v>
      </c>
      <c r="E1132">
        <v>16.829999999999998</v>
      </c>
      <c r="F1132">
        <v>17.53</v>
      </c>
      <c r="G1132">
        <v>75470</v>
      </c>
      <c r="H1132">
        <v>131277616</v>
      </c>
      <c r="I1132">
        <v>0.99</v>
      </c>
      <c r="J1132" t="s">
        <v>376</v>
      </c>
      <c r="K1132" t="s">
        <v>727</v>
      </c>
      <c r="L1132">
        <v>3.67</v>
      </c>
      <c r="M1132">
        <v>17.39</v>
      </c>
      <c r="N1132">
        <v>31609</v>
      </c>
      <c r="O1132">
        <v>43861</v>
      </c>
      <c r="P1132">
        <v>0.72</v>
      </c>
      <c r="Q1132">
        <v>763</v>
      </c>
      <c r="R1132">
        <v>714</v>
      </c>
      <c r="S1132" t="s">
        <v>3</v>
      </c>
      <c r="T1132">
        <v>7226.77</v>
      </c>
      <c r="U1132" t="s">
        <v>3117</v>
      </c>
      <c r="V1132" t="s">
        <v>3118</v>
      </c>
      <c r="W1132">
        <v>3.82</v>
      </c>
    </row>
    <row r="1133" spans="1:23">
      <c r="A1133" t="str">
        <f>"002670"</f>
        <v>002670</v>
      </c>
      <c r="B1133" t="s">
        <v>3119</v>
      </c>
      <c r="C1133">
        <v>11.71</v>
      </c>
      <c r="D1133">
        <v>11.75</v>
      </c>
      <c r="E1133">
        <v>11.58</v>
      </c>
      <c r="F1133">
        <v>11.69</v>
      </c>
      <c r="G1133">
        <v>29429</v>
      </c>
      <c r="H1133">
        <v>34389448</v>
      </c>
      <c r="I1133">
        <v>0.97</v>
      </c>
      <c r="J1133" t="s">
        <v>145</v>
      </c>
      <c r="K1133" t="s">
        <v>211</v>
      </c>
      <c r="L1133">
        <v>0.09</v>
      </c>
      <c r="M1133">
        <v>11.69</v>
      </c>
      <c r="N1133">
        <v>16718</v>
      </c>
      <c r="O1133">
        <v>12710</v>
      </c>
      <c r="P1133">
        <v>1.32</v>
      </c>
      <c r="Q1133">
        <v>447</v>
      </c>
      <c r="R1133">
        <v>22</v>
      </c>
      <c r="S1133" t="s">
        <v>3</v>
      </c>
      <c r="T1133">
        <v>8237.73</v>
      </c>
      <c r="U1133" t="s">
        <v>3120</v>
      </c>
      <c r="V1133" t="s">
        <v>3121</v>
      </c>
      <c r="W1133">
        <v>0.24</v>
      </c>
    </row>
    <row r="1134" spans="1:23">
      <c r="A1134" t="str">
        <f>"002671"</f>
        <v>002671</v>
      </c>
      <c r="B1134" t="s">
        <v>3122</v>
      </c>
      <c r="C1134">
        <v>9.6</v>
      </c>
      <c r="D1134">
        <v>9.69</v>
      </c>
      <c r="E1134">
        <v>9.42</v>
      </c>
      <c r="F1134">
        <v>9.65</v>
      </c>
      <c r="G1134">
        <v>81301</v>
      </c>
      <c r="H1134">
        <v>77833696</v>
      </c>
      <c r="I1134">
        <v>0.85</v>
      </c>
      <c r="J1134" t="s">
        <v>150</v>
      </c>
      <c r="K1134" t="s">
        <v>250</v>
      </c>
      <c r="L1134">
        <v>0.42</v>
      </c>
      <c r="M1134">
        <v>9.57</v>
      </c>
      <c r="N1134">
        <v>41649</v>
      </c>
      <c r="O1134">
        <v>39651</v>
      </c>
      <c r="P1134">
        <v>1.05</v>
      </c>
      <c r="Q1134">
        <v>222</v>
      </c>
      <c r="R1134">
        <v>707</v>
      </c>
      <c r="S1134" t="s">
        <v>3</v>
      </c>
      <c r="T1134">
        <v>18332.990000000002</v>
      </c>
      <c r="U1134" t="s">
        <v>1527</v>
      </c>
      <c r="V1134" t="s">
        <v>3123</v>
      </c>
      <c r="W1134">
        <v>0.56999999999999995</v>
      </c>
    </row>
    <row r="1135" spans="1:23">
      <c r="A1135" t="str">
        <f>"002672"</f>
        <v>002672</v>
      </c>
      <c r="B1135" t="s">
        <v>3124</v>
      </c>
      <c r="C1135">
        <v>33.479999999999997</v>
      </c>
      <c r="D1135">
        <v>33.79</v>
      </c>
      <c r="E1135">
        <v>33.130000000000003</v>
      </c>
      <c r="F1135">
        <v>33.43</v>
      </c>
      <c r="G1135">
        <v>21303</v>
      </c>
      <c r="H1135">
        <v>71313992</v>
      </c>
      <c r="I1135">
        <v>0.63</v>
      </c>
      <c r="J1135" t="s">
        <v>462</v>
      </c>
      <c r="K1135" t="s">
        <v>211</v>
      </c>
      <c r="L1135">
        <v>-0.21</v>
      </c>
      <c r="M1135">
        <v>33.479999999999997</v>
      </c>
      <c r="N1135">
        <v>11384</v>
      </c>
      <c r="O1135">
        <v>9918</v>
      </c>
      <c r="P1135">
        <v>1.1499999999999999</v>
      </c>
      <c r="Q1135">
        <v>28</v>
      </c>
      <c r="R1135">
        <v>65</v>
      </c>
      <c r="S1135" t="s">
        <v>3</v>
      </c>
      <c r="T1135">
        <v>12657.33</v>
      </c>
      <c r="U1135" t="s">
        <v>3125</v>
      </c>
      <c r="V1135" t="s">
        <v>3126</v>
      </c>
      <c r="W1135">
        <v>-0.05</v>
      </c>
    </row>
    <row r="1136" spans="1:23">
      <c r="A1136" t="str">
        <f>"002673"</f>
        <v>002673</v>
      </c>
      <c r="B1136" t="s">
        <v>3127</v>
      </c>
      <c r="C1136">
        <v>12.28</v>
      </c>
      <c r="D1136">
        <v>12.29</v>
      </c>
      <c r="E1136">
        <v>12.1</v>
      </c>
      <c r="F1136">
        <v>12.19</v>
      </c>
      <c r="G1136">
        <v>95183</v>
      </c>
      <c r="H1136">
        <v>115964832</v>
      </c>
      <c r="I1136">
        <v>0.75</v>
      </c>
      <c r="J1136" t="s">
        <v>512</v>
      </c>
      <c r="K1136" t="s">
        <v>389</v>
      </c>
      <c r="L1136">
        <v>-0.41</v>
      </c>
      <c r="M1136">
        <v>12.18</v>
      </c>
      <c r="N1136">
        <v>56687</v>
      </c>
      <c r="O1136">
        <v>38496</v>
      </c>
      <c r="P1136">
        <v>1.47</v>
      </c>
      <c r="Q1136">
        <v>292</v>
      </c>
      <c r="R1136">
        <v>222</v>
      </c>
      <c r="S1136" t="s">
        <v>3</v>
      </c>
      <c r="T1136">
        <v>68761.11</v>
      </c>
      <c r="U1136" t="s">
        <v>3128</v>
      </c>
      <c r="V1136" t="s">
        <v>3129</v>
      </c>
      <c r="W1136">
        <v>-0.25</v>
      </c>
    </row>
    <row r="1137" spans="1:23">
      <c r="A1137" t="str">
        <f>"002674"</f>
        <v>002674</v>
      </c>
      <c r="B1137" t="s">
        <v>3130</v>
      </c>
      <c r="C1137">
        <v>13.5</v>
      </c>
      <c r="D1137">
        <v>13.88</v>
      </c>
      <c r="E1137">
        <v>13.47</v>
      </c>
      <c r="F1137">
        <v>13.72</v>
      </c>
      <c r="G1137">
        <v>34341</v>
      </c>
      <c r="H1137">
        <v>46965040</v>
      </c>
      <c r="I1137">
        <v>1.26</v>
      </c>
      <c r="J1137" t="s">
        <v>55</v>
      </c>
      <c r="K1137" t="s">
        <v>414</v>
      </c>
      <c r="L1137">
        <v>0.96</v>
      </c>
      <c r="M1137">
        <v>13.68</v>
      </c>
      <c r="N1137">
        <v>19360</v>
      </c>
      <c r="O1137">
        <v>14980</v>
      </c>
      <c r="P1137">
        <v>1.29</v>
      </c>
      <c r="Q1137">
        <v>426</v>
      </c>
      <c r="R1137">
        <v>71</v>
      </c>
      <c r="S1137" t="s">
        <v>3</v>
      </c>
      <c r="T1137">
        <v>12379.2</v>
      </c>
      <c r="U1137" t="s">
        <v>465</v>
      </c>
      <c r="V1137" t="s">
        <v>3131</v>
      </c>
      <c r="W1137">
        <v>1.1200000000000001</v>
      </c>
    </row>
    <row r="1138" spans="1:23">
      <c r="A1138" t="str">
        <f>"002675"</f>
        <v>002675</v>
      </c>
      <c r="B1138" t="s">
        <v>3132</v>
      </c>
      <c r="C1138">
        <v>20.98</v>
      </c>
      <c r="D1138">
        <v>20.98</v>
      </c>
      <c r="E1138">
        <v>20.58</v>
      </c>
      <c r="F1138">
        <v>20.67</v>
      </c>
      <c r="G1138">
        <v>20293</v>
      </c>
      <c r="H1138">
        <v>41985784</v>
      </c>
      <c r="I1138">
        <v>1.1000000000000001</v>
      </c>
      <c r="J1138" t="s">
        <v>219</v>
      </c>
      <c r="K1138" t="s">
        <v>250</v>
      </c>
      <c r="L1138">
        <v>-1.2</v>
      </c>
      <c r="M1138">
        <v>20.69</v>
      </c>
      <c r="N1138">
        <v>11300</v>
      </c>
      <c r="O1138">
        <v>8992</v>
      </c>
      <c r="P1138">
        <v>1.26</v>
      </c>
      <c r="Q1138">
        <v>10</v>
      </c>
      <c r="R1138">
        <v>74</v>
      </c>
      <c r="S1138" t="s">
        <v>3</v>
      </c>
      <c r="T1138">
        <v>11869.2</v>
      </c>
      <c r="U1138" t="s">
        <v>1491</v>
      </c>
      <c r="V1138" t="s">
        <v>1419</v>
      </c>
      <c r="W1138">
        <v>-1.04</v>
      </c>
    </row>
    <row r="1139" spans="1:23">
      <c r="A1139" t="str">
        <f>"002676"</f>
        <v>002676</v>
      </c>
      <c r="B1139" t="s">
        <v>3133</v>
      </c>
      <c r="C1139">
        <v>14.36</v>
      </c>
      <c r="D1139">
        <v>14.93</v>
      </c>
      <c r="E1139">
        <v>14.31</v>
      </c>
      <c r="F1139">
        <v>14.79</v>
      </c>
      <c r="G1139">
        <v>26818</v>
      </c>
      <c r="H1139">
        <v>39564536</v>
      </c>
      <c r="I1139">
        <v>2.0299999999999998</v>
      </c>
      <c r="J1139" t="s">
        <v>273</v>
      </c>
      <c r="K1139" t="s">
        <v>211</v>
      </c>
      <c r="L1139">
        <v>2.71</v>
      </c>
      <c r="M1139">
        <v>14.75</v>
      </c>
      <c r="N1139">
        <v>13824</v>
      </c>
      <c r="O1139">
        <v>12994</v>
      </c>
      <c r="P1139">
        <v>1.06</v>
      </c>
      <c r="Q1139">
        <v>377</v>
      </c>
      <c r="R1139">
        <v>60</v>
      </c>
      <c r="S1139" t="s">
        <v>3</v>
      </c>
      <c r="T1139">
        <v>4275.22</v>
      </c>
      <c r="U1139" t="s">
        <v>3134</v>
      </c>
      <c r="V1139" t="s">
        <v>3135</v>
      </c>
      <c r="W1139">
        <v>2.87</v>
      </c>
    </row>
    <row r="1140" spans="1:23">
      <c r="A1140" t="str">
        <f>"002677"</f>
        <v>002677</v>
      </c>
      <c r="B1140" t="s">
        <v>3136</v>
      </c>
      <c r="C1140">
        <v>14.08</v>
      </c>
      <c r="D1140">
        <v>14.43</v>
      </c>
      <c r="E1140">
        <v>13.97</v>
      </c>
      <c r="F1140">
        <v>14.29</v>
      </c>
      <c r="G1140">
        <v>30546</v>
      </c>
      <c r="H1140">
        <v>43408832</v>
      </c>
      <c r="I1140">
        <v>1.37</v>
      </c>
      <c r="J1140" t="s">
        <v>47</v>
      </c>
      <c r="K1140" t="s">
        <v>229</v>
      </c>
      <c r="L1140">
        <v>1.35</v>
      </c>
      <c r="M1140">
        <v>14.21</v>
      </c>
      <c r="N1140">
        <v>15816</v>
      </c>
      <c r="O1140">
        <v>14730</v>
      </c>
      <c r="P1140">
        <v>1.07</v>
      </c>
      <c r="Q1140">
        <v>267</v>
      </c>
      <c r="R1140">
        <v>95</v>
      </c>
      <c r="S1140" t="s">
        <v>3</v>
      </c>
      <c r="T1140">
        <v>5000</v>
      </c>
      <c r="U1140" t="s">
        <v>3137</v>
      </c>
      <c r="V1140" t="s">
        <v>3091</v>
      </c>
      <c r="W1140">
        <v>1.51</v>
      </c>
    </row>
    <row r="1141" spans="1:23">
      <c r="A1141" t="str">
        <f>"002678"</f>
        <v>002678</v>
      </c>
      <c r="B1141" t="s">
        <v>3138</v>
      </c>
      <c r="C1141">
        <v>10.99</v>
      </c>
      <c r="D1141">
        <v>11.65</v>
      </c>
      <c r="E1141">
        <v>10.64</v>
      </c>
      <c r="F1141">
        <v>11.25</v>
      </c>
      <c r="G1141">
        <v>260233</v>
      </c>
      <c r="H1141">
        <v>291359840</v>
      </c>
      <c r="I1141">
        <v>1.2</v>
      </c>
      <c r="J1141" t="s">
        <v>51</v>
      </c>
      <c r="K1141" t="s">
        <v>211</v>
      </c>
      <c r="L1141">
        <v>3.5</v>
      </c>
      <c r="M1141">
        <v>11.2</v>
      </c>
      <c r="N1141">
        <v>134196</v>
      </c>
      <c r="O1141">
        <v>126036</v>
      </c>
      <c r="P1141">
        <v>1.06</v>
      </c>
      <c r="Q1141">
        <v>342</v>
      </c>
      <c r="R1141">
        <v>449</v>
      </c>
      <c r="S1141" t="s">
        <v>3</v>
      </c>
      <c r="T1141">
        <v>15237.55</v>
      </c>
      <c r="U1141" t="s">
        <v>3139</v>
      </c>
      <c r="V1141" t="s">
        <v>3140</v>
      </c>
      <c r="W1141">
        <v>3.65</v>
      </c>
    </row>
    <row r="1142" spans="1:23">
      <c r="A1142" t="str">
        <f>"002679"</f>
        <v>002679</v>
      </c>
      <c r="B1142" t="s">
        <v>3141</v>
      </c>
      <c r="C1142">
        <v>17.09</v>
      </c>
      <c r="D1142">
        <v>17.09</v>
      </c>
      <c r="E1142">
        <v>17.09</v>
      </c>
      <c r="F1142">
        <v>17.09</v>
      </c>
      <c r="G1142">
        <v>903</v>
      </c>
      <c r="H1142">
        <v>1542902</v>
      </c>
      <c r="I1142">
        <v>0.03</v>
      </c>
      <c r="J1142" t="s">
        <v>577</v>
      </c>
      <c r="K1142" t="s">
        <v>414</v>
      </c>
      <c r="L1142">
        <v>9.9700000000000006</v>
      </c>
      <c r="M1142">
        <v>17.09</v>
      </c>
      <c r="N1142">
        <v>789</v>
      </c>
      <c r="O1142">
        <v>113</v>
      </c>
      <c r="P1142">
        <v>6.98</v>
      </c>
      <c r="Q1142">
        <v>51269</v>
      </c>
      <c r="R1142">
        <v>0</v>
      </c>
      <c r="S1142" t="s">
        <v>3</v>
      </c>
      <c r="T1142">
        <v>3468</v>
      </c>
      <c r="U1142" t="s">
        <v>3142</v>
      </c>
      <c r="V1142" t="s">
        <v>3143</v>
      </c>
      <c r="W1142">
        <v>10.130000000000001</v>
      </c>
    </row>
    <row r="1143" spans="1:23">
      <c r="A1143" t="str">
        <f>"002680"</f>
        <v>002680</v>
      </c>
      <c r="B1143" t="s">
        <v>3144</v>
      </c>
      <c r="C1143">
        <v>25.39</v>
      </c>
      <c r="D1143">
        <v>25.55</v>
      </c>
      <c r="E1143">
        <v>25.16</v>
      </c>
      <c r="F1143">
        <v>25.35</v>
      </c>
      <c r="G1143">
        <v>12825</v>
      </c>
      <c r="H1143">
        <v>32463070</v>
      </c>
      <c r="I1143">
        <v>0.82</v>
      </c>
      <c r="J1143" t="s">
        <v>233</v>
      </c>
      <c r="K1143" t="s">
        <v>244</v>
      </c>
      <c r="L1143">
        <v>-0.2</v>
      </c>
      <c r="M1143">
        <v>25.31</v>
      </c>
      <c r="N1143">
        <v>7496</v>
      </c>
      <c r="O1143">
        <v>5329</v>
      </c>
      <c r="P1143">
        <v>1.41</v>
      </c>
      <c r="Q1143">
        <v>55</v>
      </c>
      <c r="R1143">
        <v>1</v>
      </c>
      <c r="S1143" t="s">
        <v>3</v>
      </c>
      <c r="T1143">
        <v>2399.2199999999998</v>
      </c>
      <c r="U1143" t="s">
        <v>3145</v>
      </c>
      <c r="V1143" t="s">
        <v>3146</v>
      </c>
      <c r="W1143">
        <v>-0.04</v>
      </c>
    </row>
    <row r="1144" spans="1:23">
      <c r="A1144" t="str">
        <f>"002681"</f>
        <v>002681</v>
      </c>
      <c r="B1144" t="s">
        <v>3147</v>
      </c>
      <c r="C1144" t="s">
        <v>3</v>
      </c>
      <c r="D1144" t="s">
        <v>3</v>
      </c>
      <c r="E1144" t="s">
        <v>3</v>
      </c>
      <c r="F1144">
        <v>0</v>
      </c>
      <c r="G1144">
        <v>0</v>
      </c>
      <c r="H1144">
        <v>0</v>
      </c>
      <c r="I1144">
        <v>0</v>
      </c>
      <c r="J1144" t="s">
        <v>47</v>
      </c>
      <c r="K1144" t="s">
        <v>2</v>
      </c>
      <c r="L1144" t="s">
        <v>3</v>
      </c>
      <c r="M1144">
        <v>27.45</v>
      </c>
      <c r="N1144">
        <v>0</v>
      </c>
      <c r="O1144">
        <v>0</v>
      </c>
      <c r="P1144" t="s">
        <v>3</v>
      </c>
      <c r="Q1144">
        <v>0</v>
      </c>
      <c r="R1144">
        <v>0</v>
      </c>
      <c r="S1144" t="s">
        <v>3</v>
      </c>
      <c r="T1144">
        <v>7500</v>
      </c>
      <c r="U1144" t="s">
        <v>3148</v>
      </c>
      <c r="V1144" t="s">
        <v>3149</v>
      </c>
      <c r="W1144">
        <v>0.16</v>
      </c>
    </row>
    <row r="1145" spans="1:23">
      <c r="A1145" t="str">
        <f>"002682"</f>
        <v>002682</v>
      </c>
      <c r="B1145" t="s">
        <v>3150</v>
      </c>
      <c r="C1145">
        <v>9.69</v>
      </c>
      <c r="D1145">
        <v>9.7899999999999991</v>
      </c>
      <c r="E1145">
        <v>9.52</v>
      </c>
      <c r="F1145">
        <v>9.6</v>
      </c>
      <c r="G1145">
        <v>65619</v>
      </c>
      <c r="H1145">
        <v>62957844</v>
      </c>
      <c r="I1145">
        <v>0.75</v>
      </c>
      <c r="J1145" t="s">
        <v>1350</v>
      </c>
      <c r="K1145" t="s">
        <v>414</v>
      </c>
      <c r="L1145">
        <v>-0.93</v>
      </c>
      <c r="M1145">
        <v>9.59</v>
      </c>
      <c r="N1145">
        <v>38809</v>
      </c>
      <c r="O1145">
        <v>26809</v>
      </c>
      <c r="P1145">
        <v>1.45</v>
      </c>
      <c r="Q1145">
        <v>1151</v>
      </c>
      <c r="R1145">
        <v>615</v>
      </c>
      <c r="S1145" t="s">
        <v>3</v>
      </c>
      <c r="T1145">
        <v>14334.3</v>
      </c>
      <c r="U1145" t="s">
        <v>3151</v>
      </c>
      <c r="V1145" t="s">
        <v>3152</v>
      </c>
      <c r="W1145">
        <v>-0.77</v>
      </c>
    </row>
    <row r="1146" spans="1:23">
      <c r="A1146" t="str">
        <f>"002683"</f>
        <v>002683</v>
      </c>
      <c r="B1146" t="s">
        <v>3153</v>
      </c>
      <c r="C1146">
        <v>30.3</v>
      </c>
      <c r="D1146">
        <v>30.87</v>
      </c>
      <c r="E1146">
        <v>29.82</v>
      </c>
      <c r="F1146">
        <v>30.81</v>
      </c>
      <c r="G1146">
        <v>11981</v>
      </c>
      <c r="H1146">
        <v>36415416</v>
      </c>
      <c r="I1146">
        <v>0.88</v>
      </c>
      <c r="J1146" t="s">
        <v>376</v>
      </c>
      <c r="K1146" t="s">
        <v>211</v>
      </c>
      <c r="L1146">
        <v>1.75</v>
      </c>
      <c r="M1146">
        <v>30.4</v>
      </c>
      <c r="N1146">
        <v>5137</v>
      </c>
      <c r="O1146">
        <v>6843</v>
      </c>
      <c r="P1146">
        <v>0.75</v>
      </c>
      <c r="Q1146">
        <v>121</v>
      </c>
      <c r="R1146">
        <v>10</v>
      </c>
      <c r="S1146" t="s">
        <v>3</v>
      </c>
      <c r="T1146">
        <v>10524.55</v>
      </c>
      <c r="U1146" t="s">
        <v>3154</v>
      </c>
      <c r="V1146" t="s">
        <v>3155</v>
      </c>
      <c r="W1146">
        <v>1.91</v>
      </c>
    </row>
    <row r="1147" spans="1:23">
      <c r="A1147" t="str">
        <f>"002684"</f>
        <v>002684</v>
      </c>
      <c r="B1147" t="s">
        <v>3156</v>
      </c>
      <c r="C1147">
        <v>26.81</v>
      </c>
      <c r="D1147">
        <v>27.07</v>
      </c>
      <c r="E1147">
        <v>26.4</v>
      </c>
      <c r="F1147">
        <v>26.71</v>
      </c>
      <c r="G1147">
        <v>16998</v>
      </c>
      <c r="H1147">
        <v>45419916</v>
      </c>
      <c r="I1147">
        <v>0.8</v>
      </c>
      <c r="J1147" t="s">
        <v>145</v>
      </c>
      <c r="K1147" t="s">
        <v>211</v>
      </c>
      <c r="L1147">
        <v>-0.74</v>
      </c>
      <c r="M1147">
        <v>26.72</v>
      </c>
      <c r="N1147">
        <v>9279</v>
      </c>
      <c r="O1147">
        <v>7718</v>
      </c>
      <c r="P1147">
        <v>1.2</v>
      </c>
      <c r="Q1147">
        <v>28</v>
      </c>
      <c r="R1147">
        <v>323</v>
      </c>
      <c r="S1147" t="s">
        <v>3</v>
      </c>
      <c r="T1147">
        <v>5142.7</v>
      </c>
      <c r="U1147" t="s">
        <v>3157</v>
      </c>
      <c r="V1147" t="s">
        <v>3158</v>
      </c>
      <c r="W1147">
        <v>-0.57999999999999996</v>
      </c>
    </row>
    <row r="1148" spans="1:23">
      <c r="A1148" t="str">
        <f>"002685"</f>
        <v>002685</v>
      </c>
      <c r="B1148" t="s">
        <v>3159</v>
      </c>
      <c r="C1148">
        <v>10.9</v>
      </c>
      <c r="D1148">
        <v>11.02</v>
      </c>
      <c r="E1148">
        <v>10.69</v>
      </c>
      <c r="F1148">
        <v>10.87</v>
      </c>
      <c r="G1148">
        <v>42648</v>
      </c>
      <c r="H1148">
        <v>46401928</v>
      </c>
      <c r="I1148">
        <v>1.1200000000000001</v>
      </c>
      <c r="J1148" t="s">
        <v>233</v>
      </c>
      <c r="K1148" t="s">
        <v>244</v>
      </c>
      <c r="L1148">
        <v>0.37</v>
      </c>
      <c r="M1148">
        <v>10.88</v>
      </c>
      <c r="N1148">
        <v>22217</v>
      </c>
      <c r="O1148">
        <v>20430</v>
      </c>
      <c r="P1148">
        <v>1.0900000000000001</v>
      </c>
      <c r="Q1148">
        <v>54</v>
      </c>
      <c r="R1148">
        <v>67</v>
      </c>
      <c r="S1148" t="s">
        <v>3</v>
      </c>
      <c r="T1148">
        <v>9950</v>
      </c>
      <c r="U1148" t="s">
        <v>3160</v>
      </c>
      <c r="V1148" t="s">
        <v>3161</v>
      </c>
      <c r="W1148">
        <v>0.53</v>
      </c>
    </row>
    <row r="1149" spans="1:23">
      <c r="A1149" t="str">
        <f>"002686"</f>
        <v>002686</v>
      </c>
      <c r="B1149" t="s">
        <v>3162</v>
      </c>
      <c r="C1149">
        <v>12.7</v>
      </c>
      <c r="D1149">
        <v>13.47</v>
      </c>
      <c r="E1149">
        <v>12.38</v>
      </c>
      <c r="F1149">
        <v>13.29</v>
      </c>
      <c r="G1149">
        <v>70410</v>
      </c>
      <c r="H1149">
        <v>91172104</v>
      </c>
      <c r="I1149">
        <v>3.12</v>
      </c>
      <c r="J1149" t="s">
        <v>269</v>
      </c>
      <c r="K1149" t="s">
        <v>229</v>
      </c>
      <c r="L1149">
        <v>4.7300000000000004</v>
      </c>
      <c r="M1149">
        <v>12.95</v>
      </c>
      <c r="N1149">
        <v>29939</v>
      </c>
      <c r="O1149">
        <v>40470</v>
      </c>
      <c r="P1149">
        <v>0.74</v>
      </c>
      <c r="Q1149">
        <v>328</v>
      </c>
      <c r="R1149">
        <v>110</v>
      </c>
      <c r="S1149" t="s">
        <v>3</v>
      </c>
      <c r="T1149">
        <v>6801</v>
      </c>
      <c r="U1149" t="s">
        <v>3163</v>
      </c>
      <c r="V1149" t="s">
        <v>271</v>
      </c>
      <c r="W1149">
        <v>4.8899999999999997</v>
      </c>
    </row>
    <row r="1150" spans="1:23">
      <c r="A1150" t="str">
        <f>"002687"</f>
        <v>002687</v>
      </c>
      <c r="B1150" t="s">
        <v>3164</v>
      </c>
      <c r="C1150">
        <v>9.8800000000000008</v>
      </c>
      <c r="D1150">
        <v>10.039999999999999</v>
      </c>
      <c r="E1150">
        <v>9.83</v>
      </c>
      <c r="F1150">
        <v>9.8800000000000008</v>
      </c>
      <c r="G1150">
        <v>48697</v>
      </c>
      <c r="H1150">
        <v>48271020</v>
      </c>
      <c r="I1150">
        <v>0.98</v>
      </c>
      <c r="J1150" t="s">
        <v>1373</v>
      </c>
      <c r="K1150" t="s">
        <v>229</v>
      </c>
      <c r="L1150">
        <v>0.1</v>
      </c>
      <c r="M1150">
        <v>9.91</v>
      </c>
      <c r="N1150">
        <v>26161</v>
      </c>
      <c r="O1150">
        <v>22536</v>
      </c>
      <c r="P1150">
        <v>1.1599999999999999</v>
      </c>
      <c r="Q1150">
        <v>2837</v>
      </c>
      <c r="R1150">
        <v>30</v>
      </c>
      <c r="S1150" t="s">
        <v>3</v>
      </c>
      <c r="T1150">
        <v>6961.27</v>
      </c>
      <c r="U1150" t="s">
        <v>3165</v>
      </c>
      <c r="V1150" t="s">
        <v>3166</v>
      </c>
      <c r="W1150">
        <v>0.26</v>
      </c>
    </row>
    <row r="1151" spans="1:23">
      <c r="A1151" t="str">
        <f>"002688"</f>
        <v>002688</v>
      </c>
      <c r="B1151" t="s">
        <v>3167</v>
      </c>
      <c r="C1151" t="s">
        <v>3</v>
      </c>
      <c r="D1151" t="s">
        <v>3</v>
      </c>
      <c r="E1151" t="s">
        <v>3</v>
      </c>
      <c r="F1151">
        <v>0</v>
      </c>
      <c r="G1151">
        <v>0</v>
      </c>
      <c r="H1151">
        <v>0</v>
      </c>
      <c r="I1151">
        <v>0</v>
      </c>
      <c r="J1151" t="s">
        <v>219</v>
      </c>
      <c r="K1151" t="s">
        <v>329</v>
      </c>
      <c r="L1151" t="s">
        <v>3</v>
      </c>
      <c r="M1151">
        <v>16.190000000000001</v>
      </c>
      <c r="N1151">
        <v>0</v>
      </c>
      <c r="O1151">
        <v>0</v>
      </c>
      <c r="P1151" t="s">
        <v>3</v>
      </c>
      <c r="Q1151">
        <v>0</v>
      </c>
      <c r="R1151">
        <v>0</v>
      </c>
      <c r="S1151" t="s">
        <v>3</v>
      </c>
      <c r="T1151">
        <v>10849.66</v>
      </c>
      <c r="U1151" t="s">
        <v>3168</v>
      </c>
      <c r="V1151" t="s">
        <v>3169</v>
      </c>
      <c r="W1151">
        <v>0.16</v>
      </c>
    </row>
    <row r="1152" spans="1:23">
      <c r="A1152" t="str">
        <f>"002689"</f>
        <v>002689</v>
      </c>
      <c r="B1152" t="s">
        <v>3170</v>
      </c>
      <c r="C1152">
        <v>7.83</v>
      </c>
      <c r="D1152">
        <v>7.94</v>
      </c>
      <c r="E1152">
        <v>7.7</v>
      </c>
      <c r="F1152">
        <v>7.92</v>
      </c>
      <c r="G1152">
        <v>62442</v>
      </c>
      <c r="H1152">
        <v>48891716</v>
      </c>
      <c r="I1152">
        <v>0.97</v>
      </c>
      <c r="J1152" t="s">
        <v>1208</v>
      </c>
      <c r="K1152" t="s">
        <v>162</v>
      </c>
      <c r="L1152">
        <v>1.1499999999999999</v>
      </c>
      <c r="M1152">
        <v>7.83</v>
      </c>
      <c r="N1152">
        <v>25475</v>
      </c>
      <c r="O1152">
        <v>36966</v>
      </c>
      <c r="P1152">
        <v>0.69</v>
      </c>
      <c r="Q1152">
        <v>304</v>
      </c>
      <c r="R1152">
        <v>100</v>
      </c>
      <c r="S1152" t="s">
        <v>3</v>
      </c>
      <c r="T1152">
        <v>17068.400000000001</v>
      </c>
      <c r="U1152" t="s">
        <v>3171</v>
      </c>
      <c r="V1152" t="s">
        <v>3172</v>
      </c>
      <c r="W1152">
        <v>1.31</v>
      </c>
    </row>
    <row r="1153" spans="1:23">
      <c r="A1153" t="str">
        <f>"002690"</f>
        <v>002690</v>
      </c>
      <c r="B1153" t="s">
        <v>3173</v>
      </c>
      <c r="C1153">
        <v>37.44</v>
      </c>
      <c r="D1153">
        <v>38.1</v>
      </c>
      <c r="E1153">
        <v>37.1</v>
      </c>
      <c r="F1153">
        <v>38.07</v>
      </c>
      <c r="G1153">
        <v>8771</v>
      </c>
      <c r="H1153">
        <v>33053394</v>
      </c>
      <c r="I1153">
        <v>0.59</v>
      </c>
      <c r="J1153" t="s">
        <v>269</v>
      </c>
      <c r="K1153" t="s">
        <v>220</v>
      </c>
      <c r="L1153">
        <v>1.52</v>
      </c>
      <c r="M1153">
        <v>37.68</v>
      </c>
      <c r="N1153">
        <v>3489</v>
      </c>
      <c r="O1153">
        <v>5282</v>
      </c>
      <c r="P1153">
        <v>0.66</v>
      </c>
      <c r="Q1153">
        <v>54</v>
      </c>
      <c r="R1153">
        <v>93</v>
      </c>
      <c r="S1153" t="s">
        <v>3</v>
      </c>
      <c r="T1153">
        <v>11095.95</v>
      </c>
      <c r="U1153" t="s">
        <v>3174</v>
      </c>
      <c r="V1153" t="s">
        <v>3175</v>
      </c>
      <c r="W1153">
        <v>1.68</v>
      </c>
    </row>
    <row r="1154" spans="1:23">
      <c r="A1154" t="str">
        <f>"002691"</f>
        <v>002691</v>
      </c>
      <c r="B1154" t="s">
        <v>3176</v>
      </c>
      <c r="C1154">
        <v>13.36</v>
      </c>
      <c r="D1154">
        <v>13.46</v>
      </c>
      <c r="E1154">
        <v>13.25</v>
      </c>
      <c r="F1154">
        <v>13.37</v>
      </c>
      <c r="G1154">
        <v>71658</v>
      </c>
      <c r="H1154">
        <v>95730952</v>
      </c>
      <c r="I1154">
        <v>1.1599999999999999</v>
      </c>
      <c r="J1154" t="s">
        <v>269</v>
      </c>
      <c r="K1154" t="s">
        <v>238</v>
      </c>
      <c r="L1154">
        <v>-1.4</v>
      </c>
      <c r="M1154">
        <v>13.36</v>
      </c>
      <c r="N1154">
        <v>29182</v>
      </c>
      <c r="O1154">
        <v>42475</v>
      </c>
      <c r="P1154">
        <v>0.69</v>
      </c>
      <c r="Q1154">
        <v>251</v>
      </c>
      <c r="R1154">
        <v>919</v>
      </c>
      <c r="S1154" t="s">
        <v>3</v>
      </c>
      <c r="T1154">
        <v>6596.93</v>
      </c>
      <c r="U1154" t="s">
        <v>3177</v>
      </c>
      <c r="V1154" t="s">
        <v>3178</v>
      </c>
      <c r="W1154">
        <v>-1.24</v>
      </c>
    </row>
    <row r="1155" spans="1:23">
      <c r="A1155" t="str">
        <f>"002692"</f>
        <v>002692</v>
      </c>
      <c r="B1155" t="s">
        <v>3179</v>
      </c>
      <c r="C1155">
        <v>9.11</v>
      </c>
      <c r="D1155">
        <v>9.24</v>
      </c>
      <c r="E1155">
        <v>9.0500000000000007</v>
      </c>
      <c r="F1155">
        <v>9.16</v>
      </c>
      <c r="G1155">
        <v>39552</v>
      </c>
      <c r="H1155">
        <v>36175068</v>
      </c>
      <c r="I1155">
        <v>0.82</v>
      </c>
      <c r="J1155" t="s">
        <v>145</v>
      </c>
      <c r="K1155" t="s">
        <v>244</v>
      </c>
      <c r="L1155">
        <v>0.44</v>
      </c>
      <c r="M1155">
        <v>9.15</v>
      </c>
      <c r="N1155">
        <v>19607</v>
      </c>
      <c r="O1155">
        <v>19945</v>
      </c>
      <c r="P1155">
        <v>0.98</v>
      </c>
      <c r="Q1155">
        <v>166</v>
      </c>
      <c r="R1155">
        <v>549</v>
      </c>
      <c r="S1155" t="s">
        <v>3</v>
      </c>
      <c r="T1155">
        <v>10792.58</v>
      </c>
      <c r="U1155" t="s">
        <v>3180</v>
      </c>
      <c r="V1155" t="s">
        <v>1374</v>
      </c>
      <c r="W1155">
        <v>0.6</v>
      </c>
    </row>
    <row r="1156" spans="1:23">
      <c r="A1156" t="str">
        <f>"002693"</f>
        <v>002693</v>
      </c>
      <c r="B1156" t="s">
        <v>3181</v>
      </c>
      <c r="C1156">
        <v>14.24</v>
      </c>
      <c r="D1156">
        <v>14.35</v>
      </c>
      <c r="E1156">
        <v>13.89</v>
      </c>
      <c r="F1156">
        <v>13.98</v>
      </c>
      <c r="G1156">
        <v>31828</v>
      </c>
      <c r="H1156">
        <v>44549068</v>
      </c>
      <c r="I1156">
        <v>0.69</v>
      </c>
      <c r="J1156" t="s">
        <v>219</v>
      </c>
      <c r="K1156" t="s">
        <v>356</v>
      </c>
      <c r="L1156">
        <v>-1.83</v>
      </c>
      <c r="M1156">
        <v>14</v>
      </c>
      <c r="N1156">
        <v>18143</v>
      </c>
      <c r="O1156">
        <v>13685</v>
      </c>
      <c r="P1156">
        <v>1.33</v>
      </c>
      <c r="Q1156">
        <v>130</v>
      </c>
      <c r="R1156">
        <v>215</v>
      </c>
      <c r="S1156" t="s">
        <v>3</v>
      </c>
      <c r="T1156">
        <v>13371.2</v>
      </c>
      <c r="U1156" t="s">
        <v>1062</v>
      </c>
      <c r="V1156" t="s">
        <v>3182</v>
      </c>
      <c r="W1156">
        <v>-1.67</v>
      </c>
    </row>
    <row r="1157" spans="1:23">
      <c r="A1157" t="str">
        <f>"002694"</f>
        <v>002694</v>
      </c>
      <c r="B1157" t="s">
        <v>3183</v>
      </c>
      <c r="C1157">
        <v>8.49</v>
      </c>
      <c r="D1157">
        <v>8.5</v>
      </c>
      <c r="E1157">
        <v>8.35</v>
      </c>
      <c r="F1157">
        <v>8.4600000000000009</v>
      </c>
      <c r="G1157">
        <v>81966</v>
      </c>
      <c r="H1157">
        <v>69025808</v>
      </c>
      <c r="I1157">
        <v>0.77</v>
      </c>
      <c r="J1157" t="s">
        <v>273</v>
      </c>
      <c r="K1157" t="s">
        <v>317</v>
      </c>
      <c r="L1157">
        <v>-0.35</v>
      </c>
      <c r="M1157">
        <v>8.42</v>
      </c>
      <c r="N1157">
        <v>49330</v>
      </c>
      <c r="O1157">
        <v>32635</v>
      </c>
      <c r="P1157">
        <v>1.51</v>
      </c>
      <c r="Q1157">
        <v>729</v>
      </c>
      <c r="R1157">
        <v>497</v>
      </c>
      <c r="S1157" t="s">
        <v>3</v>
      </c>
      <c r="T1157">
        <v>12721.25</v>
      </c>
      <c r="U1157" t="s">
        <v>3184</v>
      </c>
      <c r="V1157" t="s">
        <v>2063</v>
      </c>
      <c r="W1157">
        <v>-0.19</v>
      </c>
    </row>
    <row r="1158" spans="1:23">
      <c r="A1158" t="str">
        <f>"002695"</f>
        <v>002695</v>
      </c>
      <c r="B1158" t="s">
        <v>3185</v>
      </c>
      <c r="C1158">
        <v>30.9</v>
      </c>
      <c r="D1158">
        <v>31</v>
      </c>
      <c r="E1158">
        <v>30.23</v>
      </c>
      <c r="F1158">
        <v>30.41</v>
      </c>
      <c r="G1158">
        <v>9153</v>
      </c>
      <c r="H1158">
        <v>27907970</v>
      </c>
      <c r="I1158">
        <v>0.61</v>
      </c>
      <c r="J1158" t="s">
        <v>421</v>
      </c>
      <c r="K1158" t="s">
        <v>265</v>
      </c>
      <c r="L1158">
        <v>-1.2</v>
      </c>
      <c r="M1158">
        <v>30.49</v>
      </c>
      <c r="N1158">
        <v>5818</v>
      </c>
      <c r="O1158">
        <v>3335</v>
      </c>
      <c r="P1158">
        <v>1.74</v>
      </c>
      <c r="Q1158">
        <v>22</v>
      </c>
      <c r="R1158">
        <v>57</v>
      </c>
      <c r="S1158" t="s">
        <v>3</v>
      </c>
      <c r="T1158">
        <v>4293.6400000000003</v>
      </c>
      <c r="U1158" t="s">
        <v>3186</v>
      </c>
      <c r="V1158" t="s">
        <v>3187</v>
      </c>
      <c r="W1158">
        <v>-1.04</v>
      </c>
    </row>
    <row r="1159" spans="1:23">
      <c r="A1159" t="str">
        <f>"002696"</f>
        <v>002696</v>
      </c>
      <c r="B1159" t="s">
        <v>3188</v>
      </c>
      <c r="C1159">
        <v>12.13</v>
      </c>
      <c r="D1159">
        <v>12.18</v>
      </c>
      <c r="E1159">
        <v>12.07</v>
      </c>
      <c r="F1159">
        <v>12.17</v>
      </c>
      <c r="G1159">
        <v>39869</v>
      </c>
      <c r="H1159">
        <v>48346644</v>
      </c>
      <c r="I1159">
        <v>0.75</v>
      </c>
      <c r="J1159" t="s">
        <v>988</v>
      </c>
      <c r="K1159" t="s">
        <v>417</v>
      </c>
      <c r="L1159">
        <v>0.33</v>
      </c>
      <c r="M1159">
        <v>12.13</v>
      </c>
      <c r="N1159">
        <v>21277</v>
      </c>
      <c r="O1159">
        <v>18592</v>
      </c>
      <c r="P1159">
        <v>1.1399999999999999</v>
      </c>
      <c r="Q1159">
        <v>69</v>
      </c>
      <c r="R1159">
        <v>107</v>
      </c>
      <c r="S1159" t="s">
        <v>3</v>
      </c>
      <c r="T1159">
        <v>7990.91</v>
      </c>
      <c r="U1159" t="s">
        <v>3189</v>
      </c>
      <c r="V1159" t="s">
        <v>853</v>
      </c>
      <c r="W1159">
        <v>0.49</v>
      </c>
    </row>
    <row r="1160" spans="1:23">
      <c r="A1160" t="str">
        <f>"002697"</f>
        <v>002697</v>
      </c>
      <c r="B1160" t="s">
        <v>3190</v>
      </c>
      <c r="C1160">
        <v>14.1</v>
      </c>
      <c r="D1160">
        <v>15.48</v>
      </c>
      <c r="E1160">
        <v>14.1</v>
      </c>
      <c r="F1160">
        <v>14.94</v>
      </c>
      <c r="G1160">
        <v>220317</v>
      </c>
      <c r="H1160">
        <v>329962880</v>
      </c>
      <c r="I1160">
        <v>1.46</v>
      </c>
      <c r="J1160" t="s">
        <v>920</v>
      </c>
      <c r="K1160" t="s">
        <v>225</v>
      </c>
      <c r="L1160">
        <v>4.7699999999999996</v>
      </c>
      <c r="M1160">
        <v>14.98</v>
      </c>
      <c r="N1160">
        <v>106537</v>
      </c>
      <c r="O1160">
        <v>113780</v>
      </c>
      <c r="P1160">
        <v>0.94</v>
      </c>
      <c r="Q1160">
        <v>360</v>
      </c>
      <c r="R1160">
        <v>73</v>
      </c>
      <c r="S1160" t="s">
        <v>3</v>
      </c>
      <c r="T1160">
        <v>15399.45</v>
      </c>
      <c r="U1160" t="s">
        <v>1687</v>
      </c>
      <c r="V1160" t="s">
        <v>3191</v>
      </c>
      <c r="W1160">
        <v>4.93</v>
      </c>
    </row>
    <row r="1161" spans="1:23">
      <c r="A1161" t="str">
        <f>"002698"</f>
        <v>002698</v>
      </c>
      <c r="B1161" t="s">
        <v>3192</v>
      </c>
      <c r="C1161">
        <v>26.35</v>
      </c>
      <c r="D1161">
        <v>26.61</v>
      </c>
      <c r="E1161">
        <v>26.19</v>
      </c>
      <c r="F1161">
        <v>26.34</v>
      </c>
      <c r="G1161">
        <v>26170</v>
      </c>
      <c r="H1161">
        <v>69043640</v>
      </c>
      <c r="I1161">
        <v>0.8</v>
      </c>
      <c r="J1161" t="s">
        <v>1082</v>
      </c>
      <c r="K1161" t="s">
        <v>565</v>
      </c>
      <c r="L1161">
        <v>-0.23</v>
      </c>
      <c r="M1161">
        <v>26.38</v>
      </c>
      <c r="N1161">
        <v>15667</v>
      </c>
      <c r="O1161">
        <v>10502</v>
      </c>
      <c r="P1161">
        <v>1.49</v>
      </c>
      <c r="Q1161">
        <v>174</v>
      </c>
      <c r="R1161">
        <v>140</v>
      </c>
      <c r="S1161" t="s">
        <v>3</v>
      </c>
      <c r="T1161">
        <v>10692.99</v>
      </c>
      <c r="U1161" t="s">
        <v>3193</v>
      </c>
      <c r="V1161" t="s">
        <v>3194</v>
      </c>
      <c r="W1161">
        <v>-7.0000000000000007E-2</v>
      </c>
    </row>
    <row r="1162" spans="1:23">
      <c r="A1162" t="str">
        <f>"002699"</f>
        <v>002699</v>
      </c>
      <c r="B1162" t="s">
        <v>3195</v>
      </c>
      <c r="C1162">
        <v>23.46</v>
      </c>
      <c r="D1162">
        <v>24</v>
      </c>
      <c r="E1162">
        <v>23.25</v>
      </c>
      <c r="F1162">
        <v>23.75</v>
      </c>
      <c r="G1162">
        <v>26020</v>
      </c>
      <c r="H1162">
        <v>61623280</v>
      </c>
      <c r="I1162">
        <v>0.73</v>
      </c>
      <c r="J1162" t="s">
        <v>51</v>
      </c>
      <c r="K1162" t="s">
        <v>229</v>
      </c>
      <c r="L1162">
        <v>1.28</v>
      </c>
      <c r="M1162">
        <v>23.68</v>
      </c>
      <c r="N1162">
        <v>13922</v>
      </c>
      <c r="O1162">
        <v>12097</v>
      </c>
      <c r="P1162">
        <v>1.1499999999999999</v>
      </c>
      <c r="Q1162">
        <v>352</v>
      </c>
      <c r="R1162">
        <v>22</v>
      </c>
      <c r="S1162" t="s">
        <v>3</v>
      </c>
      <c r="T1162">
        <v>6941</v>
      </c>
      <c r="U1162" t="s">
        <v>3196</v>
      </c>
      <c r="V1162" t="s">
        <v>3197</v>
      </c>
      <c r="W1162">
        <v>1.44</v>
      </c>
    </row>
    <row r="1163" spans="1:23">
      <c r="A1163" t="str">
        <f>"002700"</f>
        <v>002700</v>
      </c>
      <c r="B1163" t="s">
        <v>3198</v>
      </c>
      <c r="C1163">
        <v>21.57</v>
      </c>
      <c r="D1163">
        <v>21.71</v>
      </c>
      <c r="E1163">
        <v>21.47</v>
      </c>
      <c r="F1163">
        <v>21.62</v>
      </c>
      <c r="G1163">
        <v>35225</v>
      </c>
      <c r="H1163">
        <v>76061640</v>
      </c>
      <c r="I1163">
        <v>0.82</v>
      </c>
      <c r="J1163" t="s">
        <v>581</v>
      </c>
      <c r="K1163" t="s">
        <v>241</v>
      </c>
      <c r="L1163">
        <v>0.19</v>
      </c>
      <c r="M1163">
        <v>21.59</v>
      </c>
      <c r="N1163">
        <v>17556</v>
      </c>
      <c r="O1163">
        <v>17668</v>
      </c>
      <c r="P1163">
        <v>0.99</v>
      </c>
      <c r="Q1163">
        <v>191</v>
      </c>
      <c r="R1163">
        <v>6</v>
      </c>
      <c r="S1163" t="s">
        <v>3</v>
      </c>
      <c r="T1163">
        <v>9212.16</v>
      </c>
      <c r="U1163" t="s">
        <v>3199</v>
      </c>
      <c r="V1163" t="s">
        <v>3200</v>
      </c>
      <c r="W1163">
        <v>0.34</v>
      </c>
    </row>
    <row r="1164" spans="1:23">
      <c r="A1164" t="str">
        <f>"002701"</f>
        <v>002701</v>
      </c>
      <c r="B1164" t="s">
        <v>3201</v>
      </c>
      <c r="C1164">
        <v>21.14</v>
      </c>
      <c r="D1164">
        <v>21.37</v>
      </c>
      <c r="E1164">
        <v>21.04</v>
      </c>
      <c r="F1164">
        <v>21.33</v>
      </c>
      <c r="G1164">
        <v>97027</v>
      </c>
      <c r="H1164">
        <v>205696672</v>
      </c>
      <c r="I1164">
        <v>0.87</v>
      </c>
      <c r="J1164" t="s">
        <v>707</v>
      </c>
      <c r="K1164" t="s">
        <v>34</v>
      </c>
      <c r="L1164">
        <v>0.9</v>
      </c>
      <c r="M1164">
        <v>21.2</v>
      </c>
      <c r="N1164">
        <v>51818</v>
      </c>
      <c r="O1164">
        <v>45208</v>
      </c>
      <c r="P1164">
        <v>1.1499999999999999</v>
      </c>
      <c r="Q1164">
        <v>1053</v>
      </c>
      <c r="R1164">
        <v>414</v>
      </c>
      <c r="S1164" t="s">
        <v>3</v>
      </c>
      <c r="T1164">
        <v>32411.5</v>
      </c>
      <c r="U1164" t="s">
        <v>3202</v>
      </c>
      <c r="V1164" t="s">
        <v>3203</v>
      </c>
      <c r="W1164">
        <v>1.06</v>
      </c>
    </row>
    <row r="1165" spans="1:23">
      <c r="A1165" t="str">
        <f>"002702"</f>
        <v>002702</v>
      </c>
      <c r="B1165" t="s">
        <v>3204</v>
      </c>
      <c r="C1165">
        <v>16.93</v>
      </c>
      <c r="D1165">
        <v>17.37</v>
      </c>
      <c r="E1165">
        <v>16.93</v>
      </c>
      <c r="F1165">
        <v>17.18</v>
      </c>
      <c r="G1165">
        <v>10753</v>
      </c>
      <c r="H1165">
        <v>18488058</v>
      </c>
      <c r="I1165">
        <v>0.4</v>
      </c>
      <c r="J1165" t="s">
        <v>421</v>
      </c>
      <c r="K1165" t="s">
        <v>414</v>
      </c>
      <c r="L1165">
        <v>0.06</v>
      </c>
      <c r="M1165">
        <v>17.190000000000001</v>
      </c>
      <c r="N1165">
        <v>4373</v>
      </c>
      <c r="O1165">
        <v>6379</v>
      </c>
      <c r="P1165">
        <v>0.69</v>
      </c>
      <c r="Q1165">
        <v>85</v>
      </c>
      <c r="R1165">
        <v>31</v>
      </c>
      <c r="S1165" t="s">
        <v>3</v>
      </c>
      <c r="T1165">
        <v>6100</v>
      </c>
      <c r="U1165" t="s">
        <v>3205</v>
      </c>
      <c r="V1165" t="s">
        <v>3206</v>
      </c>
      <c r="W1165">
        <v>0.22</v>
      </c>
    </row>
    <row r="1166" spans="1:23">
      <c r="A1166" t="str">
        <f>"002703"</f>
        <v>002703</v>
      </c>
      <c r="B1166" t="s">
        <v>3207</v>
      </c>
      <c r="C1166">
        <v>21.45</v>
      </c>
      <c r="D1166">
        <v>23.3</v>
      </c>
      <c r="E1166">
        <v>21.35</v>
      </c>
      <c r="F1166">
        <v>23.13</v>
      </c>
      <c r="G1166">
        <v>34336</v>
      </c>
      <c r="H1166">
        <v>77636288</v>
      </c>
      <c r="I1166">
        <v>3.04</v>
      </c>
      <c r="J1166" t="s">
        <v>98</v>
      </c>
      <c r="K1166" t="s">
        <v>229</v>
      </c>
      <c r="L1166">
        <v>7.73</v>
      </c>
      <c r="M1166">
        <v>22.61</v>
      </c>
      <c r="N1166">
        <v>13441</v>
      </c>
      <c r="O1166">
        <v>20895</v>
      </c>
      <c r="P1166">
        <v>0.64</v>
      </c>
      <c r="Q1166">
        <v>291</v>
      </c>
      <c r="R1166">
        <v>96</v>
      </c>
      <c r="S1166" t="s">
        <v>3</v>
      </c>
      <c r="T1166">
        <v>1500</v>
      </c>
      <c r="U1166" t="s">
        <v>3208</v>
      </c>
      <c r="V1166" t="s">
        <v>3209</v>
      </c>
      <c r="W1166">
        <v>7.89</v>
      </c>
    </row>
    <row r="1167" spans="1:23">
      <c r="A1167" t="str">
        <f>"002705"</f>
        <v>002705</v>
      </c>
      <c r="B1167" t="s">
        <v>3210</v>
      </c>
      <c r="C1167">
        <v>15.34</v>
      </c>
      <c r="D1167">
        <v>15.4</v>
      </c>
      <c r="E1167">
        <v>15.11</v>
      </c>
      <c r="F1167">
        <v>15.36</v>
      </c>
      <c r="G1167">
        <v>45754</v>
      </c>
      <c r="H1167">
        <v>69769856</v>
      </c>
      <c r="I1167">
        <v>0.86</v>
      </c>
      <c r="J1167" t="s">
        <v>47</v>
      </c>
      <c r="K1167" t="s">
        <v>211</v>
      </c>
      <c r="L1167">
        <v>0.26</v>
      </c>
      <c r="M1167">
        <v>15.25</v>
      </c>
      <c r="N1167">
        <v>23796</v>
      </c>
      <c r="O1167">
        <v>21957</v>
      </c>
      <c r="P1167">
        <v>1.08</v>
      </c>
      <c r="Q1167">
        <v>190</v>
      </c>
      <c r="R1167">
        <v>489</v>
      </c>
      <c r="S1167" t="s">
        <v>3</v>
      </c>
      <c r="T1167">
        <v>7600</v>
      </c>
      <c r="U1167" t="s">
        <v>3211</v>
      </c>
      <c r="V1167" t="s">
        <v>3212</v>
      </c>
      <c r="W1167">
        <v>0.42</v>
      </c>
    </row>
    <row r="1168" spans="1:23">
      <c r="A1168" t="str">
        <f>"002706"</f>
        <v>002706</v>
      </c>
      <c r="B1168" t="s">
        <v>3213</v>
      </c>
      <c r="C1168">
        <v>35.58</v>
      </c>
      <c r="D1168">
        <v>35.659999999999997</v>
      </c>
      <c r="E1168">
        <v>35.04</v>
      </c>
      <c r="F1168">
        <v>35.24</v>
      </c>
      <c r="G1168">
        <v>10234</v>
      </c>
      <c r="H1168">
        <v>36039764</v>
      </c>
      <c r="I1168">
        <v>0.97</v>
      </c>
      <c r="J1168" t="s">
        <v>145</v>
      </c>
      <c r="K1168" t="s">
        <v>727</v>
      </c>
      <c r="L1168">
        <v>-0.93</v>
      </c>
      <c r="M1168">
        <v>35.22</v>
      </c>
      <c r="N1168">
        <v>5476</v>
      </c>
      <c r="O1168">
        <v>4757</v>
      </c>
      <c r="P1168">
        <v>1.1499999999999999</v>
      </c>
      <c r="Q1168">
        <v>22</v>
      </c>
      <c r="R1168">
        <v>222</v>
      </c>
      <c r="S1168" t="s">
        <v>3</v>
      </c>
      <c r="T1168">
        <v>2154</v>
      </c>
      <c r="U1168" t="s">
        <v>3214</v>
      </c>
      <c r="V1168" t="s">
        <v>3215</v>
      </c>
      <c r="W1168">
        <v>-0.77</v>
      </c>
    </row>
    <row r="1169" spans="1:23">
      <c r="A1169" t="str">
        <f>"002707"</f>
        <v>002707</v>
      </c>
      <c r="B1169" t="s">
        <v>3216</v>
      </c>
      <c r="C1169" t="s">
        <v>3</v>
      </c>
      <c r="D1169" t="s">
        <v>3</v>
      </c>
      <c r="E1169" t="s">
        <v>3</v>
      </c>
      <c r="F1169">
        <v>0</v>
      </c>
      <c r="G1169">
        <v>0</v>
      </c>
      <c r="H1169">
        <v>0</v>
      </c>
      <c r="I1169">
        <v>0</v>
      </c>
      <c r="J1169" t="s">
        <v>625</v>
      </c>
      <c r="K1169" t="s">
        <v>34</v>
      </c>
      <c r="L1169" t="s">
        <v>3</v>
      </c>
      <c r="M1169">
        <v>90</v>
      </c>
      <c r="N1169">
        <v>0</v>
      </c>
      <c r="O1169">
        <v>0</v>
      </c>
      <c r="P1169" t="s">
        <v>3</v>
      </c>
      <c r="Q1169">
        <v>0</v>
      </c>
      <c r="R1169">
        <v>0</v>
      </c>
      <c r="S1169" t="s">
        <v>3</v>
      </c>
      <c r="T1169">
        <v>1457.5</v>
      </c>
      <c r="U1169" t="s">
        <v>468</v>
      </c>
      <c r="V1169" t="s">
        <v>2612</v>
      </c>
      <c r="W1169">
        <v>0.16</v>
      </c>
    </row>
    <row r="1170" spans="1:23">
      <c r="A1170" t="str">
        <f>"002708"</f>
        <v>002708</v>
      </c>
      <c r="B1170" t="s">
        <v>3217</v>
      </c>
      <c r="C1170" t="s">
        <v>3</v>
      </c>
      <c r="D1170" t="s">
        <v>3</v>
      </c>
      <c r="E1170" t="s">
        <v>3</v>
      </c>
      <c r="F1170">
        <v>0</v>
      </c>
      <c r="G1170">
        <v>0</v>
      </c>
      <c r="H1170">
        <v>0</v>
      </c>
      <c r="I1170">
        <v>0</v>
      </c>
      <c r="J1170" t="s">
        <v>98</v>
      </c>
      <c r="K1170" t="s">
        <v>244</v>
      </c>
      <c r="L1170" t="s">
        <v>3</v>
      </c>
      <c r="M1170">
        <v>19</v>
      </c>
      <c r="N1170">
        <v>0</v>
      </c>
      <c r="O1170">
        <v>0</v>
      </c>
      <c r="P1170" t="s">
        <v>3</v>
      </c>
      <c r="Q1170">
        <v>0</v>
      </c>
      <c r="R1170">
        <v>0</v>
      </c>
      <c r="S1170" t="s">
        <v>3</v>
      </c>
      <c r="T1170">
        <v>4648</v>
      </c>
      <c r="U1170" t="s">
        <v>3218</v>
      </c>
      <c r="V1170" t="s">
        <v>3219</v>
      </c>
      <c r="W1170">
        <v>0.16</v>
      </c>
    </row>
    <row r="1171" spans="1:23">
      <c r="A1171" t="str">
        <f>"002709"</f>
        <v>002709</v>
      </c>
      <c r="B1171" t="s">
        <v>3220</v>
      </c>
      <c r="C1171">
        <v>37.770000000000003</v>
      </c>
      <c r="D1171">
        <v>37.770000000000003</v>
      </c>
      <c r="E1171">
        <v>37</v>
      </c>
      <c r="F1171">
        <v>37.08</v>
      </c>
      <c r="G1171">
        <v>38204</v>
      </c>
      <c r="H1171">
        <v>142405200</v>
      </c>
      <c r="I1171">
        <v>1.18</v>
      </c>
      <c r="J1171" t="s">
        <v>376</v>
      </c>
      <c r="K1171" t="s">
        <v>211</v>
      </c>
      <c r="L1171">
        <v>-2.11</v>
      </c>
      <c r="M1171">
        <v>37.270000000000003</v>
      </c>
      <c r="N1171">
        <v>21760</v>
      </c>
      <c r="O1171">
        <v>16444</v>
      </c>
      <c r="P1171">
        <v>1.32</v>
      </c>
      <c r="Q1171">
        <v>17</v>
      </c>
      <c r="R1171">
        <v>7</v>
      </c>
      <c r="S1171" t="s">
        <v>3</v>
      </c>
      <c r="T1171">
        <v>3010.5</v>
      </c>
      <c r="U1171" t="s">
        <v>3221</v>
      </c>
      <c r="V1171" t="s">
        <v>3222</v>
      </c>
      <c r="W1171">
        <v>-1.95</v>
      </c>
    </row>
    <row r="1172" spans="1:23">
      <c r="A1172" t="str">
        <f>"002711"</f>
        <v>002711</v>
      </c>
      <c r="B1172" t="s">
        <v>3223</v>
      </c>
      <c r="C1172">
        <v>38.19</v>
      </c>
      <c r="D1172">
        <v>39.479999999999997</v>
      </c>
      <c r="E1172">
        <v>37.6</v>
      </c>
      <c r="F1172">
        <v>39.1</v>
      </c>
      <c r="G1172">
        <v>36984</v>
      </c>
      <c r="H1172">
        <v>143087216</v>
      </c>
      <c r="I1172">
        <v>1.21</v>
      </c>
      <c r="J1172" t="s">
        <v>1859</v>
      </c>
      <c r="K1172" t="s">
        <v>211</v>
      </c>
      <c r="L1172">
        <v>2.38</v>
      </c>
      <c r="M1172">
        <v>38.69</v>
      </c>
      <c r="N1172">
        <v>17302</v>
      </c>
      <c r="O1172">
        <v>19682</v>
      </c>
      <c r="P1172">
        <v>0.88</v>
      </c>
      <c r="Q1172">
        <v>22</v>
      </c>
      <c r="R1172">
        <v>121</v>
      </c>
      <c r="S1172" t="s">
        <v>3</v>
      </c>
      <c r="T1172">
        <v>3752.75</v>
      </c>
      <c r="U1172" t="s">
        <v>3224</v>
      </c>
      <c r="V1172" t="s">
        <v>3225</v>
      </c>
      <c r="W1172">
        <v>2.54</v>
      </c>
    </row>
    <row r="1173" spans="1:23">
      <c r="A1173" t="str">
        <f>"002712"</f>
        <v>002712</v>
      </c>
      <c r="B1173" t="s">
        <v>3226</v>
      </c>
      <c r="C1173">
        <v>51.79</v>
      </c>
      <c r="D1173">
        <v>51.79</v>
      </c>
      <c r="E1173">
        <v>50.67</v>
      </c>
      <c r="F1173">
        <v>51.39</v>
      </c>
      <c r="G1173">
        <v>22281</v>
      </c>
      <c r="H1173">
        <v>114101984</v>
      </c>
      <c r="I1173">
        <v>0.96</v>
      </c>
      <c r="J1173" t="s">
        <v>707</v>
      </c>
      <c r="K1173" t="s">
        <v>229</v>
      </c>
      <c r="L1173">
        <v>-0.91</v>
      </c>
      <c r="M1173">
        <v>51.21</v>
      </c>
      <c r="N1173">
        <v>12187</v>
      </c>
      <c r="O1173">
        <v>10094</v>
      </c>
      <c r="P1173">
        <v>1.21</v>
      </c>
      <c r="Q1173">
        <v>8</v>
      </c>
      <c r="R1173">
        <v>238</v>
      </c>
      <c r="S1173" t="s">
        <v>3</v>
      </c>
      <c r="T1173">
        <v>2132.98</v>
      </c>
      <c r="U1173" t="s">
        <v>3227</v>
      </c>
      <c r="V1173" t="s">
        <v>3228</v>
      </c>
      <c r="W1173">
        <v>-0.75</v>
      </c>
    </row>
    <row r="1174" spans="1:23">
      <c r="A1174" t="str">
        <f>"002713"</f>
        <v>002713</v>
      </c>
      <c r="B1174" t="s">
        <v>3229</v>
      </c>
      <c r="C1174">
        <v>43.8</v>
      </c>
      <c r="D1174">
        <v>44.44</v>
      </c>
      <c r="E1174">
        <v>42.07</v>
      </c>
      <c r="F1174">
        <v>43.43</v>
      </c>
      <c r="G1174">
        <v>11757</v>
      </c>
      <c r="H1174">
        <v>50916584</v>
      </c>
      <c r="I1174">
        <v>0.91</v>
      </c>
      <c r="J1174" t="s">
        <v>1496</v>
      </c>
      <c r="K1174" t="s">
        <v>34</v>
      </c>
      <c r="L1174">
        <v>-0.11</v>
      </c>
      <c r="M1174">
        <v>43.31</v>
      </c>
      <c r="N1174">
        <v>6920</v>
      </c>
      <c r="O1174">
        <v>4836</v>
      </c>
      <c r="P1174">
        <v>1.43</v>
      </c>
      <c r="Q1174">
        <v>5</v>
      </c>
      <c r="R1174">
        <v>3</v>
      </c>
      <c r="S1174" t="s">
        <v>3</v>
      </c>
      <c r="T1174">
        <v>3121.01</v>
      </c>
      <c r="U1174" t="s">
        <v>3230</v>
      </c>
      <c r="V1174" t="s">
        <v>3231</v>
      </c>
      <c r="W1174">
        <v>0.04</v>
      </c>
    </row>
    <row r="1175" spans="1:23">
      <c r="A1175" t="str">
        <f>"002714"</f>
        <v>002714</v>
      </c>
      <c r="B1175" t="s">
        <v>3232</v>
      </c>
      <c r="C1175">
        <v>51.79</v>
      </c>
      <c r="D1175">
        <v>52.07</v>
      </c>
      <c r="E1175">
        <v>50.54</v>
      </c>
      <c r="F1175">
        <v>51.9</v>
      </c>
      <c r="G1175">
        <v>5227</v>
      </c>
      <c r="H1175">
        <v>26899578</v>
      </c>
      <c r="I1175">
        <v>0.78</v>
      </c>
      <c r="J1175" t="s">
        <v>169</v>
      </c>
      <c r="K1175" t="s">
        <v>254</v>
      </c>
      <c r="L1175">
        <v>-0.52</v>
      </c>
      <c r="M1175">
        <v>51.46</v>
      </c>
      <c r="N1175">
        <v>3330</v>
      </c>
      <c r="O1175">
        <v>1897</v>
      </c>
      <c r="P1175">
        <v>1.76</v>
      </c>
      <c r="Q1175">
        <v>328</v>
      </c>
      <c r="R1175">
        <v>18</v>
      </c>
      <c r="S1175" t="s">
        <v>3</v>
      </c>
      <c r="T1175">
        <v>6050</v>
      </c>
      <c r="U1175" t="s">
        <v>222</v>
      </c>
      <c r="V1175" t="s">
        <v>3233</v>
      </c>
      <c r="W1175">
        <v>-0.36</v>
      </c>
    </row>
    <row r="1176" spans="1:23">
      <c r="A1176" t="str">
        <f>"002715"</f>
        <v>002715</v>
      </c>
      <c r="B1176" t="s">
        <v>3234</v>
      </c>
      <c r="C1176">
        <v>29.7</v>
      </c>
      <c r="D1176">
        <v>29.84</v>
      </c>
      <c r="E1176">
        <v>29.4</v>
      </c>
      <c r="F1176">
        <v>29.68</v>
      </c>
      <c r="G1176">
        <v>10320</v>
      </c>
      <c r="H1176">
        <v>30514104</v>
      </c>
      <c r="I1176">
        <v>0.74</v>
      </c>
      <c r="J1176" t="s">
        <v>98</v>
      </c>
      <c r="K1176" t="s">
        <v>211</v>
      </c>
      <c r="L1176">
        <v>0.17</v>
      </c>
      <c r="M1176">
        <v>29.57</v>
      </c>
      <c r="N1176">
        <v>4772</v>
      </c>
      <c r="O1176">
        <v>5547</v>
      </c>
      <c r="P1176">
        <v>0.86</v>
      </c>
      <c r="Q1176">
        <v>57</v>
      </c>
      <c r="R1176">
        <v>212</v>
      </c>
      <c r="S1176" t="s">
        <v>3</v>
      </c>
      <c r="T1176">
        <v>2300</v>
      </c>
      <c r="U1176" t="s">
        <v>3235</v>
      </c>
      <c r="V1176" t="s">
        <v>3236</v>
      </c>
      <c r="W1176">
        <v>0.33</v>
      </c>
    </row>
    <row r="1177" spans="1:23">
      <c r="A1177" t="str">
        <f>"002716"</f>
        <v>002716</v>
      </c>
      <c r="B1177" t="s">
        <v>3237</v>
      </c>
      <c r="C1177">
        <v>25.85</v>
      </c>
      <c r="D1177">
        <v>25.98</v>
      </c>
      <c r="E1177">
        <v>25.55</v>
      </c>
      <c r="F1177">
        <v>25.63</v>
      </c>
      <c r="G1177">
        <v>33427</v>
      </c>
      <c r="H1177">
        <v>85858384</v>
      </c>
      <c r="I1177">
        <v>0.85</v>
      </c>
      <c r="J1177" t="s">
        <v>328</v>
      </c>
      <c r="K1177" t="s">
        <v>234</v>
      </c>
      <c r="L1177">
        <v>-1.2</v>
      </c>
      <c r="M1177">
        <v>25.69</v>
      </c>
      <c r="N1177">
        <v>19099</v>
      </c>
      <c r="O1177">
        <v>14328</v>
      </c>
      <c r="P1177">
        <v>1.33</v>
      </c>
      <c r="Q1177">
        <v>71</v>
      </c>
      <c r="R1177">
        <v>81</v>
      </c>
      <c r="S1177" t="s">
        <v>3</v>
      </c>
      <c r="T1177">
        <v>5719.2</v>
      </c>
      <c r="U1177" t="s">
        <v>3238</v>
      </c>
      <c r="V1177" t="s">
        <v>1402</v>
      </c>
      <c r="W1177">
        <v>-1.04</v>
      </c>
    </row>
    <row r="1178" spans="1:23">
      <c r="A1178" t="str">
        <f>"002717"</f>
        <v>002717</v>
      </c>
      <c r="B1178" t="s">
        <v>3239</v>
      </c>
      <c r="C1178">
        <v>28.37</v>
      </c>
      <c r="D1178">
        <v>28.4</v>
      </c>
      <c r="E1178">
        <v>27.8</v>
      </c>
      <c r="F1178">
        <v>28.08</v>
      </c>
      <c r="G1178">
        <v>26706</v>
      </c>
      <c r="H1178">
        <v>74944000</v>
      </c>
      <c r="I1178">
        <v>0.53</v>
      </c>
      <c r="J1178" t="s">
        <v>33</v>
      </c>
      <c r="K1178" t="s">
        <v>211</v>
      </c>
      <c r="L1178">
        <v>-1.02</v>
      </c>
      <c r="M1178">
        <v>28.06</v>
      </c>
      <c r="N1178">
        <v>16518</v>
      </c>
      <c r="O1178">
        <v>10187</v>
      </c>
      <c r="P1178">
        <v>1.62</v>
      </c>
      <c r="Q1178">
        <v>171</v>
      </c>
      <c r="R1178">
        <v>251</v>
      </c>
      <c r="S1178" t="s">
        <v>3</v>
      </c>
      <c r="T1178">
        <v>4071.69</v>
      </c>
      <c r="U1178" t="s">
        <v>3240</v>
      </c>
      <c r="V1178" t="s">
        <v>3241</v>
      </c>
      <c r="W1178">
        <v>-0.86</v>
      </c>
    </row>
    <row r="1179" spans="1:23">
      <c r="A1179" t="str">
        <f>"002718"</f>
        <v>002718</v>
      </c>
      <c r="B1179" t="s">
        <v>3242</v>
      </c>
      <c r="C1179">
        <v>59.99</v>
      </c>
      <c r="D1179">
        <v>60.24</v>
      </c>
      <c r="E1179">
        <v>58.74</v>
      </c>
      <c r="F1179">
        <v>59.12</v>
      </c>
      <c r="G1179">
        <v>5177</v>
      </c>
      <c r="H1179">
        <v>30582994</v>
      </c>
      <c r="I1179">
        <v>0.9</v>
      </c>
      <c r="J1179" t="s">
        <v>1183</v>
      </c>
      <c r="K1179" t="s">
        <v>229</v>
      </c>
      <c r="L1179">
        <v>-1.1499999999999999</v>
      </c>
      <c r="M1179">
        <v>59.08</v>
      </c>
      <c r="N1179">
        <v>2897</v>
      </c>
      <c r="O1179">
        <v>2279</v>
      </c>
      <c r="P1179">
        <v>1.27</v>
      </c>
      <c r="Q1179">
        <v>12</v>
      </c>
      <c r="R1179">
        <v>3</v>
      </c>
      <c r="S1179" t="s">
        <v>3</v>
      </c>
      <c r="T1179">
        <v>1310</v>
      </c>
      <c r="U1179" t="s">
        <v>3243</v>
      </c>
      <c r="V1179" t="s">
        <v>2256</v>
      </c>
      <c r="W1179">
        <v>-1</v>
      </c>
    </row>
    <row r="1180" spans="1:23">
      <c r="A1180" t="str">
        <f>"002719"</f>
        <v>002719</v>
      </c>
      <c r="B1180" t="s">
        <v>3244</v>
      </c>
      <c r="C1180">
        <v>31.25</v>
      </c>
      <c r="D1180">
        <v>31.29</v>
      </c>
      <c r="E1180">
        <v>30.8</v>
      </c>
      <c r="F1180">
        <v>31.2</v>
      </c>
      <c r="G1180">
        <v>13529</v>
      </c>
      <c r="H1180">
        <v>42044196</v>
      </c>
      <c r="I1180">
        <v>0.61</v>
      </c>
      <c r="J1180" t="s">
        <v>2250</v>
      </c>
      <c r="K1180" t="s">
        <v>241</v>
      </c>
      <c r="L1180">
        <v>0.13</v>
      </c>
      <c r="M1180">
        <v>31.08</v>
      </c>
      <c r="N1180">
        <v>7572</v>
      </c>
      <c r="O1180">
        <v>5957</v>
      </c>
      <c r="P1180">
        <v>1.27</v>
      </c>
      <c r="Q1180">
        <v>74</v>
      </c>
      <c r="R1180">
        <v>240</v>
      </c>
      <c r="S1180" t="s">
        <v>3</v>
      </c>
      <c r="T1180">
        <v>2290</v>
      </c>
      <c r="U1180" t="s">
        <v>3137</v>
      </c>
      <c r="V1180" t="s">
        <v>3091</v>
      </c>
      <c r="W1180">
        <v>0.28999999999999998</v>
      </c>
    </row>
    <row r="1181" spans="1:23">
      <c r="A1181" t="str">
        <f>"002721"</f>
        <v>002721</v>
      </c>
      <c r="B1181" t="s">
        <v>3245</v>
      </c>
      <c r="C1181" t="s">
        <v>3</v>
      </c>
      <c r="D1181" t="s">
        <v>3</v>
      </c>
      <c r="E1181" t="s">
        <v>3</v>
      </c>
      <c r="F1181">
        <v>0</v>
      </c>
      <c r="G1181">
        <v>0</v>
      </c>
      <c r="H1181">
        <v>0</v>
      </c>
      <c r="I1181">
        <v>0</v>
      </c>
      <c r="J1181" t="s">
        <v>1373</v>
      </c>
      <c r="K1181" t="s">
        <v>34</v>
      </c>
      <c r="L1181" t="s">
        <v>3</v>
      </c>
      <c r="M1181">
        <v>23.13</v>
      </c>
      <c r="N1181">
        <v>0</v>
      </c>
      <c r="O1181">
        <v>0</v>
      </c>
      <c r="P1181" t="s">
        <v>3</v>
      </c>
      <c r="Q1181">
        <v>0</v>
      </c>
      <c r="R1181">
        <v>0</v>
      </c>
      <c r="S1181" t="s">
        <v>3</v>
      </c>
      <c r="T1181">
        <v>4181.25</v>
      </c>
      <c r="U1181" t="s">
        <v>3246</v>
      </c>
      <c r="V1181" t="s">
        <v>2878</v>
      </c>
      <c r="W1181">
        <v>0.16</v>
      </c>
    </row>
    <row r="1182" spans="1:23">
      <c r="A1182" t="str">
        <f>"002722"</f>
        <v>002722</v>
      </c>
      <c r="B1182" t="s">
        <v>3247</v>
      </c>
      <c r="C1182">
        <v>25.68</v>
      </c>
      <c r="D1182">
        <v>26.16</v>
      </c>
      <c r="E1182">
        <v>25.6</v>
      </c>
      <c r="F1182">
        <v>26</v>
      </c>
      <c r="G1182">
        <v>21499</v>
      </c>
      <c r="H1182">
        <v>55655936</v>
      </c>
      <c r="I1182">
        <v>1</v>
      </c>
      <c r="J1182" t="s">
        <v>721</v>
      </c>
      <c r="K1182" t="s">
        <v>244</v>
      </c>
      <c r="L1182">
        <v>0.39</v>
      </c>
      <c r="M1182">
        <v>25.89</v>
      </c>
      <c r="N1182">
        <v>10681</v>
      </c>
      <c r="O1182">
        <v>10818</v>
      </c>
      <c r="P1182">
        <v>0.99</v>
      </c>
      <c r="Q1182">
        <v>127</v>
      </c>
      <c r="R1182">
        <v>5</v>
      </c>
      <c r="S1182" t="s">
        <v>3</v>
      </c>
      <c r="T1182">
        <v>3360</v>
      </c>
      <c r="U1182" t="s">
        <v>3248</v>
      </c>
      <c r="V1182" t="s">
        <v>3249</v>
      </c>
      <c r="W1182">
        <v>0.54</v>
      </c>
    </row>
    <row r="1183" spans="1:23">
      <c r="A1183" t="str">
        <f>"002723"</f>
        <v>002723</v>
      </c>
      <c r="B1183" t="s">
        <v>3250</v>
      </c>
      <c r="C1183">
        <v>27.9</v>
      </c>
      <c r="D1183">
        <v>28.21</v>
      </c>
      <c r="E1183">
        <v>27.85</v>
      </c>
      <c r="F1183">
        <v>28.06</v>
      </c>
      <c r="G1183">
        <v>14051</v>
      </c>
      <c r="H1183">
        <v>39400836</v>
      </c>
      <c r="I1183">
        <v>1.03</v>
      </c>
      <c r="J1183" t="s">
        <v>47</v>
      </c>
      <c r="K1183" t="s">
        <v>211</v>
      </c>
      <c r="L1183">
        <v>0.79</v>
      </c>
      <c r="M1183">
        <v>28.04</v>
      </c>
      <c r="N1183">
        <v>6811</v>
      </c>
      <c r="O1183">
        <v>7239</v>
      </c>
      <c r="P1183">
        <v>0.94</v>
      </c>
      <c r="Q1183">
        <v>80</v>
      </c>
      <c r="R1183">
        <v>63</v>
      </c>
      <c r="S1183" t="s">
        <v>3</v>
      </c>
      <c r="T1183">
        <v>2335</v>
      </c>
      <c r="U1183" t="s">
        <v>3251</v>
      </c>
      <c r="V1183" t="s">
        <v>3252</v>
      </c>
      <c r="W1183">
        <v>0.95</v>
      </c>
    </row>
    <row r="1184" spans="1:23">
      <c r="A1184" t="str">
        <f>"002725"</f>
        <v>002725</v>
      </c>
      <c r="B1184" t="s">
        <v>3253</v>
      </c>
      <c r="C1184">
        <v>29.8</v>
      </c>
      <c r="D1184">
        <v>30.19</v>
      </c>
      <c r="E1184">
        <v>29.76</v>
      </c>
      <c r="F1184">
        <v>30.05</v>
      </c>
      <c r="G1184">
        <v>10175</v>
      </c>
      <c r="H1184">
        <v>30503002</v>
      </c>
      <c r="I1184">
        <v>0.76</v>
      </c>
      <c r="J1184" t="s">
        <v>98</v>
      </c>
      <c r="K1184" t="s">
        <v>229</v>
      </c>
      <c r="L1184">
        <v>0.47</v>
      </c>
      <c r="M1184">
        <v>29.98</v>
      </c>
      <c r="N1184">
        <v>4729</v>
      </c>
      <c r="O1184">
        <v>5446</v>
      </c>
      <c r="P1184">
        <v>0.87</v>
      </c>
      <c r="Q1184">
        <v>35</v>
      </c>
      <c r="R1184">
        <v>22</v>
      </c>
      <c r="S1184" t="s">
        <v>3</v>
      </c>
      <c r="T1184">
        <v>2500</v>
      </c>
      <c r="U1184" t="s">
        <v>3254</v>
      </c>
      <c r="V1184" t="s">
        <v>3255</v>
      </c>
      <c r="W1184">
        <v>0.63</v>
      </c>
    </row>
    <row r="1185" spans="1:23">
      <c r="A1185" t="str">
        <f>"002726"</f>
        <v>002726</v>
      </c>
      <c r="B1185" t="s">
        <v>3256</v>
      </c>
      <c r="C1185">
        <v>24.38</v>
      </c>
      <c r="D1185">
        <v>24.56</v>
      </c>
      <c r="E1185">
        <v>24.12</v>
      </c>
      <c r="F1185">
        <v>24.53</v>
      </c>
      <c r="G1185">
        <v>36102</v>
      </c>
      <c r="H1185">
        <v>87932680</v>
      </c>
      <c r="I1185">
        <v>0.55000000000000004</v>
      </c>
      <c r="J1185" t="s">
        <v>421</v>
      </c>
      <c r="K1185" t="s">
        <v>250</v>
      </c>
      <c r="L1185">
        <v>0.78</v>
      </c>
      <c r="M1185">
        <v>24.36</v>
      </c>
      <c r="N1185">
        <v>19062</v>
      </c>
      <c r="O1185">
        <v>17039</v>
      </c>
      <c r="P1185">
        <v>1.1200000000000001</v>
      </c>
      <c r="Q1185">
        <v>331</v>
      </c>
      <c r="R1185">
        <v>213</v>
      </c>
      <c r="S1185" t="s">
        <v>3</v>
      </c>
      <c r="T1185">
        <v>5459</v>
      </c>
      <c r="U1185" t="s">
        <v>3257</v>
      </c>
      <c r="V1185" t="s">
        <v>1638</v>
      </c>
      <c r="W1185">
        <v>0.94</v>
      </c>
    </row>
    <row r="1186" spans="1:23">
      <c r="A1186" t="str">
        <f>"002727"</f>
        <v>002727</v>
      </c>
      <c r="B1186" t="s">
        <v>3258</v>
      </c>
      <c r="C1186">
        <v>45.38</v>
      </c>
      <c r="D1186">
        <v>48.69</v>
      </c>
      <c r="E1186">
        <v>44.88</v>
      </c>
      <c r="F1186">
        <v>47.14</v>
      </c>
      <c r="G1186">
        <v>95029</v>
      </c>
      <c r="H1186">
        <v>444425120</v>
      </c>
      <c r="I1186">
        <v>0.81</v>
      </c>
      <c r="J1186" t="s">
        <v>91</v>
      </c>
      <c r="K1186" t="s">
        <v>445</v>
      </c>
      <c r="L1186">
        <v>2.63</v>
      </c>
      <c r="M1186">
        <v>46.77</v>
      </c>
      <c r="N1186">
        <v>50481</v>
      </c>
      <c r="O1186">
        <v>44548</v>
      </c>
      <c r="P1186">
        <v>1.1299999999999999</v>
      </c>
      <c r="Q1186">
        <v>0</v>
      </c>
      <c r="R1186">
        <v>26</v>
      </c>
      <c r="S1186" t="s">
        <v>3</v>
      </c>
      <c r="T1186">
        <v>6510</v>
      </c>
      <c r="U1186" t="s">
        <v>3259</v>
      </c>
      <c r="V1186" t="s">
        <v>3260</v>
      </c>
      <c r="W1186">
        <v>2.79</v>
      </c>
    </row>
    <row r="1187" spans="1:23">
      <c r="A1187" t="str">
        <f>"002728"</f>
        <v>002728</v>
      </c>
      <c r="B1187" t="s">
        <v>3261</v>
      </c>
      <c r="C1187">
        <v>39.25</v>
      </c>
      <c r="D1187">
        <v>39.44</v>
      </c>
      <c r="E1187">
        <v>38.299999999999997</v>
      </c>
      <c r="F1187">
        <v>38.549999999999997</v>
      </c>
      <c r="G1187">
        <v>25035</v>
      </c>
      <c r="H1187">
        <v>96664648</v>
      </c>
      <c r="I1187">
        <v>0.55000000000000004</v>
      </c>
      <c r="J1187" t="s">
        <v>321</v>
      </c>
      <c r="K1187" t="s">
        <v>211</v>
      </c>
      <c r="L1187">
        <v>-1.41</v>
      </c>
      <c r="M1187">
        <v>38.61</v>
      </c>
      <c r="N1187">
        <v>15214</v>
      </c>
      <c r="O1187">
        <v>9820</v>
      </c>
      <c r="P1187">
        <v>1.55</v>
      </c>
      <c r="Q1187">
        <v>5</v>
      </c>
      <c r="R1187">
        <v>339</v>
      </c>
      <c r="S1187" t="s">
        <v>3</v>
      </c>
      <c r="T1187">
        <v>2500</v>
      </c>
      <c r="U1187" t="s">
        <v>3262</v>
      </c>
      <c r="V1187" t="s">
        <v>2253</v>
      </c>
      <c r="W1187">
        <v>-1.25</v>
      </c>
    </row>
    <row r="1188" spans="1:23">
      <c r="A1188" t="str">
        <f>"300001"</f>
        <v>300001</v>
      </c>
      <c r="B1188" t="s">
        <v>3263</v>
      </c>
      <c r="C1188">
        <v>20.25</v>
      </c>
      <c r="D1188">
        <v>20.39</v>
      </c>
      <c r="E1188">
        <v>20</v>
      </c>
      <c r="F1188">
        <v>20.13</v>
      </c>
      <c r="G1188">
        <v>26884</v>
      </c>
      <c r="H1188">
        <v>54238292</v>
      </c>
      <c r="I1188">
        <v>0.68</v>
      </c>
      <c r="J1188" t="s">
        <v>145</v>
      </c>
      <c r="K1188" t="s">
        <v>250</v>
      </c>
      <c r="L1188">
        <v>-0.49</v>
      </c>
      <c r="M1188">
        <v>20.170000000000002</v>
      </c>
      <c r="N1188">
        <v>15798</v>
      </c>
      <c r="O1188">
        <v>11086</v>
      </c>
      <c r="P1188">
        <v>1.43</v>
      </c>
      <c r="Q1188">
        <v>10</v>
      </c>
      <c r="R1188">
        <v>10</v>
      </c>
      <c r="S1188" t="s">
        <v>3</v>
      </c>
      <c r="T1188">
        <v>38568</v>
      </c>
      <c r="U1188" t="s">
        <v>3264</v>
      </c>
      <c r="V1188" t="s">
        <v>3265</v>
      </c>
      <c r="W1188">
        <v>-0.34</v>
      </c>
    </row>
    <row r="1189" spans="1:23">
      <c r="A1189" t="str">
        <f>"300002"</f>
        <v>300002</v>
      </c>
      <c r="B1189" t="s">
        <v>3266</v>
      </c>
      <c r="C1189" t="s">
        <v>3</v>
      </c>
      <c r="D1189" t="s">
        <v>3</v>
      </c>
      <c r="E1189" t="s">
        <v>3</v>
      </c>
      <c r="F1189">
        <v>0</v>
      </c>
      <c r="G1189">
        <v>0</v>
      </c>
      <c r="H1189">
        <v>0</v>
      </c>
      <c r="I1189">
        <v>0</v>
      </c>
      <c r="J1189" t="s">
        <v>758</v>
      </c>
      <c r="K1189" t="s">
        <v>34</v>
      </c>
      <c r="L1189" t="s">
        <v>3</v>
      </c>
      <c r="M1189">
        <v>14.04</v>
      </c>
      <c r="N1189">
        <v>0</v>
      </c>
      <c r="O1189">
        <v>0</v>
      </c>
      <c r="P1189" t="s">
        <v>3</v>
      </c>
      <c r="Q1189">
        <v>0</v>
      </c>
      <c r="R1189">
        <v>0</v>
      </c>
      <c r="S1189" t="s">
        <v>3</v>
      </c>
      <c r="T1189">
        <v>72371.64</v>
      </c>
      <c r="U1189" t="s">
        <v>3267</v>
      </c>
      <c r="V1189" t="s">
        <v>3268</v>
      </c>
      <c r="W1189">
        <v>0.16</v>
      </c>
    </row>
    <row r="1190" spans="1:23">
      <c r="A1190" t="str">
        <f>"300003"</f>
        <v>300003</v>
      </c>
      <c r="B1190" t="s">
        <v>3269</v>
      </c>
      <c r="C1190">
        <v>22.8</v>
      </c>
      <c r="D1190">
        <v>23.09</v>
      </c>
      <c r="E1190">
        <v>22.4</v>
      </c>
      <c r="F1190">
        <v>22.59</v>
      </c>
      <c r="G1190">
        <v>61064</v>
      </c>
      <c r="H1190">
        <v>137969392</v>
      </c>
      <c r="I1190">
        <v>0.82</v>
      </c>
      <c r="J1190" t="s">
        <v>1971</v>
      </c>
      <c r="K1190" t="s">
        <v>34</v>
      </c>
      <c r="L1190">
        <v>-1.48</v>
      </c>
      <c r="M1190">
        <v>22.59</v>
      </c>
      <c r="N1190">
        <v>41894</v>
      </c>
      <c r="O1190">
        <v>19170</v>
      </c>
      <c r="P1190">
        <v>2.19</v>
      </c>
      <c r="Q1190">
        <v>32</v>
      </c>
      <c r="R1190">
        <v>44</v>
      </c>
      <c r="S1190" t="s">
        <v>3</v>
      </c>
      <c r="T1190">
        <v>68610.67</v>
      </c>
      <c r="U1190" t="s">
        <v>3270</v>
      </c>
      <c r="V1190" t="s">
        <v>3271</v>
      </c>
      <c r="W1190">
        <v>-1.32</v>
      </c>
    </row>
    <row r="1191" spans="1:23">
      <c r="A1191" t="str">
        <f>"300004"</f>
        <v>300004</v>
      </c>
      <c r="B1191" t="s">
        <v>3272</v>
      </c>
      <c r="C1191">
        <v>40.520000000000003</v>
      </c>
      <c r="D1191">
        <v>40.799999999999997</v>
      </c>
      <c r="E1191">
        <v>39.700000000000003</v>
      </c>
      <c r="F1191">
        <v>40.03</v>
      </c>
      <c r="G1191">
        <v>14728</v>
      </c>
      <c r="H1191">
        <v>59077780</v>
      </c>
      <c r="I1191">
        <v>1.31</v>
      </c>
      <c r="J1191" t="s">
        <v>145</v>
      </c>
      <c r="K1191" t="s">
        <v>211</v>
      </c>
      <c r="L1191">
        <v>-1.1399999999999999</v>
      </c>
      <c r="M1191">
        <v>40.11</v>
      </c>
      <c r="N1191">
        <v>8953</v>
      </c>
      <c r="O1191">
        <v>5774</v>
      </c>
      <c r="P1191">
        <v>1.55</v>
      </c>
      <c r="Q1191">
        <v>75</v>
      </c>
      <c r="R1191">
        <v>134</v>
      </c>
      <c r="S1191" t="s">
        <v>3</v>
      </c>
      <c r="T1191">
        <v>13747.54</v>
      </c>
      <c r="U1191" t="s">
        <v>3273</v>
      </c>
      <c r="V1191" t="s">
        <v>3274</v>
      </c>
      <c r="W1191">
        <v>-0.98</v>
      </c>
    </row>
    <row r="1192" spans="1:23">
      <c r="A1192" t="str">
        <f>"300005"</f>
        <v>300005</v>
      </c>
      <c r="B1192" t="s">
        <v>3275</v>
      </c>
      <c r="C1192">
        <v>16.39</v>
      </c>
      <c r="D1192">
        <v>16.829999999999998</v>
      </c>
      <c r="E1192">
        <v>16.25</v>
      </c>
      <c r="F1192">
        <v>16.79</v>
      </c>
      <c r="G1192">
        <v>134341</v>
      </c>
      <c r="H1192">
        <v>223152912</v>
      </c>
      <c r="I1192">
        <v>0.76</v>
      </c>
      <c r="J1192" t="s">
        <v>1373</v>
      </c>
      <c r="K1192" t="s">
        <v>34</v>
      </c>
      <c r="L1192">
        <v>1.82</v>
      </c>
      <c r="M1192">
        <v>16.61</v>
      </c>
      <c r="N1192">
        <v>64788</v>
      </c>
      <c r="O1192">
        <v>69553</v>
      </c>
      <c r="P1192">
        <v>0.93</v>
      </c>
      <c r="Q1192">
        <v>109</v>
      </c>
      <c r="R1192">
        <v>1110</v>
      </c>
      <c r="S1192" t="s">
        <v>3</v>
      </c>
      <c r="T1192">
        <v>32222.78</v>
      </c>
      <c r="U1192" t="s">
        <v>3276</v>
      </c>
      <c r="V1192" t="s">
        <v>3277</v>
      </c>
      <c r="W1192">
        <v>1.98</v>
      </c>
    </row>
    <row r="1193" spans="1:23">
      <c r="A1193" t="str">
        <f>"300006"</f>
        <v>300006</v>
      </c>
      <c r="B1193" t="s">
        <v>3278</v>
      </c>
      <c r="C1193">
        <v>33.700000000000003</v>
      </c>
      <c r="D1193">
        <v>35.35</v>
      </c>
      <c r="E1193">
        <v>33.4</v>
      </c>
      <c r="F1193">
        <v>35</v>
      </c>
      <c r="G1193">
        <v>38499</v>
      </c>
      <c r="H1193">
        <v>132548224</v>
      </c>
      <c r="I1193">
        <v>1.26</v>
      </c>
      <c r="J1193" t="s">
        <v>219</v>
      </c>
      <c r="K1193" t="s">
        <v>386</v>
      </c>
      <c r="L1193">
        <v>4.79</v>
      </c>
      <c r="M1193">
        <v>34.43</v>
      </c>
      <c r="N1193">
        <v>13984</v>
      </c>
      <c r="O1193">
        <v>24514</v>
      </c>
      <c r="P1193">
        <v>0.56999999999999995</v>
      </c>
      <c r="Q1193">
        <v>26</v>
      </c>
      <c r="R1193">
        <v>176</v>
      </c>
      <c r="S1193" t="s">
        <v>3</v>
      </c>
      <c r="T1193">
        <v>12465.66</v>
      </c>
      <c r="U1193" t="s">
        <v>333</v>
      </c>
      <c r="V1193" t="s">
        <v>2161</v>
      </c>
      <c r="W1193">
        <v>4.95</v>
      </c>
    </row>
    <row r="1194" spans="1:23">
      <c r="A1194" t="str">
        <f>"300007"</f>
        <v>300007</v>
      </c>
      <c r="B1194" t="s">
        <v>3279</v>
      </c>
      <c r="C1194">
        <v>25.24</v>
      </c>
      <c r="D1194">
        <v>26.12</v>
      </c>
      <c r="E1194">
        <v>25.23</v>
      </c>
      <c r="F1194">
        <v>25.57</v>
      </c>
      <c r="G1194">
        <v>21296</v>
      </c>
      <c r="H1194">
        <v>54759492</v>
      </c>
      <c r="I1194">
        <v>1.48</v>
      </c>
      <c r="J1194" t="s">
        <v>617</v>
      </c>
      <c r="K1194" t="s">
        <v>254</v>
      </c>
      <c r="L1194">
        <v>2.57</v>
      </c>
      <c r="M1194">
        <v>25.71</v>
      </c>
      <c r="N1194">
        <v>8568</v>
      </c>
      <c r="O1194">
        <v>12728</v>
      </c>
      <c r="P1194">
        <v>0.67</v>
      </c>
      <c r="Q1194">
        <v>108</v>
      </c>
      <c r="R1194">
        <v>492</v>
      </c>
      <c r="S1194" t="s">
        <v>3</v>
      </c>
      <c r="T1194">
        <v>8247.34</v>
      </c>
      <c r="U1194" t="s">
        <v>2121</v>
      </c>
      <c r="V1194" t="s">
        <v>3280</v>
      </c>
      <c r="W1194">
        <v>2.73</v>
      </c>
    </row>
    <row r="1195" spans="1:23">
      <c r="A1195" t="str">
        <f>"300008"</f>
        <v>300008</v>
      </c>
      <c r="B1195" t="s">
        <v>3281</v>
      </c>
      <c r="C1195">
        <v>16.38</v>
      </c>
      <c r="D1195">
        <v>16.43</v>
      </c>
      <c r="E1195">
        <v>16.079999999999998</v>
      </c>
      <c r="F1195">
        <v>16.13</v>
      </c>
      <c r="G1195">
        <v>41790</v>
      </c>
      <c r="H1195">
        <v>67677664</v>
      </c>
      <c r="I1195">
        <v>0.84</v>
      </c>
      <c r="J1195" t="s">
        <v>2960</v>
      </c>
      <c r="K1195" t="s">
        <v>727</v>
      </c>
      <c r="L1195">
        <v>-1.29</v>
      </c>
      <c r="M1195">
        <v>16.190000000000001</v>
      </c>
      <c r="N1195">
        <v>23991</v>
      </c>
      <c r="O1195">
        <v>17798</v>
      </c>
      <c r="P1195">
        <v>1.35</v>
      </c>
      <c r="Q1195">
        <v>37</v>
      </c>
      <c r="R1195">
        <v>25</v>
      </c>
      <c r="S1195" t="s">
        <v>3</v>
      </c>
      <c r="T1195">
        <v>16822.82</v>
      </c>
      <c r="U1195" t="s">
        <v>3282</v>
      </c>
      <c r="V1195" t="s">
        <v>3283</v>
      </c>
      <c r="W1195">
        <v>-1.1299999999999999</v>
      </c>
    </row>
    <row r="1196" spans="1:23">
      <c r="A1196" t="str">
        <f>"300009"</f>
        <v>300009</v>
      </c>
      <c r="B1196" t="s">
        <v>3284</v>
      </c>
      <c r="C1196">
        <v>17.87</v>
      </c>
      <c r="D1196">
        <v>18.55</v>
      </c>
      <c r="E1196">
        <v>17.66</v>
      </c>
      <c r="F1196">
        <v>18.32</v>
      </c>
      <c r="G1196">
        <v>42643</v>
      </c>
      <c r="H1196">
        <v>77254352</v>
      </c>
      <c r="I1196">
        <v>0.81</v>
      </c>
      <c r="J1196" t="s">
        <v>11</v>
      </c>
      <c r="K1196" t="s">
        <v>220</v>
      </c>
      <c r="L1196">
        <v>2</v>
      </c>
      <c r="M1196">
        <v>18.12</v>
      </c>
      <c r="N1196">
        <v>17540</v>
      </c>
      <c r="O1196">
        <v>25102</v>
      </c>
      <c r="P1196">
        <v>0.7</v>
      </c>
      <c r="Q1196">
        <v>26</v>
      </c>
      <c r="R1196">
        <v>71</v>
      </c>
      <c r="S1196" t="s">
        <v>3</v>
      </c>
      <c r="T1196">
        <v>18655.169999999998</v>
      </c>
      <c r="U1196" t="s">
        <v>3285</v>
      </c>
      <c r="V1196" t="s">
        <v>3286</v>
      </c>
      <c r="W1196">
        <v>2.16</v>
      </c>
    </row>
    <row r="1197" spans="1:23">
      <c r="A1197" t="str">
        <f>"300010"</f>
        <v>300010</v>
      </c>
      <c r="B1197" t="s">
        <v>3287</v>
      </c>
      <c r="C1197" t="s">
        <v>3</v>
      </c>
      <c r="D1197" t="s">
        <v>3</v>
      </c>
      <c r="E1197" t="s">
        <v>3</v>
      </c>
      <c r="F1197">
        <v>0</v>
      </c>
      <c r="G1197">
        <v>0</v>
      </c>
      <c r="H1197">
        <v>0</v>
      </c>
      <c r="I1197">
        <v>0</v>
      </c>
      <c r="J1197" t="s">
        <v>758</v>
      </c>
      <c r="K1197" t="s">
        <v>34</v>
      </c>
      <c r="L1197" t="s">
        <v>3</v>
      </c>
      <c r="M1197">
        <v>22.77</v>
      </c>
      <c r="N1197">
        <v>0</v>
      </c>
      <c r="O1197">
        <v>0</v>
      </c>
      <c r="P1197" t="s">
        <v>3</v>
      </c>
      <c r="Q1197">
        <v>0</v>
      </c>
      <c r="R1197">
        <v>0</v>
      </c>
      <c r="S1197" t="s">
        <v>3</v>
      </c>
      <c r="T1197">
        <v>17413.150000000001</v>
      </c>
      <c r="U1197" t="s">
        <v>3288</v>
      </c>
      <c r="V1197" t="s">
        <v>3289</v>
      </c>
      <c r="W1197">
        <v>0.16</v>
      </c>
    </row>
    <row r="1198" spans="1:23">
      <c r="A1198" t="str">
        <f>"300011"</f>
        <v>300011</v>
      </c>
      <c r="B1198" t="s">
        <v>3290</v>
      </c>
      <c r="C1198">
        <v>16.149999999999999</v>
      </c>
      <c r="D1198">
        <v>16.2</v>
      </c>
      <c r="E1198">
        <v>15.62</v>
      </c>
      <c r="F1198">
        <v>15.81</v>
      </c>
      <c r="G1198">
        <v>87046</v>
      </c>
      <c r="H1198">
        <v>137252000</v>
      </c>
      <c r="I1198">
        <v>1.34</v>
      </c>
      <c r="J1198" t="s">
        <v>1208</v>
      </c>
      <c r="K1198" t="s">
        <v>34</v>
      </c>
      <c r="L1198">
        <v>-2.11</v>
      </c>
      <c r="M1198">
        <v>15.77</v>
      </c>
      <c r="N1198">
        <v>50190</v>
      </c>
      <c r="O1198">
        <v>36855</v>
      </c>
      <c r="P1198">
        <v>1.36</v>
      </c>
      <c r="Q1198">
        <v>458</v>
      </c>
      <c r="R1198">
        <v>123</v>
      </c>
      <c r="S1198" t="s">
        <v>3</v>
      </c>
      <c r="T1198">
        <v>31872.080000000002</v>
      </c>
      <c r="U1198" t="s">
        <v>3291</v>
      </c>
      <c r="V1198" t="s">
        <v>3292</v>
      </c>
      <c r="W1198">
        <v>-1.95</v>
      </c>
    </row>
    <row r="1199" spans="1:23">
      <c r="A1199" t="str">
        <f>"300012"</f>
        <v>300012</v>
      </c>
      <c r="B1199" t="s">
        <v>3293</v>
      </c>
      <c r="C1199">
        <v>19.36</v>
      </c>
      <c r="D1199">
        <v>19.98</v>
      </c>
      <c r="E1199">
        <v>19.16</v>
      </c>
      <c r="F1199">
        <v>19.38</v>
      </c>
      <c r="G1199">
        <v>98693</v>
      </c>
      <c r="H1199">
        <v>191798304</v>
      </c>
      <c r="I1199">
        <v>2.31</v>
      </c>
      <c r="J1199" t="s">
        <v>617</v>
      </c>
      <c r="K1199" t="s">
        <v>2</v>
      </c>
      <c r="L1199">
        <v>2.98</v>
      </c>
      <c r="M1199">
        <v>19.43</v>
      </c>
      <c r="N1199">
        <v>48984</v>
      </c>
      <c r="O1199">
        <v>49709</v>
      </c>
      <c r="P1199">
        <v>0.99</v>
      </c>
      <c r="Q1199">
        <v>135</v>
      </c>
      <c r="R1199">
        <v>71</v>
      </c>
      <c r="S1199" t="s">
        <v>3</v>
      </c>
      <c r="T1199">
        <v>20365.25</v>
      </c>
      <c r="U1199" t="s">
        <v>743</v>
      </c>
      <c r="V1199" t="s">
        <v>3294</v>
      </c>
      <c r="W1199">
        <v>3.13</v>
      </c>
    </row>
    <row r="1200" spans="1:23">
      <c r="A1200" t="str">
        <f>"300013"</f>
        <v>300013</v>
      </c>
      <c r="B1200" t="s">
        <v>3295</v>
      </c>
      <c r="C1200" t="s">
        <v>3</v>
      </c>
      <c r="D1200" t="s">
        <v>3</v>
      </c>
      <c r="E1200" t="s">
        <v>3</v>
      </c>
      <c r="F1200">
        <v>0</v>
      </c>
      <c r="G1200">
        <v>0</v>
      </c>
      <c r="H1200">
        <v>0</v>
      </c>
      <c r="I1200">
        <v>0</v>
      </c>
      <c r="J1200" t="s">
        <v>1859</v>
      </c>
      <c r="K1200" t="s">
        <v>244</v>
      </c>
      <c r="L1200" t="s">
        <v>3</v>
      </c>
      <c r="M1200">
        <v>9.26</v>
      </c>
      <c r="N1200">
        <v>0</v>
      </c>
      <c r="O1200">
        <v>0</v>
      </c>
      <c r="P1200" t="s">
        <v>3</v>
      </c>
      <c r="Q1200">
        <v>0</v>
      </c>
      <c r="R1200">
        <v>0</v>
      </c>
      <c r="S1200" t="s">
        <v>3</v>
      </c>
      <c r="T1200">
        <v>18000</v>
      </c>
      <c r="U1200" t="s">
        <v>3296</v>
      </c>
      <c r="V1200" t="s">
        <v>3296</v>
      </c>
      <c r="W1200">
        <v>0.16</v>
      </c>
    </row>
    <row r="1201" spans="1:23">
      <c r="A1201" t="str">
        <f>"300014"</f>
        <v>300014</v>
      </c>
      <c r="B1201" t="s">
        <v>3297</v>
      </c>
      <c r="C1201">
        <v>18.149999999999999</v>
      </c>
      <c r="D1201">
        <v>18.48</v>
      </c>
      <c r="E1201">
        <v>18.04</v>
      </c>
      <c r="F1201">
        <v>18.27</v>
      </c>
      <c r="G1201">
        <v>205405</v>
      </c>
      <c r="H1201">
        <v>375742816</v>
      </c>
      <c r="I1201">
        <v>1.76</v>
      </c>
      <c r="J1201" t="s">
        <v>62</v>
      </c>
      <c r="K1201" t="s">
        <v>211</v>
      </c>
      <c r="L1201">
        <v>2.1800000000000002</v>
      </c>
      <c r="M1201">
        <v>18.29</v>
      </c>
      <c r="N1201">
        <v>100131</v>
      </c>
      <c r="O1201">
        <v>105273</v>
      </c>
      <c r="P1201">
        <v>0.95</v>
      </c>
      <c r="Q1201">
        <v>178</v>
      </c>
      <c r="R1201">
        <v>88</v>
      </c>
      <c r="S1201" t="s">
        <v>3</v>
      </c>
      <c r="T1201">
        <v>31192.9</v>
      </c>
      <c r="U1201" t="s">
        <v>3298</v>
      </c>
      <c r="V1201" t="s">
        <v>3299</v>
      </c>
      <c r="W1201">
        <v>2.34</v>
      </c>
    </row>
    <row r="1202" spans="1:23">
      <c r="A1202" t="str">
        <f>"300015"</f>
        <v>300015</v>
      </c>
      <c r="B1202" t="s">
        <v>3300</v>
      </c>
      <c r="C1202">
        <v>26.65</v>
      </c>
      <c r="D1202">
        <v>26.7</v>
      </c>
      <c r="E1202">
        <v>25.81</v>
      </c>
      <c r="F1202">
        <v>26.12</v>
      </c>
      <c r="G1202">
        <v>64324</v>
      </c>
      <c r="H1202">
        <v>167720896</v>
      </c>
      <c r="I1202">
        <v>1.99</v>
      </c>
      <c r="J1202" t="s">
        <v>1971</v>
      </c>
      <c r="K1202" t="s">
        <v>234</v>
      </c>
      <c r="L1202">
        <v>-2.06</v>
      </c>
      <c r="M1202">
        <v>26.07</v>
      </c>
      <c r="N1202">
        <v>40532</v>
      </c>
      <c r="O1202">
        <v>23792</v>
      </c>
      <c r="P1202">
        <v>1.7</v>
      </c>
      <c r="Q1202">
        <v>13</v>
      </c>
      <c r="R1202">
        <v>46</v>
      </c>
      <c r="S1202" t="s">
        <v>3</v>
      </c>
      <c r="T1202">
        <v>52327.3</v>
      </c>
      <c r="U1202" t="s">
        <v>3301</v>
      </c>
      <c r="V1202" t="s">
        <v>3302</v>
      </c>
      <c r="W1202">
        <v>-1.9</v>
      </c>
    </row>
    <row r="1203" spans="1:23">
      <c r="A1203" t="str">
        <f>"300016"</f>
        <v>300016</v>
      </c>
      <c r="B1203" t="s">
        <v>3303</v>
      </c>
      <c r="C1203" t="s">
        <v>3</v>
      </c>
      <c r="D1203" t="s">
        <v>3</v>
      </c>
      <c r="E1203" t="s">
        <v>3</v>
      </c>
      <c r="F1203">
        <v>0</v>
      </c>
      <c r="G1203">
        <v>0</v>
      </c>
      <c r="H1203">
        <v>0</v>
      </c>
      <c r="I1203">
        <v>0</v>
      </c>
      <c r="J1203" t="s">
        <v>321</v>
      </c>
      <c r="K1203" t="s">
        <v>34</v>
      </c>
      <c r="L1203" t="s">
        <v>3</v>
      </c>
      <c r="M1203">
        <v>15.2</v>
      </c>
      <c r="N1203">
        <v>0</v>
      </c>
      <c r="O1203">
        <v>0</v>
      </c>
      <c r="P1203" t="s">
        <v>3</v>
      </c>
      <c r="Q1203">
        <v>0</v>
      </c>
      <c r="R1203">
        <v>0</v>
      </c>
      <c r="S1203" t="s">
        <v>3</v>
      </c>
      <c r="T1203">
        <v>24735.78</v>
      </c>
      <c r="U1203" t="s">
        <v>3304</v>
      </c>
      <c r="V1203" t="s">
        <v>992</v>
      </c>
      <c r="W1203">
        <v>0.16</v>
      </c>
    </row>
    <row r="1204" spans="1:23">
      <c r="A1204" t="str">
        <f>"300017"</f>
        <v>300017</v>
      </c>
      <c r="B1204" t="s">
        <v>3305</v>
      </c>
      <c r="C1204">
        <v>58</v>
      </c>
      <c r="D1204">
        <v>58</v>
      </c>
      <c r="E1204">
        <v>56.8</v>
      </c>
      <c r="F1204">
        <v>57.22</v>
      </c>
      <c r="G1204">
        <v>72017</v>
      </c>
      <c r="H1204">
        <v>412363040</v>
      </c>
      <c r="I1204">
        <v>0.76</v>
      </c>
      <c r="J1204" t="s">
        <v>1620</v>
      </c>
      <c r="K1204" t="s">
        <v>727</v>
      </c>
      <c r="L1204">
        <v>-1.84</v>
      </c>
      <c r="M1204">
        <v>57.26</v>
      </c>
      <c r="N1204">
        <v>37186</v>
      </c>
      <c r="O1204">
        <v>34830</v>
      </c>
      <c r="P1204">
        <v>1.07</v>
      </c>
      <c r="Q1204">
        <v>179</v>
      </c>
      <c r="R1204">
        <v>30</v>
      </c>
      <c r="S1204" t="s">
        <v>3</v>
      </c>
      <c r="T1204">
        <v>21249.66</v>
      </c>
      <c r="U1204" t="s">
        <v>3306</v>
      </c>
      <c r="V1204" t="s">
        <v>3307</v>
      </c>
      <c r="W1204">
        <v>-1.68</v>
      </c>
    </row>
    <row r="1205" spans="1:23">
      <c r="A1205" t="str">
        <f>"300018"</f>
        <v>300018</v>
      </c>
      <c r="B1205" t="s">
        <v>3308</v>
      </c>
      <c r="C1205">
        <v>11.7</v>
      </c>
      <c r="D1205">
        <v>11.79</v>
      </c>
      <c r="E1205">
        <v>11.21</v>
      </c>
      <c r="F1205">
        <v>11.3</v>
      </c>
      <c r="G1205">
        <v>95248</v>
      </c>
      <c r="H1205">
        <v>107994816</v>
      </c>
      <c r="I1205">
        <v>2.0099999999999998</v>
      </c>
      <c r="J1205" t="s">
        <v>145</v>
      </c>
      <c r="K1205" t="s">
        <v>317</v>
      </c>
      <c r="L1205">
        <v>-3.75</v>
      </c>
      <c r="M1205">
        <v>11.34</v>
      </c>
      <c r="N1205">
        <v>53339</v>
      </c>
      <c r="O1205">
        <v>41909</v>
      </c>
      <c r="P1205">
        <v>1.27</v>
      </c>
      <c r="Q1205">
        <v>386</v>
      </c>
      <c r="R1205">
        <v>472</v>
      </c>
      <c r="S1205" t="s">
        <v>3</v>
      </c>
      <c r="T1205">
        <v>15310.87</v>
      </c>
      <c r="U1205" t="s">
        <v>3309</v>
      </c>
      <c r="V1205" t="s">
        <v>3310</v>
      </c>
      <c r="W1205">
        <v>-3.59</v>
      </c>
    </row>
    <row r="1206" spans="1:23">
      <c r="A1206" t="str">
        <f>"300019"</f>
        <v>300019</v>
      </c>
      <c r="B1206" t="s">
        <v>3311</v>
      </c>
      <c r="C1206">
        <v>14.08</v>
      </c>
      <c r="D1206">
        <v>14.1</v>
      </c>
      <c r="E1206">
        <v>13.81</v>
      </c>
      <c r="F1206">
        <v>13.96</v>
      </c>
      <c r="G1206">
        <v>37822</v>
      </c>
      <c r="H1206">
        <v>52546608</v>
      </c>
      <c r="I1206">
        <v>0.59</v>
      </c>
      <c r="J1206" t="s">
        <v>376</v>
      </c>
      <c r="K1206" t="s">
        <v>225</v>
      </c>
      <c r="L1206">
        <v>-0.21</v>
      </c>
      <c r="M1206">
        <v>13.89</v>
      </c>
      <c r="N1206">
        <v>22837</v>
      </c>
      <c r="O1206">
        <v>14984</v>
      </c>
      <c r="P1206">
        <v>1.52</v>
      </c>
      <c r="Q1206">
        <v>44</v>
      </c>
      <c r="R1206">
        <v>233</v>
      </c>
      <c r="S1206" t="s">
        <v>3</v>
      </c>
      <c r="T1206">
        <v>10745.41</v>
      </c>
      <c r="U1206" t="s">
        <v>3312</v>
      </c>
      <c r="V1206" t="s">
        <v>3313</v>
      </c>
      <c r="W1206">
        <v>-0.06</v>
      </c>
    </row>
    <row r="1207" spans="1:23">
      <c r="A1207" t="str">
        <f>"300020"</f>
        <v>300020</v>
      </c>
      <c r="B1207" t="s">
        <v>3314</v>
      </c>
      <c r="C1207">
        <v>28.74</v>
      </c>
      <c r="D1207">
        <v>28.87</v>
      </c>
      <c r="E1207">
        <v>28.42</v>
      </c>
      <c r="F1207">
        <v>28.84</v>
      </c>
      <c r="G1207">
        <v>69748</v>
      </c>
      <c r="H1207">
        <v>199458272</v>
      </c>
      <c r="I1207">
        <v>1</v>
      </c>
      <c r="J1207" t="s">
        <v>758</v>
      </c>
      <c r="K1207" t="s">
        <v>229</v>
      </c>
      <c r="L1207">
        <v>0.35</v>
      </c>
      <c r="M1207">
        <v>28.6</v>
      </c>
      <c r="N1207">
        <v>46999</v>
      </c>
      <c r="O1207">
        <v>22749</v>
      </c>
      <c r="P1207">
        <v>2.0699999999999998</v>
      </c>
      <c r="Q1207">
        <v>31</v>
      </c>
      <c r="R1207">
        <v>276</v>
      </c>
      <c r="S1207" t="s">
        <v>3</v>
      </c>
      <c r="T1207">
        <v>24173.8</v>
      </c>
      <c r="U1207" t="s">
        <v>3315</v>
      </c>
      <c r="V1207" t="s">
        <v>3316</v>
      </c>
      <c r="W1207">
        <v>0.51</v>
      </c>
    </row>
    <row r="1208" spans="1:23">
      <c r="A1208" t="str">
        <f>"300021"</f>
        <v>300021</v>
      </c>
      <c r="B1208" t="s">
        <v>3317</v>
      </c>
      <c r="C1208">
        <v>14.64</v>
      </c>
      <c r="D1208">
        <v>14.64</v>
      </c>
      <c r="E1208">
        <v>14.64</v>
      </c>
      <c r="F1208">
        <v>14.64</v>
      </c>
      <c r="G1208">
        <v>8457</v>
      </c>
      <c r="H1208">
        <v>12380741</v>
      </c>
      <c r="I1208">
        <v>0.18</v>
      </c>
      <c r="J1208" t="s">
        <v>169</v>
      </c>
      <c r="K1208" t="s">
        <v>483</v>
      </c>
      <c r="L1208">
        <v>9.99</v>
      </c>
      <c r="M1208">
        <v>14.64</v>
      </c>
      <c r="N1208">
        <v>7750</v>
      </c>
      <c r="O1208">
        <v>706</v>
      </c>
      <c r="P1208">
        <v>10.98</v>
      </c>
      <c r="Q1208">
        <v>83242</v>
      </c>
      <c r="R1208">
        <v>0</v>
      </c>
      <c r="S1208" t="s">
        <v>3</v>
      </c>
      <c r="T1208">
        <v>16750.810000000001</v>
      </c>
      <c r="U1208" t="s">
        <v>3318</v>
      </c>
      <c r="V1208" t="s">
        <v>3319</v>
      </c>
      <c r="W1208">
        <v>10.15</v>
      </c>
    </row>
    <row r="1209" spans="1:23">
      <c r="A1209" t="str">
        <f>"300022"</f>
        <v>300022</v>
      </c>
      <c r="B1209" t="s">
        <v>3320</v>
      </c>
      <c r="C1209">
        <v>7.13</v>
      </c>
      <c r="D1209">
        <v>7.18</v>
      </c>
      <c r="E1209">
        <v>7.05</v>
      </c>
      <c r="F1209">
        <v>7.15</v>
      </c>
      <c r="G1209">
        <v>97570</v>
      </c>
      <c r="H1209">
        <v>69426720</v>
      </c>
      <c r="I1209">
        <v>0.86</v>
      </c>
      <c r="J1209" t="s">
        <v>83</v>
      </c>
      <c r="K1209" t="s">
        <v>225</v>
      </c>
      <c r="L1209">
        <v>0.14000000000000001</v>
      </c>
      <c r="M1209">
        <v>7.12</v>
      </c>
      <c r="N1209">
        <v>56344</v>
      </c>
      <c r="O1209">
        <v>41225</v>
      </c>
      <c r="P1209">
        <v>1.37</v>
      </c>
      <c r="Q1209">
        <v>257</v>
      </c>
      <c r="R1209">
        <v>1066</v>
      </c>
      <c r="S1209" t="s">
        <v>3</v>
      </c>
      <c r="T1209">
        <v>31565.72</v>
      </c>
      <c r="U1209" t="s">
        <v>3321</v>
      </c>
      <c r="V1209" t="s">
        <v>3322</v>
      </c>
      <c r="W1209">
        <v>0.3</v>
      </c>
    </row>
    <row r="1210" spans="1:23">
      <c r="A1210" t="str">
        <f>"300023"</f>
        <v>300023</v>
      </c>
      <c r="B1210" t="s">
        <v>3323</v>
      </c>
      <c r="C1210" t="s">
        <v>3</v>
      </c>
      <c r="D1210" t="s">
        <v>3</v>
      </c>
      <c r="E1210" t="s">
        <v>3</v>
      </c>
      <c r="F1210">
        <v>0</v>
      </c>
      <c r="G1210">
        <v>0</v>
      </c>
      <c r="H1210">
        <v>0</v>
      </c>
      <c r="I1210">
        <v>0</v>
      </c>
      <c r="J1210" t="s">
        <v>269</v>
      </c>
      <c r="K1210" t="s">
        <v>389</v>
      </c>
      <c r="L1210" t="s">
        <v>3</v>
      </c>
      <c r="M1210">
        <v>18.46</v>
      </c>
      <c r="N1210">
        <v>0</v>
      </c>
      <c r="O1210">
        <v>0</v>
      </c>
      <c r="P1210" t="s">
        <v>3</v>
      </c>
      <c r="Q1210">
        <v>0</v>
      </c>
      <c r="R1210">
        <v>0</v>
      </c>
      <c r="S1210" t="s">
        <v>3</v>
      </c>
      <c r="T1210">
        <v>4975.3100000000004</v>
      </c>
      <c r="U1210" t="s">
        <v>3324</v>
      </c>
      <c r="V1210" t="s">
        <v>3325</v>
      </c>
      <c r="W1210">
        <v>0.16</v>
      </c>
    </row>
    <row r="1211" spans="1:23">
      <c r="A1211" t="str">
        <f>"300024"</f>
        <v>300024</v>
      </c>
      <c r="B1211" t="s">
        <v>3326</v>
      </c>
      <c r="C1211">
        <v>34.1</v>
      </c>
      <c r="D1211">
        <v>34.29</v>
      </c>
      <c r="E1211">
        <v>33.369999999999997</v>
      </c>
      <c r="F1211">
        <v>33.82</v>
      </c>
      <c r="G1211">
        <v>121070</v>
      </c>
      <c r="H1211">
        <v>409241056</v>
      </c>
      <c r="I1211">
        <v>0.67</v>
      </c>
      <c r="J1211" t="s">
        <v>269</v>
      </c>
      <c r="K1211" t="s">
        <v>162</v>
      </c>
      <c r="L1211">
        <v>-0.79</v>
      </c>
      <c r="M1211">
        <v>33.799999999999997</v>
      </c>
      <c r="N1211">
        <v>68045</v>
      </c>
      <c r="O1211">
        <v>53025</v>
      </c>
      <c r="P1211">
        <v>1.28</v>
      </c>
      <c r="Q1211">
        <v>1034</v>
      </c>
      <c r="R1211">
        <v>540</v>
      </c>
      <c r="S1211" t="s">
        <v>3</v>
      </c>
      <c r="T1211">
        <v>63414.96</v>
      </c>
      <c r="U1211" t="s">
        <v>3327</v>
      </c>
      <c r="V1211" t="s">
        <v>3328</v>
      </c>
      <c r="W1211">
        <v>-0.63</v>
      </c>
    </row>
    <row r="1212" spans="1:23">
      <c r="A1212" t="str">
        <f>"300025"</f>
        <v>300025</v>
      </c>
      <c r="B1212" t="s">
        <v>3329</v>
      </c>
      <c r="C1212">
        <v>14.9</v>
      </c>
      <c r="D1212">
        <v>15.52</v>
      </c>
      <c r="E1212">
        <v>14.75</v>
      </c>
      <c r="F1212">
        <v>15.47</v>
      </c>
      <c r="G1212">
        <v>103157</v>
      </c>
      <c r="H1212">
        <v>157229328</v>
      </c>
      <c r="I1212">
        <v>2</v>
      </c>
      <c r="J1212" t="s">
        <v>112</v>
      </c>
      <c r="K1212" t="s">
        <v>229</v>
      </c>
      <c r="L1212">
        <v>3.62</v>
      </c>
      <c r="M1212">
        <v>15.24</v>
      </c>
      <c r="N1212">
        <v>44431</v>
      </c>
      <c r="O1212">
        <v>58725</v>
      </c>
      <c r="P1212">
        <v>0.76</v>
      </c>
      <c r="Q1212">
        <v>139</v>
      </c>
      <c r="R1212">
        <v>303</v>
      </c>
      <c r="S1212" t="s">
        <v>3</v>
      </c>
      <c r="T1212">
        <v>10900.5</v>
      </c>
      <c r="U1212" t="s">
        <v>3330</v>
      </c>
      <c r="V1212" t="s">
        <v>620</v>
      </c>
      <c r="W1212">
        <v>3.78</v>
      </c>
    </row>
    <row r="1213" spans="1:23">
      <c r="A1213" t="str">
        <f>"300026"</f>
        <v>300026</v>
      </c>
      <c r="B1213" t="s">
        <v>3331</v>
      </c>
      <c r="C1213">
        <v>27.5</v>
      </c>
      <c r="D1213">
        <v>27.66</v>
      </c>
      <c r="E1213">
        <v>27.2</v>
      </c>
      <c r="F1213">
        <v>27.5</v>
      </c>
      <c r="G1213">
        <v>64170</v>
      </c>
      <c r="H1213">
        <v>176193776</v>
      </c>
      <c r="I1213">
        <v>1.22</v>
      </c>
      <c r="J1213" t="s">
        <v>321</v>
      </c>
      <c r="K1213" t="s">
        <v>442</v>
      </c>
      <c r="L1213">
        <v>0.62</v>
      </c>
      <c r="M1213">
        <v>27.46</v>
      </c>
      <c r="N1213">
        <v>30204</v>
      </c>
      <c r="O1213">
        <v>33965</v>
      </c>
      <c r="P1213">
        <v>0.89</v>
      </c>
      <c r="Q1213">
        <v>676</v>
      </c>
      <c r="R1213">
        <v>144</v>
      </c>
      <c r="S1213" t="s">
        <v>3</v>
      </c>
      <c r="T1213">
        <v>41916.83</v>
      </c>
      <c r="U1213" t="s">
        <v>3332</v>
      </c>
      <c r="V1213" t="s">
        <v>3333</v>
      </c>
      <c r="W1213">
        <v>0.78</v>
      </c>
    </row>
    <row r="1214" spans="1:23">
      <c r="A1214" t="str">
        <f>"300027"</f>
        <v>300027</v>
      </c>
      <c r="B1214" t="s">
        <v>3334</v>
      </c>
      <c r="C1214">
        <v>23.89</v>
      </c>
      <c r="D1214">
        <v>24.14</v>
      </c>
      <c r="E1214">
        <v>23.55</v>
      </c>
      <c r="F1214">
        <v>23.88</v>
      </c>
      <c r="G1214">
        <v>255491</v>
      </c>
      <c r="H1214">
        <v>608405056</v>
      </c>
      <c r="I1214">
        <v>0.78</v>
      </c>
      <c r="J1214" t="s">
        <v>228</v>
      </c>
      <c r="K1214" t="s">
        <v>229</v>
      </c>
      <c r="L1214">
        <v>0.25</v>
      </c>
      <c r="M1214">
        <v>23.81</v>
      </c>
      <c r="N1214">
        <v>122866</v>
      </c>
      <c r="O1214">
        <v>132624</v>
      </c>
      <c r="P1214">
        <v>0.93</v>
      </c>
      <c r="Q1214">
        <v>613</v>
      </c>
      <c r="R1214">
        <v>454</v>
      </c>
      <c r="S1214" t="s">
        <v>3</v>
      </c>
      <c r="T1214">
        <v>86685.45</v>
      </c>
      <c r="U1214" t="s">
        <v>3335</v>
      </c>
      <c r="V1214" t="s">
        <v>3336</v>
      </c>
      <c r="W1214">
        <v>0.41</v>
      </c>
    </row>
    <row r="1215" spans="1:23">
      <c r="A1215" t="str">
        <f>"300028"</f>
        <v>300028</v>
      </c>
      <c r="B1215" t="s">
        <v>3337</v>
      </c>
      <c r="C1215">
        <v>14.5</v>
      </c>
      <c r="D1215">
        <v>15.69</v>
      </c>
      <c r="E1215">
        <v>14.2</v>
      </c>
      <c r="F1215">
        <v>15.52</v>
      </c>
      <c r="G1215">
        <v>327691</v>
      </c>
      <c r="H1215">
        <v>489742080</v>
      </c>
      <c r="I1215">
        <v>2.08</v>
      </c>
      <c r="J1215" t="s">
        <v>112</v>
      </c>
      <c r="K1215" t="s">
        <v>225</v>
      </c>
      <c r="L1215">
        <v>8.5299999999999994</v>
      </c>
      <c r="M1215">
        <v>14.95</v>
      </c>
      <c r="N1215">
        <v>140148</v>
      </c>
      <c r="O1215">
        <v>187542</v>
      </c>
      <c r="P1215">
        <v>0.75</v>
      </c>
      <c r="Q1215">
        <v>3357</v>
      </c>
      <c r="R1215">
        <v>793</v>
      </c>
      <c r="S1215" t="s">
        <v>3</v>
      </c>
      <c r="T1215">
        <v>20907.03</v>
      </c>
      <c r="U1215" t="s">
        <v>1636</v>
      </c>
      <c r="V1215" t="s">
        <v>156</v>
      </c>
      <c r="W1215">
        <v>8.69</v>
      </c>
    </row>
    <row r="1216" spans="1:23">
      <c r="A1216" t="str">
        <f>"300029"</f>
        <v>300029</v>
      </c>
      <c r="B1216" t="s">
        <v>3338</v>
      </c>
      <c r="C1216">
        <v>10.02</v>
      </c>
      <c r="D1216">
        <v>10.130000000000001</v>
      </c>
      <c r="E1216">
        <v>9.73</v>
      </c>
      <c r="F1216">
        <v>10</v>
      </c>
      <c r="G1216">
        <v>62789</v>
      </c>
      <c r="H1216">
        <v>62282460</v>
      </c>
      <c r="I1216">
        <v>0.62</v>
      </c>
      <c r="J1216" t="s">
        <v>1581</v>
      </c>
      <c r="K1216" t="s">
        <v>244</v>
      </c>
      <c r="L1216">
        <v>-0.3</v>
      </c>
      <c r="M1216">
        <v>9.92</v>
      </c>
      <c r="N1216">
        <v>32099</v>
      </c>
      <c r="O1216">
        <v>30690</v>
      </c>
      <c r="P1216">
        <v>1.05</v>
      </c>
      <c r="Q1216">
        <v>0</v>
      </c>
      <c r="R1216">
        <v>0</v>
      </c>
      <c r="S1216" t="s">
        <v>3</v>
      </c>
      <c r="T1216">
        <v>19345.66</v>
      </c>
      <c r="U1216" t="s">
        <v>3339</v>
      </c>
      <c r="V1216" t="s">
        <v>3340</v>
      </c>
      <c r="W1216">
        <v>-0.14000000000000001</v>
      </c>
    </row>
    <row r="1217" spans="1:23">
      <c r="A1217" t="str">
        <f>"300030"</f>
        <v>300030</v>
      </c>
      <c r="B1217" t="s">
        <v>3341</v>
      </c>
      <c r="C1217">
        <v>13.16</v>
      </c>
      <c r="D1217">
        <v>13.26</v>
      </c>
      <c r="E1217">
        <v>12.83</v>
      </c>
      <c r="F1217">
        <v>13.25</v>
      </c>
      <c r="G1217">
        <v>155930</v>
      </c>
      <c r="H1217">
        <v>204113648</v>
      </c>
      <c r="I1217">
        <v>1.38</v>
      </c>
      <c r="J1217" t="s">
        <v>1971</v>
      </c>
      <c r="K1217" t="s">
        <v>211</v>
      </c>
      <c r="L1217">
        <v>0.84</v>
      </c>
      <c r="M1217">
        <v>13.09</v>
      </c>
      <c r="N1217">
        <v>79674</v>
      </c>
      <c r="O1217">
        <v>76256</v>
      </c>
      <c r="P1217">
        <v>1.04</v>
      </c>
      <c r="Q1217">
        <v>411</v>
      </c>
      <c r="R1217">
        <v>2135</v>
      </c>
      <c r="S1217" t="s">
        <v>3</v>
      </c>
      <c r="T1217">
        <v>24106.39</v>
      </c>
      <c r="U1217" t="s">
        <v>3342</v>
      </c>
      <c r="V1217" t="s">
        <v>3343</v>
      </c>
      <c r="W1217">
        <v>1</v>
      </c>
    </row>
    <row r="1218" spans="1:23">
      <c r="A1218" t="str">
        <f>"300031"</f>
        <v>300031</v>
      </c>
      <c r="B1218" t="s">
        <v>3344</v>
      </c>
      <c r="C1218">
        <v>7.11</v>
      </c>
      <c r="D1218">
        <v>7.11</v>
      </c>
      <c r="E1218">
        <v>6.97</v>
      </c>
      <c r="F1218">
        <v>7.07</v>
      </c>
      <c r="G1218">
        <v>84060</v>
      </c>
      <c r="H1218">
        <v>59140772</v>
      </c>
      <c r="I1218">
        <v>0.85</v>
      </c>
      <c r="J1218" t="s">
        <v>1137</v>
      </c>
      <c r="K1218" t="s">
        <v>244</v>
      </c>
      <c r="L1218">
        <v>0.28000000000000003</v>
      </c>
      <c r="M1218">
        <v>7.04</v>
      </c>
      <c r="N1218">
        <v>47212</v>
      </c>
      <c r="O1218">
        <v>36847</v>
      </c>
      <c r="P1218">
        <v>1.28</v>
      </c>
      <c r="Q1218">
        <v>473</v>
      </c>
      <c r="R1218">
        <v>1964</v>
      </c>
      <c r="S1218" t="s">
        <v>3</v>
      </c>
      <c r="T1218">
        <v>21383.360000000001</v>
      </c>
      <c r="U1218" t="s">
        <v>3345</v>
      </c>
      <c r="V1218" t="s">
        <v>3346</v>
      </c>
      <c r="W1218">
        <v>0.44</v>
      </c>
    </row>
    <row r="1219" spans="1:23">
      <c r="A1219" t="str">
        <f>"300032"</f>
        <v>300032</v>
      </c>
      <c r="B1219" t="s">
        <v>3347</v>
      </c>
      <c r="C1219" t="s">
        <v>3</v>
      </c>
      <c r="D1219" t="s">
        <v>3</v>
      </c>
      <c r="E1219" t="s">
        <v>3</v>
      </c>
      <c r="F1219">
        <v>0</v>
      </c>
      <c r="G1219">
        <v>0</v>
      </c>
      <c r="H1219">
        <v>0</v>
      </c>
      <c r="I1219">
        <v>0</v>
      </c>
      <c r="J1219" t="s">
        <v>62</v>
      </c>
      <c r="K1219" t="s">
        <v>229</v>
      </c>
      <c r="L1219" t="s">
        <v>3</v>
      </c>
      <c r="M1219">
        <v>23.92</v>
      </c>
      <c r="N1219">
        <v>0</v>
      </c>
      <c r="O1219">
        <v>0</v>
      </c>
      <c r="P1219" t="s">
        <v>3</v>
      </c>
      <c r="Q1219">
        <v>0</v>
      </c>
      <c r="R1219">
        <v>0</v>
      </c>
      <c r="S1219" t="s">
        <v>3</v>
      </c>
      <c r="T1219">
        <v>26809.75</v>
      </c>
      <c r="U1219" t="s">
        <v>3348</v>
      </c>
      <c r="V1219" t="s">
        <v>3349</v>
      </c>
      <c r="W1219">
        <v>0.16</v>
      </c>
    </row>
    <row r="1220" spans="1:23">
      <c r="A1220" t="str">
        <f>"300033"</f>
        <v>300033</v>
      </c>
      <c r="B1220" t="s">
        <v>3350</v>
      </c>
      <c r="C1220">
        <v>25.98</v>
      </c>
      <c r="D1220">
        <v>26.48</v>
      </c>
      <c r="E1220">
        <v>25.4</v>
      </c>
      <c r="F1220">
        <v>25.87</v>
      </c>
      <c r="G1220">
        <v>61431</v>
      </c>
      <c r="H1220">
        <v>158057808</v>
      </c>
      <c r="I1220">
        <v>1.04</v>
      </c>
      <c r="J1220" t="s">
        <v>758</v>
      </c>
      <c r="K1220" t="s">
        <v>229</v>
      </c>
      <c r="L1220">
        <v>-0.42</v>
      </c>
      <c r="M1220">
        <v>25.73</v>
      </c>
      <c r="N1220">
        <v>35486</v>
      </c>
      <c r="O1220">
        <v>25944</v>
      </c>
      <c r="P1220">
        <v>1.37</v>
      </c>
      <c r="Q1220">
        <v>707</v>
      </c>
      <c r="R1220">
        <v>74</v>
      </c>
      <c r="S1220" t="s">
        <v>3</v>
      </c>
      <c r="T1220">
        <v>13013.05</v>
      </c>
      <c r="U1220" t="s">
        <v>611</v>
      </c>
      <c r="V1220" t="s">
        <v>3351</v>
      </c>
      <c r="W1220">
        <v>-0.26</v>
      </c>
    </row>
    <row r="1221" spans="1:23">
      <c r="A1221" t="str">
        <f>"300034"</f>
        <v>300034</v>
      </c>
      <c r="B1221" t="s">
        <v>3352</v>
      </c>
      <c r="C1221">
        <v>22.37</v>
      </c>
      <c r="D1221">
        <v>22.96</v>
      </c>
      <c r="E1221">
        <v>22</v>
      </c>
      <c r="F1221">
        <v>22.52</v>
      </c>
      <c r="G1221">
        <v>77742</v>
      </c>
      <c r="H1221">
        <v>175612848</v>
      </c>
      <c r="I1221">
        <v>0.62</v>
      </c>
      <c r="J1221" t="s">
        <v>328</v>
      </c>
      <c r="K1221" t="s">
        <v>34</v>
      </c>
      <c r="L1221">
        <v>0.9</v>
      </c>
      <c r="M1221">
        <v>22.59</v>
      </c>
      <c r="N1221">
        <v>36277</v>
      </c>
      <c r="O1221">
        <v>41465</v>
      </c>
      <c r="P1221">
        <v>0.87</v>
      </c>
      <c r="Q1221">
        <v>274</v>
      </c>
      <c r="R1221">
        <v>480</v>
      </c>
      <c r="S1221" t="s">
        <v>3</v>
      </c>
      <c r="T1221">
        <v>31798.22</v>
      </c>
      <c r="U1221" t="s">
        <v>3353</v>
      </c>
      <c r="V1221" t="s">
        <v>3353</v>
      </c>
      <c r="W1221">
        <v>1.05</v>
      </c>
    </row>
    <row r="1222" spans="1:23">
      <c r="A1222" t="str">
        <f>"300035"</f>
        <v>300035</v>
      </c>
      <c r="B1222" t="s">
        <v>3354</v>
      </c>
      <c r="C1222">
        <v>9.58</v>
      </c>
      <c r="D1222">
        <v>9.58</v>
      </c>
      <c r="E1222">
        <v>9.4</v>
      </c>
      <c r="F1222">
        <v>9.5299999999999994</v>
      </c>
      <c r="G1222">
        <v>58136</v>
      </c>
      <c r="H1222">
        <v>55252892</v>
      </c>
      <c r="I1222">
        <v>0.62</v>
      </c>
      <c r="J1222" t="s">
        <v>233</v>
      </c>
      <c r="K1222" t="s">
        <v>234</v>
      </c>
      <c r="L1222">
        <v>-0.31</v>
      </c>
      <c r="M1222">
        <v>9.5</v>
      </c>
      <c r="N1222">
        <v>33266</v>
      </c>
      <c r="O1222">
        <v>24869</v>
      </c>
      <c r="P1222">
        <v>1.34</v>
      </c>
      <c r="Q1222">
        <v>295</v>
      </c>
      <c r="R1222">
        <v>47</v>
      </c>
      <c r="S1222" t="s">
        <v>3</v>
      </c>
      <c r="T1222">
        <v>15515.95</v>
      </c>
      <c r="U1222" t="s">
        <v>3355</v>
      </c>
      <c r="V1222" t="s">
        <v>910</v>
      </c>
      <c r="W1222">
        <v>-0.16</v>
      </c>
    </row>
    <row r="1223" spans="1:23">
      <c r="A1223" t="str">
        <f>"300036"</f>
        <v>300036</v>
      </c>
      <c r="B1223" t="s">
        <v>3356</v>
      </c>
      <c r="C1223">
        <v>25.49</v>
      </c>
      <c r="D1223">
        <v>25.49</v>
      </c>
      <c r="E1223">
        <v>24.9</v>
      </c>
      <c r="F1223">
        <v>25</v>
      </c>
      <c r="G1223">
        <v>17096</v>
      </c>
      <c r="H1223">
        <v>42892452</v>
      </c>
      <c r="I1223">
        <v>0.45</v>
      </c>
      <c r="J1223" t="s">
        <v>758</v>
      </c>
      <c r="K1223" t="s">
        <v>34</v>
      </c>
      <c r="L1223">
        <v>-1.19</v>
      </c>
      <c r="M1223">
        <v>25.09</v>
      </c>
      <c r="N1223">
        <v>9484</v>
      </c>
      <c r="O1223">
        <v>7611</v>
      </c>
      <c r="P1223">
        <v>1.25</v>
      </c>
      <c r="Q1223">
        <v>68</v>
      </c>
      <c r="R1223">
        <v>376</v>
      </c>
      <c r="S1223" t="s">
        <v>3</v>
      </c>
      <c r="T1223">
        <v>8971.3700000000008</v>
      </c>
      <c r="U1223" t="s">
        <v>3357</v>
      </c>
      <c r="V1223" t="s">
        <v>1232</v>
      </c>
      <c r="W1223">
        <v>-1.03</v>
      </c>
    </row>
    <row r="1224" spans="1:23">
      <c r="A1224" t="str">
        <f>"300037"</f>
        <v>300037</v>
      </c>
      <c r="B1224" t="s">
        <v>3358</v>
      </c>
      <c r="C1224">
        <v>39.33</v>
      </c>
      <c r="D1224">
        <v>41.08</v>
      </c>
      <c r="E1224">
        <v>39.33</v>
      </c>
      <c r="F1224">
        <v>40.950000000000003</v>
      </c>
      <c r="G1224">
        <v>36947</v>
      </c>
      <c r="H1224">
        <v>148526832</v>
      </c>
      <c r="I1224">
        <v>1.47</v>
      </c>
      <c r="J1224" t="s">
        <v>376</v>
      </c>
      <c r="K1224" t="s">
        <v>2</v>
      </c>
      <c r="L1224">
        <v>3.83</v>
      </c>
      <c r="M1224">
        <v>40.200000000000003</v>
      </c>
      <c r="N1224">
        <v>13740</v>
      </c>
      <c r="O1224">
        <v>23207</v>
      </c>
      <c r="P1224">
        <v>0.59</v>
      </c>
      <c r="Q1224">
        <v>20</v>
      </c>
      <c r="R1224">
        <v>105</v>
      </c>
      <c r="S1224" t="s">
        <v>3</v>
      </c>
      <c r="T1224">
        <v>10106.870000000001</v>
      </c>
      <c r="U1224" t="s">
        <v>3359</v>
      </c>
      <c r="V1224" t="s">
        <v>3360</v>
      </c>
      <c r="W1224">
        <v>3.99</v>
      </c>
    </row>
    <row r="1225" spans="1:23">
      <c r="A1225" t="str">
        <f>"300038"</f>
        <v>300038</v>
      </c>
      <c r="B1225" t="s">
        <v>3361</v>
      </c>
      <c r="C1225">
        <v>20.58</v>
      </c>
      <c r="D1225">
        <v>21.97</v>
      </c>
      <c r="E1225">
        <v>20</v>
      </c>
      <c r="F1225">
        <v>21.15</v>
      </c>
      <c r="G1225">
        <v>158731</v>
      </c>
      <c r="H1225">
        <v>335109024</v>
      </c>
      <c r="I1225">
        <v>3.41</v>
      </c>
      <c r="J1225" t="s">
        <v>112</v>
      </c>
      <c r="K1225" t="s">
        <v>34</v>
      </c>
      <c r="L1225">
        <v>5.91</v>
      </c>
      <c r="M1225">
        <v>21.11</v>
      </c>
      <c r="N1225">
        <v>69663</v>
      </c>
      <c r="O1225">
        <v>89068</v>
      </c>
      <c r="P1225">
        <v>0.78</v>
      </c>
      <c r="Q1225">
        <v>188</v>
      </c>
      <c r="R1225">
        <v>50</v>
      </c>
      <c r="S1225" t="s">
        <v>3</v>
      </c>
      <c r="T1225">
        <v>10244.700000000001</v>
      </c>
      <c r="U1225" t="s">
        <v>1686</v>
      </c>
      <c r="V1225" t="s">
        <v>3362</v>
      </c>
      <c r="W1225">
        <v>6.07</v>
      </c>
    </row>
    <row r="1226" spans="1:23">
      <c r="A1226" t="str">
        <f>"300039"</f>
        <v>300039</v>
      </c>
      <c r="B1226" t="s">
        <v>3363</v>
      </c>
      <c r="C1226">
        <v>13.79</v>
      </c>
      <c r="D1226">
        <v>14.07</v>
      </c>
      <c r="E1226">
        <v>13.71</v>
      </c>
      <c r="F1226">
        <v>14.04</v>
      </c>
      <c r="G1226">
        <v>129632</v>
      </c>
      <c r="H1226">
        <v>180821392</v>
      </c>
      <c r="I1226">
        <v>1.17</v>
      </c>
      <c r="J1226" t="s">
        <v>321</v>
      </c>
      <c r="K1226" t="s">
        <v>727</v>
      </c>
      <c r="L1226">
        <v>1.59</v>
      </c>
      <c r="M1226">
        <v>13.95</v>
      </c>
      <c r="N1226">
        <v>56354</v>
      </c>
      <c r="O1226">
        <v>73277</v>
      </c>
      <c r="P1226">
        <v>0.77</v>
      </c>
      <c r="Q1226">
        <v>273</v>
      </c>
      <c r="R1226">
        <v>1169</v>
      </c>
      <c r="S1226" t="s">
        <v>3</v>
      </c>
      <c r="T1226">
        <v>46743.32</v>
      </c>
      <c r="U1226" t="s">
        <v>1934</v>
      </c>
      <c r="V1226" t="s">
        <v>3364</v>
      </c>
      <c r="W1226">
        <v>1.75</v>
      </c>
    </row>
    <row r="1227" spans="1:23">
      <c r="A1227" t="str">
        <f>"300040"</f>
        <v>300040</v>
      </c>
      <c r="B1227" t="s">
        <v>3365</v>
      </c>
      <c r="C1227">
        <v>7.48</v>
      </c>
      <c r="D1227">
        <v>7.54</v>
      </c>
      <c r="E1227">
        <v>7.34</v>
      </c>
      <c r="F1227">
        <v>7.53</v>
      </c>
      <c r="G1227">
        <v>149081</v>
      </c>
      <c r="H1227">
        <v>111473864</v>
      </c>
      <c r="I1227">
        <v>0.89</v>
      </c>
      <c r="J1227" t="s">
        <v>145</v>
      </c>
      <c r="K1227" t="s">
        <v>565</v>
      </c>
      <c r="L1227">
        <v>1.21</v>
      </c>
      <c r="M1227">
        <v>7.48</v>
      </c>
      <c r="N1227">
        <v>65718</v>
      </c>
      <c r="O1227">
        <v>83363</v>
      </c>
      <c r="P1227">
        <v>0.79</v>
      </c>
      <c r="Q1227">
        <v>1609</v>
      </c>
      <c r="R1227">
        <v>711</v>
      </c>
      <c r="S1227" t="s">
        <v>3</v>
      </c>
      <c r="T1227">
        <v>19844.84</v>
      </c>
      <c r="U1227" t="s">
        <v>3366</v>
      </c>
      <c r="V1227" t="s">
        <v>1856</v>
      </c>
      <c r="W1227">
        <v>1.37</v>
      </c>
    </row>
    <row r="1228" spans="1:23">
      <c r="A1228" t="str">
        <f>"300041"</f>
        <v>300041</v>
      </c>
      <c r="B1228" t="s">
        <v>3367</v>
      </c>
      <c r="C1228">
        <v>19.23</v>
      </c>
      <c r="D1228">
        <v>19.329999999999998</v>
      </c>
      <c r="E1228">
        <v>18.59</v>
      </c>
      <c r="F1228">
        <v>18.86</v>
      </c>
      <c r="G1228">
        <v>23331</v>
      </c>
      <c r="H1228">
        <v>44160552</v>
      </c>
      <c r="I1228">
        <v>0.75</v>
      </c>
      <c r="J1228" t="s">
        <v>376</v>
      </c>
      <c r="K1228" t="s">
        <v>317</v>
      </c>
      <c r="L1228">
        <v>-1.62</v>
      </c>
      <c r="M1228">
        <v>18.93</v>
      </c>
      <c r="N1228">
        <v>13067</v>
      </c>
      <c r="O1228">
        <v>10263</v>
      </c>
      <c r="P1228">
        <v>1.27</v>
      </c>
      <c r="Q1228">
        <v>396</v>
      </c>
      <c r="R1228">
        <v>42</v>
      </c>
      <c r="S1228" t="s">
        <v>3</v>
      </c>
      <c r="T1228">
        <v>12935.03</v>
      </c>
      <c r="U1228" t="s">
        <v>3368</v>
      </c>
      <c r="V1228" t="s">
        <v>2721</v>
      </c>
      <c r="W1228">
        <v>-1.46</v>
      </c>
    </row>
    <row r="1229" spans="1:23">
      <c r="A1229" t="str">
        <f>"300042"</f>
        <v>300042</v>
      </c>
      <c r="B1229" t="s">
        <v>3369</v>
      </c>
      <c r="C1229">
        <v>15.85</v>
      </c>
      <c r="D1229">
        <v>15.96</v>
      </c>
      <c r="E1229">
        <v>15.65</v>
      </c>
      <c r="F1229">
        <v>15.93</v>
      </c>
      <c r="G1229">
        <v>30590</v>
      </c>
      <c r="H1229">
        <v>48361724</v>
      </c>
      <c r="I1229">
        <v>1.1200000000000001</v>
      </c>
      <c r="J1229" t="s">
        <v>66</v>
      </c>
      <c r="K1229" t="s">
        <v>2</v>
      </c>
      <c r="L1229">
        <v>0.13</v>
      </c>
      <c r="M1229">
        <v>15.81</v>
      </c>
      <c r="N1229">
        <v>16264</v>
      </c>
      <c r="O1229">
        <v>14325</v>
      </c>
      <c r="P1229">
        <v>1.1399999999999999</v>
      </c>
      <c r="Q1229">
        <v>175</v>
      </c>
      <c r="R1229">
        <v>99</v>
      </c>
      <c r="S1229" t="s">
        <v>3</v>
      </c>
      <c r="T1229">
        <v>7327.91</v>
      </c>
      <c r="U1229" t="s">
        <v>3211</v>
      </c>
      <c r="V1229" t="s">
        <v>3370</v>
      </c>
      <c r="W1229">
        <v>0.28000000000000003</v>
      </c>
    </row>
    <row r="1230" spans="1:23">
      <c r="A1230" t="str">
        <f>"300043"</f>
        <v>300043</v>
      </c>
      <c r="B1230" t="s">
        <v>3371</v>
      </c>
      <c r="C1230" t="s">
        <v>3</v>
      </c>
      <c r="D1230" t="s">
        <v>3</v>
      </c>
      <c r="E1230" t="s">
        <v>3</v>
      </c>
      <c r="F1230">
        <v>0</v>
      </c>
      <c r="G1230">
        <v>0</v>
      </c>
      <c r="H1230">
        <v>0</v>
      </c>
      <c r="I1230">
        <v>0</v>
      </c>
      <c r="J1230" t="s">
        <v>51</v>
      </c>
      <c r="K1230" t="s">
        <v>211</v>
      </c>
      <c r="L1230" t="s">
        <v>3</v>
      </c>
      <c r="M1230">
        <v>15.29</v>
      </c>
      <c r="N1230">
        <v>0</v>
      </c>
      <c r="O1230">
        <v>0</v>
      </c>
      <c r="P1230" t="s">
        <v>3</v>
      </c>
      <c r="Q1230">
        <v>0</v>
      </c>
      <c r="R1230">
        <v>0</v>
      </c>
      <c r="S1230" t="s">
        <v>3</v>
      </c>
      <c r="T1230">
        <v>18764.13</v>
      </c>
      <c r="U1230" t="s">
        <v>3372</v>
      </c>
      <c r="V1230" t="s">
        <v>3373</v>
      </c>
      <c r="W1230">
        <v>0.16</v>
      </c>
    </row>
    <row r="1231" spans="1:23">
      <c r="A1231" t="str">
        <f>"300044"</f>
        <v>300044</v>
      </c>
      <c r="B1231" t="s">
        <v>3374</v>
      </c>
      <c r="C1231">
        <v>18.86</v>
      </c>
      <c r="D1231">
        <v>19.13</v>
      </c>
      <c r="E1231">
        <v>18.43</v>
      </c>
      <c r="F1231">
        <v>18.75</v>
      </c>
      <c r="G1231">
        <v>40460</v>
      </c>
      <c r="H1231">
        <v>75475064</v>
      </c>
      <c r="I1231">
        <v>0.99</v>
      </c>
      <c r="J1231" t="s">
        <v>758</v>
      </c>
      <c r="K1231" t="s">
        <v>2</v>
      </c>
      <c r="L1231">
        <v>-1.52</v>
      </c>
      <c r="M1231">
        <v>18.649999999999999</v>
      </c>
      <c r="N1231">
        <v>21315</v>
      </c>
      <c r="O1231">
        <v>19144</v>
      </c>
      <c r="P1231">
        <v>1.1100000000000001</v>
      </c>
      <c r="Q1231">
        <v>3</v>
      </c>
      <c r="R1231">
        <v>1422</v>
      </c>
      <c r="S1231" t="s">
        <v>3</v>
      </c>
      <c r="T1231">
        <v>14733.12</v>
      </c>
      <c r="U1231" t="s">
        <v>3375</v>
      </c>
      <c r="V1231" t="s">
        <v>3376</v>
      </c>
      <c r="W1231">
        <v>-1.36</v>
      </c>
    </row>
    <row r="1232" spans="1:23">
      <c r="A1232" t="str">
        <f>"300045"</f>
        <v>300045</v>
      </c>
      <c r="B1232" t="s">
        <v>3377</v>
      </c>
      <c r="C1232">
        <v>22.34</v>
      </c>
      <c r="D1232">
        <v>22.34</v>
      </c>
      <c r="E1232">
        <v>21.9</v>
      </c>
      <c r="F1232">
        <v>22</v>
      </c>
      <c r="G1232">
        <v>59790</v>
      </c>
      <c r="H1232">
        <v>131826016</v>
      </c>
      <c r="I1232">
        <v>0.56999999999999995</v>
      </c>
      <c r="J1232" t="s">
        <v>66</v>
      </c>
      <c r="K1232" t="s">
        <v>34</v>
      </c>
      <c r="L1232">
        <v>-1.52</v>
      </c>
      <c r="M1232">
        <v>22.05</v>
      </c>
      <c r="N1232">
        <v>33423</v>
      </c>
      <c r="O1232">
        <v>26366</v>
      </c>
      <c r="P1232">
        <v>1.27</v>
      </c>
      <c r="Q1232">
        <v>745</v>
      </c>
      <c r="R1232">
        <v>106</v>
      </c>
      <c r="S1232" t="s">
        <v>3</v>
      </c>
      <c r="T1232">
        <v>15512.53</v>
      </c>
      <c r="U1232" t="s">
        <v>2856</v>
      </c>
      <c r="V1232" t="s">
        <v>3378</v>
      </c>
      <c r="W1232">
        <v>-1.36</v>
      </c>
    </row>
    <row r="1233" spans="1:23">
      <c r="A1233" t="str">
        <f>"300046"</f>
        <v>300046</v>
      </c>
      <c r="B1233" t="s">
        <v>3379</v>
      </c>
      <c r="C1233">
        <v>16</v>
      </c>
      <c r="D1233">
        <v>16.3</v>
      </c>
      <c r="E1233">
        <v>15.68</v>
      </c>
      <c r="F1233">
        <v>16.29</v>
      </c>
      <c r="G1233">
        <v>63054</v>
      </c>
      <c r="H1233">
        <v>101632528</v>
      </c>
      <c r="I1233">
        <v>1.06</v>
      </c>
      <c r="J1233" t="s">
        <v>1581</v>
      </c>
      <c r="K1233" t="s">
        <v>317</v>
      </c>
      <c r="L1233">
        <v>3.89</v>
      </c>
      <c r="M1233">
        <v>16.12</v>
      </c>
      <c r="N1233">
        <v>25263</v>
      </c>
      <c r="O1233">
        <v>37790</v>
      </c>
      <c r="P1233">
        <v>0.67</v>
      </c>
      <c r="Q1233">
        <v>253</v>
      </c>
      <c r="R1233">
        <v>68</v>
      </c>
      <c r="S1233" t="s">
        <v>3</v>
      </c>
      <c r="T1233">
        <v>10680</v>
      </c>
      <c r="U1233" t="s">
        <v>1646</v>
      </c>
      <c r="V1233" t="s">
        <v>3380</v>
      </c>
      <c r="W1233">
        <v>4.05</v>
      </c>
    </row>
    <row r="1234" spans="1:23">
      <c r="A1234" t="str">
        <f>"300047"</f>
        <v>300047</v>
      </c>
      <c r="B1234" t="s">
        <v>3381</v>
      </c>
      <c r="C1234">
        <v>14.9</v>
      </c>
      <c r="D1234">
        <v>15.35</v>
      </c>
      <c r="E1234">
        <v>14.76</v>
      </c>
      <c r="F1234">
        <v>15.31</v>
      </c>
      <c r="G1234">
        <v>102753</v>
      </c>
      <c r="H1234">
        <v>154624144</v>
      </c>
      <c r="I1234">
        <v>1.01</v>
      </c>
      <c r="J1234" t="s">
        <v>758</v>
      </c>
      <c r="K1234" t="s">
        <v>2</v>
      </c>
      <c r="L1234">
        <v>2.89</v>
      </c>
      <c r="M1234">
        <v>15.05</v>
      </c>
      <c r="N1234">
        <v>45562</v>
      </c>
      <c r="O1234">
        <v>57191</v>
      </c>
      <c r="P1234">
        <v>0.8</v>
      </c>
      <c r="Q1234">
        <v>316</v>
      </c>
      <c r="R1234">
        <v>258</v>
      </c>
      <c r="S1234" t="s">
        <v>3</v>
      </c>
      <c r="T1234">
        <v>22333.59</v>
      </c>
      <c r="U1234" t="s">
        <v>1133</v>
      </c>
      <c r="V1234" t="s">
        <v>3382</v>
      </c>
      <c r="W1234">
        <v>3.05</v>
      </c>
    </row>
    <row r="1235" spans="1:23">
      <c r="A1235" t="str">
        <f>"300048"</f>
        <v>300048</v>
      </c>
      <c r="B1235" t="s">
        <v>3383</v>
      </c>
      <c r="C1235">
        <v>10.14</v>
      </c>
      <c r="D1235">
        <v>10.23</v>
      </c>
      <c r="E1235">
        <v>10</v>
      </c>
      <c r="F1235">
        <v>10.16</v>
      </c>
      <c r="G1235">
        <v>64879</v>
      </c>
      <c r="H1235">
        <v>65511792</v>
      </c>
      <c r="I1235">
        <v>0.89</v>
      </c>
      <c r="J1235" t="s">
        <v>145</v>
      </c>
      <c r="K1235" t="s">
        <v>34</v>
      </c>
      <c r="L1235">
        <v>0.2</v>
      </c>
      <c r="M1235">
        <v>10.1</v>
      </c>
      <c r="N1235">
        <v>34496</v>
      </c>
      <c r="O1235">
        <v>30383</v>
      </c>
      <c r="P1235">
        <v>1.1399999999999999</v>
      </c>
      <c r="Q1235">
        <v>1138</v>
      </c>
      <c r="R1235">
        <v>539</v>
      </c>
      <c r="S1235" t="s">
        <v>3</v>
      </c>
      <c r="T1235">
        <v>29812.73</v>
      </c>
      <c r="U1235" t="s">
        <v>3384</v>
      </c>
      <c r="V1235" t="s">
        <v>3385</v>
      </c>
      <c r="W1235">
        <v>0.36</v>
      </c>
    </row>
    <row r="1236" spans="1:23">
      <c r="A1236" t="str">
        <f>"300049"</f>
        <v>300049</v>
      </c>
      <c r="B1236" t="s">
        <v>3386</v>
      </c>
      <c r="C1236">
        <v>33.29</v>
      </c>
      <c r="D1236">
        <v>36</v>
      </c>
      <c r="E1236">
        <v>32</v>
      </c>
      <c r="F1236">
        <v>35.57</v>
      </c>
      <c r="G1236">
        <v>70758</v>
      </c>
      <c r="H1236">
        <v>238626704</v>
      </c>
      <c r="I1236">
        <v>4.34</v>
      </c>
      <c r="J1236" t="s">
        <v>321</v>
      </c>
      <c r="K1236" t="s">
        <v>329</v>
      </c>
      <c r="L1236">
        <v>6.78</v>
      </c>
      <c r="M1236">
        <v>33.72</v>
      </c>
      <c r="N1236">
        <v>38262</v>
      </c>
      <c r="O1236">
        <v>32496</v>
      </c>
      <c r="P1236">
        <v>1.18</v>
      </c>
      <c r="Q1236">
        <v>5</v>
      </c>
      <c r="R1236">
        <v>81</v>
      </c>
      <c r="S1236" t="s">
        <v>3</v>
      </c>
      <c r="T1236">
        <v>10883.04</v>
      </c>
      <c r="U1236" t="s">
        <v>2785</v>
      </c>
      <c r="V1236" t="s">
        <v>3387</v>
      </c>
      <c r="W1236">
        <v>6.94</v>
      </c>
    </row>
    <row r="1237" spans="1:23">
      <c r="A1237" t="str">
        <f>"300050"</f>
        <v>300050</v>
      </c>
      <c r="B1237" t="s">
        <v>3388</v>
      </c>
      <c r="C1237">
        <v>18.04</v>
      </c>
      <c r="D1237">
        <v>18.149999999999999</v>
      </c>
      <c r="E1237">
        <v>17.73</v>
      </c>
      <c r="F1237">
        <v>17.850000000000001</v>
      </c>
      <c r="G1237">
        <v>41405</v>
      </c>
      <c r="H1237">
        <v>74315912</v>
      </c>
      <c r="I1237">
        <v>1.29</v>
      </c>
      <c r="J1237" t="s">
        <v>758</v>
      </c>
      <c r="K1237" t="s">
        <v>211</v>
      </c>
      <c r="L1237">
        <v>-0.5</v>
      </c>
      <c r="M1237">
        <v>17.95</v>
      </c>
      <c r="N1237">
        <v>20251</v>
      </c>
      <c r="O1237">
        <v>21154</v>
      </c>
      <c r="P1237">
        <v>0.96</v>
      </c>
      <c r="Q1237">
        <v>109</v>
      </c>
      <c r="R1237">
        <v>25</v>
      </c>
      <c r="S1237" t="s">
        <v>3</v>
      </c>
      <c r="T1237">
        <v>13199.57</v>
      </c>
      <c r="U1237" t="s">
        <v>1928</v>
      </c>
      <c r="V1237" t="s">
        <v>3389</v>
      </c>
      <c r="W1237">
        <v>-0.34</v>
      </c>
    </row>
    <row r="1238" spans="1:23">
      <c r="A1238" t="str">
        <f>"300051"</f>
        <v>300051</v>
      </c>
      <c r="B1238" t="s">
        <v>3390</v>
      </c>
      <c r="C1238">
        <v>10.86</v>
      </c>
      <c r="D1238">
        <v>11.85</v>
      </c>
      <c r="E1238">
        <v>10.71</v>
      </c>
      <c r="F1238">
        <v>11.85</v>
      </c>
      <c r="G1238">
        <v>421236</v>
      </c>
      <c r="H1238">
        <v>489195680</v>
      </c>
      <c r="I1238">
        <v>3.7</v>
      </c>
      <c r="J1238" t="s">
        <v>355</v>
      </c>
      <c r="K1238" t="s">
        <v>414</v>
      </c>
      <c r="L1238">
        <v>10.029999999999999</v>
      </c>
      <c r="M1238">
        <v>11.61</v>
      </c>
      <c r="N1238">
        <v>265125</v>
      </c>
      <c r="O1238">
        <v>156110</v>
      </c>
      <c r="P1238">
        <v>1.7</v>
      </c>
      <c r="Q1238">
        <v>50319</v>
      </c>
      <c r="R1238">
        <v>0</v>
      </c>
      <c r="S1238" t="s">
        <v>3</v>
      </c>
      <c r="T1238">
        <v>20388.060000000001</v>
      </c>
      <c r="U1238" t="s">
        <v>3391</v>
      </c>
      <c r="V1238" t="s">
        <v>500</v>
      </c>
      <c r="W1238">
        <v>10.19</v>
      </c>
    </row>
    <row r="1239" spans="1:23">
      <c r="A1239" t="str">
        <f>"300052"</f>
        <v>300052</v>
      </c>
      <c r="B1239" t="s">
        <v>3392</v>
      </c>
      <c r="C1239">
        <v>31.49</v>
      </c>
      <c r="D1239">
        <v>31.89</v>
      </c>
      <c r="E1239">
        <v>30.64</v>
      </c>
      <c r="F1239">
        <v>30.9</v>
      </c>
      <c r="G1239">
        <v>104971</v>
      </c>
      <c r="H1239">
        <v>326849600</v>
      </c>
      <c r="I1239">
        <v>0.67</v>
      </c>
      <c r="J1239" t="s">
        <v>355</v>
      </c>
      <c r="K1239" t="s">
        <v>2</v>
      </c>
      <c r="L1239">
        <v>0.03</v>
      </c>
      <c r="M1239">
        <v>31.14</v>
      </c>
      <c r="N1239">
        <v>54649</v>
      </c>
      <c r="O1239">
        <v>50321</v>
      </c>
      <c r="P1239">
        <v>1.0900000000000001</v>
      </c>
      <c r="Q1239">
        <v>390</v>
      </c>
      <c r="R1239">
        <v>57</v>
      </c>
      <c r="S1239" t="s">
        <v>3</v>
      </c>
      <c r="T1239">
        <v>26000</v>
      </c>
      <c r="U1239" t="s">
        <v>3393</v>
      </c>
      <c r="V1239" t="s">
        <v>3393</v>
      </c>
      <c r="W1239">
        <v>0.19</v>
      </c>
    </row>
    <row r="1240" spans="1:23">
      <c r="A1240" t="str">
        <f>"300053"</f>
        <v>300053</v>
      </c>
      <c r="B1240" t="s">
        <v>3394</v>
      </c>
      <c r="C1240" t="s">
        <v>3</v>
      </c>
      <c r="D1240" t="s">
        <v>3</v>
      </c>
      <c r="E1240" t="s">
        <v>3</v>
      </c>
      <c r="F1240">
        <v>0</v>
      </c>
      <c r="G1240">
        <v>0</v>
      </c>
      <c r="H1240">
        <v>0</v>
      </c>
      <c r="I1240">
        <v>0</v>
      </c>
      <c r="J1240" t="s">
        <v>1581</v>
      </c>
      <c r="K1240" t="s">
        <v>211</v>
      </c>
      <c r="L1240" t="s">
        <v>3</v>
      </c>
      <c r="M1240">
        <v>18.489999999999998</v>
      </c>
      <c r="N1240">
        <v>0</v>
      </c>
      <c r="O1240">
        <v>0</v>
      </c>
      <c r="P1240" t="s">
        <v>3</v>
      </c>
      <c r="Q1240">
        <v>0</v>
      </c>
      <c r="R1240">
        <v>0</v>
      </c>
      <c r="S1240" t="s">
        <v>3</v>
      </c>
      <c r="T1240">
        <v>15809.96</v>
      </c>
      <c r="U1240" t="s">
        <v>3395</v>
      </c>
      <c r="V1240" t="s">
        <v>3396</v>
      </c>
      <c r="W1240">
        <v>0.16</v>
      </c>
    </row>
    <row r="1241" spans="1:23">
      <c r="A1241" t="str">
        <f>"300054"</f>
        <v>300054</v>
      </c>
      <c r="B1241" t="s">
        <v>3397</v>
      </c>
      <c r="C1241">
        <v>13.99</v>
      </c>
      <c r="D1241">
        <v>14.09</v>
      </c>
      <c r="E1241">
        <v>13.65</v>
      </c>
      <c r="F1241">
        <v>13.8</v>
      </c>
      <c r="G1241">
        <v>41084</v>
      </c>
      <c r="H1241">
        <v>56635868</v>
      </c>
      <c r="I1241">
        <v>0.56999999999999995</v>
      </c>
      <c r="J1241" t="s">
        <v>376</v>
      </c>
      <c r="K1241" t="s">
        <v>317</v>
      </c>
      <c r="L1241">
        <v>-0.57999999999999996</v>
      </c>
      <c r="M1241">
        <v>13.79</v>
      </c>
      <c r="N1241">
        <v>23452</v>
      </c>
      <c r="O1241">
        <v>17632</v>
      </c>
      <c r="P1241">
        <v>1.33</v>
      </c>
      <c r="Q1241">
        <v>49</v>
      </c>
      <c r="R1241">
        <v>870</v>
      </c>
      <c r="S1241" t="s">
        <v>3</v>
      </c>
      <c r="T1241">
        <v>28165.07</v>
      </c>
      <c r="U1241" t="s">
        <v>3398</v>
      </c>
      <c r="V1241" t="s">
        <v>3399</v>
      </c>
      <c r="W1241">
        <v>-0.42</v>
      </c>
    </row>
    <row r="1242" spans="1:23">
      <c r="A1242" t="str">
        <f>"300055"</f>
        <v>300055</v>
      </c>
      <c r="B1242" t="s">
        <v>3400</v>
      </c>
      <c r="C1242">
        <v>34.869999999999997</v>
      </c>
      <c r="D1242">
        <v>35.799999999999997</v>
      </c>
      <c r="E1242">
        <v>34.659999999999997</v>
      </c>
      <c r="F1242">
        <v>35.03</v>
      </c>
      <c r="G1242">
        <v>43104</v>
      </c>
      <c r="H1242">
        <v>151190800</v>
      </c>
      <c r="I1242">
        <v>1.22</v>
      </c>
      <c r="J1242" t="s">
        <v>462</v>
      </c>
      <c r="K1242" t="s">
        <v>34</v>
      </c>
      <c r="L1242">
        <v>3.95</v>
      </c>
      <c r="M1242">
        <v>35.08</v>
      </c>
      <c r="N1242">
        <v>22685</v>
      </c>
      <c r="O1242">
        <v>20418</v>
      </c>
      <c r="P1242">
        <v>1.1100000000000001</v>
      </c>
      <c r="Q1242">
        <v>12</v>
      </c>
      <c r="R1242">
        <v>1</v>
      </c>
      <c r="S1242" t="s">
        <v>3</v>
      </c>
      <c r="T1242">
        <v>17184.46</v>
      </c>
      <c r="U1242" t="s">
        <v>3401</v>
      </c>
      <c r="V1242" t="s">
        <v>780</v>
      </c>
      <c r="W1242">
        <v>4.1100000000000003</v>
      </c>
    </row>
    <row r="1243" spans="1:23">
      <c r="A1243" t="str">
        <f>"300056"</f>
        <v>300056</v>
      </c>
      <c r="B1243" t="s">
        <v>3402</v>
      </c>
      <c r="C1243" t="s">
        <v>3</v>
      </c>
      <c r="D1243" t="s">
        <v>3</v>
      </c>
      <c r="E1243" t="s">
        <v>3</v>
      </c>
      <c r="F1243">
        <v>0</v>
      </c>
      <c r="G1243">
        <v>0</v>
      </c>
      <c r="H1243">
        <v>0</v>
      </c>
      <c r="I1243">
        <v>0</v>
      </c>
      <c r="J1243" t="s">
        <v>269</v>
      </c>
      <c r="K1243" t="s">
        <v>414</v>
      </c>
      <c r="L1243" t="s">
        <v>3</v>
      </c>
      <c r="M1243">
        <v>17.97</v>
      </c>
      <c r="N1243">
        <v>0</v>
      </c>
      <c r="O1243">
        <v>0</v>
      </c>
      <c r="P1243" t="s">
        <v>3</v>
      </c>
      <c r="Q1243">
        <v>0</v>
      </c>
      <c r="R1243">
        <v>0</v>
      </c>
      <c r="S1243" t="s">
        <v>3</v>
      </c>
      <c r="T1243">
        <v>11381</v>
      </c>
      <c r="U1243" t="s">
        <v>3403</v>
      </c>
      <c r="V1243" t="s">
        <v>2446</v>
      </c>
      <c r="W1243">
        <v>0.16</v>
      </c>
    </row>
    <row r="1244" spans="1:23">
      <c r="A1244" t="str">
        <f>"300057"</f>
        <v>300057</v>
      </c>
      <c r="B1244" t="s">
        <v>3404</v>
      </c>
      <c r="C1244">
        <v>11.07</v>
      </c>
      <c r="D1244">
        <v>11.07</v>
      </c>
      <c r="E1244">
        <v>10.92</v>
      </c>
      <c r="F1244">
        <v>10.99</v>
      </c>
      <c r="G1244">
        <v>39347</v>
      </c>
      <c r="H1244">
        <v>43234304</v>
      </c>
      <c r="I1244">
        <v>0.83</v>
      </c>
      <c r="J1244" t="s">
        <v>707</v>
      </c>
      <c r="K1244" t="s">
        <v>211</v>
      </c>
      <c r="L1244">
        <v>-0.09</v>
      </c>
      <c r="M1244">
        <v>10.99</v>
      </c>
      <c r="N1244">
        <v>21412</v>
      </c>
      <c r="O1244">
        <v>17934</v>
      </c>
      <c r="P1244">
        <v>1.19</v>
      </c>
      <c r="Q1244">
        <v>955</v>
      </c>
      <c r="R1244">
        <v>369</v>
      </c>
      <c r="S1244" t="s">
        <v>3</v>
      </c>
      <c r="T1244">
        <v>24660.97</v>
      </c>
      <c r="U1244" t="s">
        <v>2771</v>
      </c>
      <c r="V1244" t="s">
        <v>3405</v>
      </c>
      <c r="W1244">
        <v>7.0000000000000007E-2</v>
      </c>
    </row>
    <row r="1245" spans="1:23">
      <c r="A1245" t="str">
        <f>"300058"</f>
        <v>300058</v>
      </c>
      <c r="B1245" t="s">
        <v>3406</v>
      </c>
      <c r="C1245">
        <v>23.71</v>
      </c>
      <c r="D1245">
        <v>24.38</v>
      </c>
      <c r="E1245">
        <v>23.62</v>
      </c>
      <c r="F1245">
        <v>24.18</v>
      </c>
      <c r="G1245">
        <v>150072</v>
      </c>
      <c r="H1245">
        <v>360894976</v>
      </c>
      <c r="I1245">
        <v>0.84</v>
      </c>
      <c r="J1245" t="s">
        <v>707</v>
      </c>
      <c r="K1245" t="s">
        <v>34</v>
      </c>
      <c r="L1245">
        <v>1.55</v>
      </c>
      <c r="M1245">
        <v>24.05</v>
      </c>
      <c r="N1245">
        <v>73582</v>
      </c>
      <c r="O1245">
        <v>76490</v>
      </c>
      <c r="P1245">
        <v>0.96</v>
      </c>
      <c r="Q1245">
        <v>507</v>
      </c>
      <c r="R1245">
        <v>1091</v>
      </c>
      <c r="S1245" t="s">
        <v>3</v>
      </c>
      <c r="T1245">
        <v>61691.8</v>
      </c>
      <c r="U1245" t="s">
        <v>3407</v>
      </c>
      <c r="V1245" t="s">
        <v>3408</v>
      </c>
      <c r="W1245">
        <v>1.71</v>
      </c>
    </row>
    <row r="1246" spans="1:23">
      <c r="A1246" t="str">
        <f>"300059"</f>
        <v>300059</v>
      </c>
      <c r="B1246" t="s">
        <v>3409</v>
      </c>
      <c r="C1246">
        <v>14.12</v>
      </c>
      <c r="D1246">
        <v>14.43</v>
      </c>
      <c r="E1246">
        <v>13.88</v>
      </c>
      <c r="F1246">
        <v>14.28</v>
      </c>
      <c r="G1246">
        <v>432620</v>
      </c>
      <c r="H1246">
        <v>611294656</v>
      </c>
      <c r="I1246">
        <v>0.89</v>
      </c>
      <c r="J1246" t="s">
        <v>355</v>
      </c>
      <c r="K1246" t="s">
        <v>727</v>
      </c>
      <c r="L1246">
        <v>2.15</v>
      </c>
      <c r="M1246">
        <v>14.13</v>
      </c>
      <c r="N1246">
        <v>223861</v>
      </c>
      <c r="O1246">
        <v>208758</v>
      </c>
      <c r="P1246">
        <v>1.07</v>
      </c>
      <c r="Q1246">
        <v>2885</v>
      </c>
      <c r="R1246">
        <v>1743</v>
      </c>
      <c r="S1246" t="s">
        <v>3</v>
      </c>
      <c r="T1246">
        <v>91602.4</v>
      </c>
      <c r="U1246" t="s">
        <v>3410</v>
      </c>
      <c r="V1246" t="s">
        <v>3411</v>
      </c>
      <c r="W1246">
        <v>2.2999999999999998</v>
      </c>
    </row>
    <row r="1247" spans="1:23">
      <c r="A1247" t="str">
        <f>"300061"</f>
        <v>300061</v>
      </c>
      <c r="B1247" t="s">
        <v>3412</v>
      </c>
      <c r="C1247">
        <v>13.2</v>
      </c>
      <c r="D1247">
        <v>13.66</v>
      </c>
      <c r="E1247">
        <v>13.11</v>
      </c>
      <c r="F1247">
        <v>13.48</v>
      </c>
      <c r="G1247">
        <v>50015</v>
      </c>
      <c r="H1247">
        <v>67080624</v>
      </c>
      <c r="I1247">
        <v>0.69</v>
      </c>
      <c r="J1247" t="s">
        <v>1971</v>
      </c>
      <c r="K1247" t="s">
        <v>727</v>
      </c>
      <c r="L1247">
        <v>1.51</v>
      </c>
      <c r="M1247">
        <v>13.41</v>
      </c>
      <c r="N1247">
        <v>29024</v>
      </c>
      <c r="O1247">
        <v>20990</v>
      </c>
      <c r="P1247">
        <v>1.38</v>
      </c>
      <c r="Q1247">
        <v>68</v>
      </c>
      <c r="R1247">
        <v>139</v>
      </c>
      <c r="S1247" t="s">
        <v>3</v>
      </c>
      <c r="T1247">
        <v>8909.3700000000008</v>
      </c>
      <c r="U1247" t="s">
        <v>3413</v>
      </c>
      <c r="V1247" t="s">
        <v>3414</v>
      </c>
      <c r="W1247">
        <v>1.66</v>
      </c>
    </row>
    <row r="1248" spans="1:23">
      <c r="A1248" t="str">
        <f>"300062"</f>
        <v>300062</v>
      </c>
      <c r="B1248" t="s">
        <v>3415</v>
      </c>
      <c r="C1248">
        <v>12.6</v>
      </c>
      <c r="D1248">
        <v>13.35</v>
      </c>
      <c r="E1248">
        <v>12.52</v>
      </c>
      <c r="F1248">
        <v>13.05</v>
      </c>
      <c r="G1248">
        <v>18453</v>
      </c>
      <c r="H1248">
        <v>24008160</v>
      </c>
      <c r="I1248">
        <v>1.1599999999999999</v>
      </c>
      <c r="J1248" t="s">
        <v>145</v>
      </c>
      <c r="K1248" t="s">
        <v>414</v>
      </c>
      <c r="L1248">
        <v>3</v>
      </c>
      <c r="M1248">
        <v>13.01</v>
      </c>
      <c r="N1248">
        <v>8231</v>
      </c>
      <c r="O1248">
        <v>10221</v>
      </c>
      <c r="P1248">
        <v>0.81</v>
      </c>
      <c r="Q1248">
        <v>36</v>
      </c>
      <c r="R1248">
        <v>193</v>
      </c>
      <c r="S1248" t="s">
        <v>3</v>
      </c>
      <c r="T1248">
        <v>7763.14</v>
      </c>
      <c r="U1248" t="s">
        <v>3416</v>
      </c>
      <c r="V1248" t="s">
        <v>949</v>
      </c>
      <c r="W1248">
        <v>3.16</v>
      </c>
    </row>
    <row r="1249" spans="1:23">
      <c r="A1249" t="str">
        <f>"300063"</f>
        <v>300063</v>
      </c>
      <c r="B1249" t="s">
        <v>3417</v>
      </c>
      <c r="C1249">
        <v>12.61</v>
      </c>
      <c r="D1249">
        <v>12.78</v>
      </c>
      <c r="E1249">
        <v>12.21</v>
      </c>
      <c r="F1249">
        <v>12.69</v>
      </c>
      <c r="G1249">
        <v>44240</v>
      </c>
      <c r="H1249">
        <v>54763632</v>
      </c>
      <c r="I1249">
        <v>0.5</v>
      </c>
      <c r="J1249" t="s">
        <v>522</v>
      </c>
      <c r="K1249" t="s">
        <v>211</v>
      </c>
      <c r="L1249">
        <v>1.1200000000000001</v>
      </c>
      <c r="M1249">
        <v>12.38</v>
      </c>
      <c r="N1249">
        <v>23196</v>
      </c>
      <c r="O1249">
        <v>21044</v>
      </c>
      <c r="P1249">
        <v>1.1000000000000001</v>
      </c>
      <c r="Q1249">
        <v>380</v>
      </c>
      <c r="R1249">
        <v>231</v>
      </c>
      <c r="S1249" t="s">
        <v>3</v>
      </c>
      <c r="T1249">
        <v>11374.65</v>
      </c>
      <c r="U1249" t="s">
        <v>3418</v>
      </c>
      <c r="V1249" t="s">
        <v>676</v>
      </c>
      <c r="W1249">
        <v>1.27</v>
      </c>
    </row>
    <row r="1250" spans="1:23">
      <c r="A1250" t="str">
        <f>"300064"</f>
        <v>300064</v>
      </c>
      <c r="B1250" t="s">
        <v>3419</v>
      </c>
      <c r="C1250">
        <v>7.91</v>
      </c>
      <c r="D1250">
        <v>8.2899999999999991</v>
      </c>
      <c r="E1250">
        <v>7.84</v>
      </c>
      <c r="F1250">
        <v>8.15</v>
      </c>
      <c r="G1250">
        <v>138150</v>
      </c>
      <c r="H1250">
        <v>111545776</v>
      </c>
      <c r="I1250">
        <v>0.99</v>
      </c>
      <c r="J1250" t="s">
        <v>380</v>
      </c>
      <c r="K1250" t="s">
        <v>254</v>
      </c>
      <c r="L1250">
        <v>3.43</v>
      </c>
      <c r="M1250">
        <v>8.07</v>
      </c>
      <c r="N1250">
        <v>52535</v>
      </c>
      <c r="O1250">
        <v>85614</v>
      </c>
      <c r="P1250">
        <v>0.61</v>
      </c>
      <c r="Q1250">
        <v>137</v>
      </c>
      <c r="R1250">
        <v>1333</v>
      </c>
      <c r="S1250" t="s">
        <v>3</v>
      </c>
      <c r="T1250">
        <v>60575</v>
      </c>
      <c r="U1250" t="s">
        <v>3420</v>
      </c>
      <c r="V1250" t="s">
        <v>3421</v>
      </c>
      <c r="W1250">
        <v>3.58</v>
      </c>
    </row>
    <row r="1251" spans="1:23">
      <c r="A1251" t="str">
        <f>"300065"</f>
        <v>300065</v>
      </c>
      <c r="B1251" t="s">
        <v>3422</v>
      </c>
      <c r="C1251">
        <v>18.16</v>
      </c>
      <c r="D1251">
        <v>19.52</v>
      </c>
      <c r="E1251">
        <v>17.899999999999999</v>
      </c>
      <c r="F1251">
        <v>18.89</v>
      </c>
      <c r="G1251">
        <v>283163</v>
      </c>
      <c r="H1251">
        <v>529775616</v>
      </c>
      <c r="I1251">
        <v>1.46</v>
      </c>
      <c r="J1251" t="s">
        <v>758</v>
      </c>
      <c r="K1251" t="s">
        <v>34</v>
      </c>
      <c r="L1251">
        <v>4.4800000000000004</v>
      </c>
      <c r="M1251">
        <v>18.71</v>
      </c>
      <c r="N1251">
        <v>128509</v>
      </c>
      <c r="O1251">
        <v>154653</v>
      </c>
      <c r="P1251">
        <v>0.83</v>
      </c>
      <c r="Q1251">
        <v>1168</v>
      </c>
      <c r="R1251">
        <v>610</v>
      </c>
      <c r="S1251" t="s">
        <v>3</v>
      </c>
      <c r="T1251">
        <v>16080.99</v>
      </c>
      <c r="U1251" t="s">
        <v>2455</v>
      </c>
      <c r="V1251" t="s">
        <v>3423</v>
      </c>
      <c r="W1251">
        <v>4.6399999999999997</v>
      </c>
    </row>
    <row r="1252" spans="1:23">
      <c r="A1252" t="str">
        <f>"300066"</f>
        <v>300066</v>
      </c>
      <c r="B1252" t="s">
        <v>3424</v>
      </c>
      <c r="C1252">
        <v>14.38</v>
      </c>
      <c r="D1252">
        <v>14.39</v>
      </c>
      <c r="E1252">
        <v>14.08</v>
      </c>
      <c r="F1252">
        <v>14.25</v>
      </c>
      <c r="G1252">
        <v>30085</v>
      </c>
      <c r="H1252">
        <v>42662632</v>
      </c>
      <c r="I1252">
        <v>1.0900000000000001</v>
      </c>
      <c r="J1252" t="s">
        <v>617</v>
      </c>
      <c r="K1252" t="s">
        <v>265</v>
      </c>
      <c r="L1252">
        <v>-0.63</v>
      </c>
      <c r="M1252">
        <v>14.18</v>
      </c>
      <c r="N1252">
        <v>17211</v>
      </c>
      <c r="O1252">
        <v>12874</v>
      </c>
      <c r="P1252">
        <v>1.34</v>
      </c>
      <c r="Q1252">
        <v>800</v>
      </c>
      <c r="R1252">
        <v>162</v>
      </c>
      <c r="S1252" t="s">
        <v>3</v>
      </c>
      <c r="T1252">
        <v>23132.42</v>
      </c>
      <c r="U1252" t="s">
        <v>3425</v>
      </c>
      <c r="V1252" t="s">
        <v>3426</v>
      </c>
      <c r="W1252">
        <v>-0.47</v>
      </c>
    </row>
    <row r="1253" spans="1:23">
      <c r="A1253" t="str">
        <f>"300067"</f>
        <v>300067</v>
      </c>
      <c r="B1253" t="s">
        <v>3427</v>
      </c>
      <c r="C1253">
        <v>9.6300000000000008</v>
      </c>
      <c r="D1253">
        <v>9.66</v>
      </c>
      <c r="E1253">
        <v>9.43</v>
      </c>
      <c r="F1253">
        <v>9.6199999999999992</v>
      </c>
      <c r="G1253">
        <v>80018</v>
      </c>
      <c r="H1253">
        <v>76388864</v>
      </c>
      <c r="I1253">
        <v>1.17</v>
      </c>
      <c r="J1253" t="s">
        <v>522</v>
      </c>
      <c r="K1253" t="s">
        <v>727</v>
      </c>
      <c r="L1253">
        <v>0</v>
      </c>
      <c r="M1253">
        <v>9.5500000000000007</v>
      </c>
      <c r="N1253">
        <v>40163</v>
      </c>
      <c r="O1253">
        <v>39854</v>
      </c>
      <c r="P1253">
        <v>1.01</v>
      </c>
      <c r="Q1253">
        <v>151</v>
      </c>
      <c r="R1253">
        <v>797</v>
      </c>
      <c r="S1253" t="s">
        <v>3</v>
      </c>
      <c r="T1253">
        <v>18635.560000000001</v>
      </c>
      <c r="U1253" t="s">
        <v>3428</v>
      </c>
      <c r="V1253" t="s">
        <v>3429</v>
      </c>
      <c r="W1253">
        <v>0.16</v>
      </c>
    </row>
    <row r="1254" spans="1:23">
      <c r="A1254" t="str">
        <f>"300068"</f>
        <v>300068</v>
      </c>
      <c r="B1254" t="s">
        <v>3430</v>
      </c>
      <c r="C1254">
        <v>10.28</v>
      </c>
      <c r="D1254">
        <v>10.59</v>
      </c>
      <c r="E1254">
        <v>10.210000000000001</v>
      </c>
      <c r="F1254">
        <v>10.55</v>
      </c>
      <c r="G1254">
        <v>203147</v>
      </c>
      <c r="H1254">
        <v>212309456</v>
      </c>
      <c r="I1254">
        <v>1.64</v>
      </c>
      <c r="J1254" t="s">
        <v>145</v>
      </c>
      <c r="K1254" t="s">
        <v>229</v>
      </c>
      <c r="L1254">
        <v>2.63</v>
      </c>
      <c r="M1254">
        <v>10.45</v>
      </c>
      <c r="N1254">
        <v>81538</v>
      </c>
      <c r="O1254">
        <v>121608</v>
      </c>
      <c r="P1254">
        <v>0.67</v>
      </c>
      <c r="Q1254">
        <v>1266</v>
      </c>
      <c r="R1254">
        <v>453</v>
      </c>
      <c r="S1254" t="s">
        <v>3</v>
      </c>
      <c r="T1254">
        <v>40610.39</v>
      </c>
      <c r="U1254" t="s">
        <v>437</v>
      </c>
      <c r="V1254" t="s">
        <v>3431</v>
      </c>
      <c r="W1254">
        <v>2.78</v>
      </c>
    </row>
    <row r="1255" spans="1:23">
      <c r="A1255" t="str">
        <f>"300069"</f>
        <v>300069</v>
      </c>
      <c r="B1255" t="s">
        <v>3432</v>
      </c>
      <c r="C1255">
        <v>17.38</v>
      </c>
      <c r="D1255">
        <v>17.38</v>
      </c>
      <c r="E1255">
        <v>17</v>
      </c>
      <c r="F1255">
        <v>17.190000000000001</v>
      </c>
      <c r="G1255">
        <v>11543</v>
      </c>
      <c r="H1255">
        <v>19800408</v>
      </c>
      <c r="I1255">
        <v>1.3</v>
      </c>
      <c r="J1255" t="s">
        <v>145</v>
      </c>
      <c r="K1255" t="s">
        <v>229</v>
      </c>
      <c r="L1255">
        <v>-1.04</v>
      </c>
      <c r="M1255">
        <v>17.149999999999999</v>
      </c>
      <c r="N1255">
        <v>7041</v>
      </c>
      <c r="O1255">
        <v>4501</v>
      </c>
      <c r="P1255">
        <v>1.56</v>
      </c>
      <c r="Q1255">
        <v>69</v>
      </c>
      <c r="R1255">
        <v>5</v>
      </c>
      <c r="S1255" t="s">
        <v>3</v>
      </c>
      <c r="T1255">
        <v>5968.08</v>
      </c>
      <c r="U1255" t="s">
        <v>3433</v>
      </c>
      <c r="V1255" t="s">
        <v>3434</v>
      </c>
      <c r="W1255">
        <v>-0.88</v>
      </c>
    </row>
    <row r="1256" spans="1:23">
      <c r="A1256" t="str">
        <f>"300070"</f>
        <v>300070</v>
      </c>
      <c r="B1256" t="s">
        <v>3435</v>
      </c>
      <c r="C1256">
        <v>32.15</v>
      </c>
      <c r="D1256">
        <v>33.270000000000003</v>
      </c>
      <c r="E1256">
        <v>32.15</v>
      </c>
      <c r="F1256">
        <v>32.65</v>
      </c>
      <c r="G1256">
        <v>89707</v>
      </c>
      <c r="H1256">
        <v>293378848</v>
      </c>
      <c r="I1256">
        <v>1.19</v>
      </c>
      <c r="J1256" t="s">
        <v>462</v>
      </c>
      <c r="K1256" t="s">
        <v>34</v>
      </c>
      <c r="L1256">
        <v>2.1</v>
      </c>
      <c r="M1256">
        <v>32.700000000000003</v>
      </c>
      <c r="N1256">
        <v>41867</v>
      </c>
      <c r="O1256">
        <v>47840</v>
      </c>
      <c r="P1256">
        <v>0.88</v>
      </c>
      <c r="Q1256">
        <v>95</v>
      </c>
      <c r="R1256">
        <v>20</v>
      </c>
      <c r="S1256" t="s">
        <v>3</v>
      </c>
      <c r="T1256">
        <v>64693.33</v>
      </c>
      <c r="U1256" t="s">
        <v>3436</v>
      </c>
      <c r="V1256" t="s">
        <v>3437</v>
      </c>
      <c r="W1256">
        <v>2.25</v>
      </c>
    </row>
    <row r="1257" spans="1:23">
      <c r="A1257" t="str">
        <f>"300071"</f>
        <v>300071</v>
      </c>
      <c r="B1257" t="s">
        <v>3438</v>
      </c>
      <c r="C1257">
        <v>15.85</v>
      </c>
      <c r="D1257">
        <v>15.94</v>
      </c>
      <c r="E1257">
        <v>15.4</v>
      </c>
      <c r="F1257">
        <v>15.83</v>
      </c>
      <c r="G1257">
        <v>68527</v>
      </c>
      <c r="H1257">
        <v>107296896</v>
      </c>
      <c r="I1257">
        <v>1.07</v>
      </c>
      <c r="J1257" t="s">
        <v>707</v>
      </c>
      <c r="K1257" t="s">
        <v>34</v>
      </c>
      <c r="L1257">
        <v>0</v>
      </c>
      <c r="M1257">
        <v>15.66</v>
      </c>
      <c r="N1257">
        <v>37584</v>
      </c>
      <c r="O1257">
        <v>30943</v>
      </c>
      <c r="P1257">
        <v>1.21</v>
      </c>
      <c r="Q1257">
        <v>29</v>
      </c>
      <c r="R1257">
        <v>84</v>
      </c>
      <c r="S1257" t="s">
        <v>3</v>
      </c>
      <c r="T1257">
        <v>22222.22</v>
      </c>
      <c r="U1257" t="s">
        <v>3439</v>
      </c>
      <c r="V1257" t="s">
        <v>3440</v>
      </c>
      <c r="W1257">
        <v>0.16</v>
      </c>
    </row>
    <row r="1258" spans="1:23">
      <c r="A1258" t="str">
        <f>"300072"</f>
        <v>300072</v>
      </c>
      <c r="B1258" t="s">
        <v>3441</v>
      </c>
      <c r="C1258">
        <v>24.53</v>
      </c>
      <c r="D1258">
        <v>25.62</v>
      </c>
      <c r="E1258">
        <v>24.5</v>
      </c>
      <c r="F1258">
        <v>25.44</v>
      </c>
      <c r="G1258">
        <v>73696</v>
      </c>
      <c r="H1258">
        <v>185370384</v>
      </c>
      <c r="I1258">
        <v>1</v>
      </c>
      <c r="J1258" t="s">
        <v>376</v>
      </c>
      <c r="K1258" t="s">
        <v>34</v>
      </c>
      <c r="L1258">
        <v>3.71</v>
      </c>
      <c r="M1258">
        <v>25.15</v>
      </c>
      <c r="N1258">
        <v>29317</v>
      </c>
      <c r="O1258">
        <v>44379</v>
      </c>
      <c r="P1258">
        <v>0.66</v>
      </c>
      <c r="Q1258">
        <v>19</v>
      </c>
      <c r="R1258">
        <v>110</v>
      </c>
      <c r="S1258" t="s">
        <v>3</v>
      </c>
      <c r="T1258">
        <v>45855.16</v>
      </c>
      <c r="U1258" t="s">
        <v>3442</v>
      </c>
      <c r="V1258" t="s">
        <v>3175</v>
      </c>
      <c r="W1258">
        <v>3.87</v>
      </c>
    </row>
    <row r="1259" spans="1:23">
      <c r="A1259" t="str">
        <f>"300073"</f>
        <v>300073</v>
      </c>
      <c r="B1259" t="s">
        <v>3443</v>
      </c>
      <c r="C1259">
        <v>21.59</v>
      </c>
      <c r="D1259">
        <v>21.84</v>
      </c>
      <c r="E1259">
        <v>21.33</v>
      </c>
      <c r="F1259">
        <v>21.5</v>
      </c>
      <c r="G1259">
        <v>28130</v>
      </c>
      <c r="H1259">
        <v>60564944</v>
      </c>
      <c r="I1259">
        <v>0.78</v>
      </c>
      <c r="J1259" t="s">
        <v>380</v>
      </c>
      <c r="K1259" t="s">
        <v>34</v>
      </c>
      <c r="L1259">
        <v>-0.42</v>
      </c>
      <c r="M1259">
        <v>21.53</v>
      </c>
      <c r="N1259">
        <v>15671</v>
      </c>
      <c r="O1259">
        <v>12458</v>
      </c>
      <c r="P1259">
        <v>1.26</v>
      </c>
      <c r="Q1259">
        <v>32</v>
      </c>
      <c r="R1259">
        <v>23</v>
      </c>
      <c r="S1259" t="s">
        <v>3</v>
      </c>
      <c r="T1259">
        <v>15869.65</v>
      </c>
      <c r="U1259" t="s">
        <v>2850</v>
      </c>
      <c r="V1259" t="s">
        <v>3444</v>
      </c>
      <c r="W1259">
        <v>-0.26</v>
      </c>
    </row>
    <row r="1260" spans="1:23">
      <c r="A1260" t="str">
        <f>"300074"</f>
        <v>300074</v>
      </c>
      <c r="B1260" t="s">
        <v>3445</v>
      </c>
      <c r="C1260">
        <v>18.18</v>
      </c>
      <c r="D1260">
        <v>18.29</v>
      </c>
      <c r="E1260">
        <v>17.78</v>
      </c>
      <c r="F1260">
        <v>17.82</v>
      </c>
      <c r="G1260">
        <v>134331</v>
      </c>
      <c r="H1260">
        <v>240812832</v>
      </c>
      <c r="I1260">
        <v>0.89</v>
      </c>
      <c r="J1260" t="s">
        <v>112</v>
      </c>
      <c r="K1260" t="s">
        <v>727</v>
      </c>
      <c r="L1260">
        <v>-0.39</v>
      </c>
      <c r="M1260">
        <v>17.93</v>
      </c>
      <c r="N1260">
        <v>78498</v>
      </c>
      <c r="O1260">
        <v>55833</v>
      </c>
      <c r="P1260">
        <v>1.41</v>
      </c>
      <c r="Q1260">
        <v>617</v>
      </c>
      <c r="R1260">
        <v>7</v>
      </c>
      <c r="S1260" t="s">
        <v>3</v>
      </c>
      <c r="T1260">
        <v>21427.27</v>
      </c>
      <c r="U1260" t="s">
        <v>3446</v>
      </c>
      <c r="V1260" t="s">
        <v>3447</v>
      </c>
      <c r="W1260">
        <v>-0.23</v>
      </c>
    </row>
    <row r="1261" spans="1:23">
      <c r="A1261" t="str">
        <f>"300075"</f>
        <v>300075</v>
      </c>
      <c r="B1261" t="s">
        <v>3448</v>
      </c>
      <c r="C1261" t="s">
        <v>3</v>
      </c>
      <c r="D1261" t="s">
        <v>3</v>
      </c>
      <c r="E1261" t="s">
        <v>3</v>
      </c>
      <c r="F1261">
        <v>0</v>
      </c>
      <c r="G1261">
        <v>0</v>
      </c>
      <c r="H1261">
        <v>0</v>
      </c>
      <c r="I1261">
        <v>0</v>
      </c>
      <c r="J1261" t="s">
        <v>758</v>
      </c>
      <c r="K1261" t="s">
        <v>34</v>
      </c>
      <c r="L1261" t="s">
        <v>3</v>
      </c>
      <c r="M1261">
        <v>28.3</v>
      </c>
      <c r="N1261">
        <v>0</v>
      </c>
      <c r="O1261">
        <v>0</v>
      </c>
      <c r="P1261" t="s">
        <v>3</v>
      </c>
      <c r="Q1261">
        <v>0</v>
      </c>
      <c r="R1261">
        <v>0</v>
      </c>
      <c r="S1261" t="s">
        <v>3</v>
      </c>
      <c r="T1261">
        <v>12244.23</v>
      </c>
      <c r="U1261" t="s">
        <v>3449</v>
      </c>
      <c r="V1261" t="s">
        <v>725</v>
      </c>
      <c r="W1261">
        <v>0.16</v>
      </c>
    </row>
    <row r="1262" spans="1:23">
      <c r="A1262" t="str">
        <f>"300076"</f>
        <v>300076</v>
      </c>
      <c r="B1262" t="s">
        <v>3450</v>
      </c>
      <c r="C1262">
        <v>15.1</v>
      </c>
      <c r="D1262">
        <v>15.34</v>
      </c>
      <c r="E1262">
        <v>14.93</v>
      </c>
      <c r="F1262">
        <v>15.24</v>
      </c>
      <c r="G1262">
        <v>57290</v>
      </c>
      <c r="H1262">
        <v>86854864</v>
      </c>
      <c r="I1262">
        <v>0.71</v>
      </c>
      <c r="J1262" t="s">
        <v>66</v>
      </c>
      <c r="K1262" t="s">
        <v>229</v>
      </c>
      <c r="L1262">
        <v>0.99</v>
      </c>
      <c r="M1262">
        <v>15.16</v>
      </c>
      <c r="N1262">
        <v>29491</v>
      </c>
      <c r="O1262">
        <v>27798</v>
      </c>
      <c r="P1262">
        <v>1.06</v>
      </c>
      <c r="Q1262">
        <v>297</v>
      </c>
      <c r="R1262">
        <v>68</v>
      </c>
      <c r="S1262" t="s">
        <v>3</v>
      </c>
      <c r="T1262">
        <v>17133</v>
      </c>
      <c r="U1262" t="s">
        <v>3451</v>
      </c>
      <c r="V1262" t="s">
        <v>1753</v>
      </c>
      <c r="W1262">
        <v>1.1499999999999999</v>
      </c>
    </row>
    <row r="1263" spans="1:23">
      <c r="A1263" t="str">
        <f>"300077"</f>
        <v>300077</v>
      </c>
      <c r="B1263" t="s">
        <v>3452</v>
      </c>
      <c r="C1263">
        <v>29.74</v>
      </c>
      <c r="D1263">
        <v>30.29</v>
      </c>
      <c r="E1263">
        <v>29.15</v>
      </c>
      <c r="F1263">
        <v>29.96</v>
      </c>
      <c r="G1263">
        <v>108017</v>
      </c>
      <c r="H1263">
        <v>323072064</v>
      </c>
      <c r="I1263">
        <v>0.85</v>
      </c>
      <c r="J1263" t="s">
        <v>1581</v>
      </c>
      <c r="K1263" t="s">
        <v>2</v>
      </c>
      <c r="L1263">
        <v>1.25</v>
      </c>
      <c r="M1263">
        <v>29.91</v>
      </c>
      <c r="N1263">
        <v>48586</v>
      </c>
      <c r="O1263">
        <v>59430</v>
      </c>
      <c r="P1263">
        <v>0.82</v>
      </c>
      <c r="Q1263">
        <v>142</v>
      </c>
      <c r="R1263">
        <v>677</v>
      </c>
      <c r="S1263" t="s">
        <v>3</v>
      </c>
      <c r="T1263">
        <v>25222.42</v>
      </c>
      <c r="U1263" t="s">
        <v>3453</v>
      </c>
      <c r="V1263" t="s">
        <v>3454</v>
      </c>
      <c r="W1263">
        <v>1.41</v>
      </c>
    </row>
    <row r="1264" spans="1:23">
      <c r="A1264" t="str">
        <f>"300078"</f>
        <v>300078</v>
      </c>
      <c r="B1264" t="s">
        <v>3455</v>
      </c>
      <c r="C1264">
        <v>24</v>
      </c>
      <c r="D1264">
        <v>24.01</v>
      </c>
      <c r="E1264">
        <v>23.56</v>
      </c>
      <c r="F1264">
        <v>23.84</v>
      </c>
      <c r="G1264">
        <v>29477</v>
      </c>
      <c r="H1264">
        <v>70004040</v>
      </c>
      <c r="I1264">
        <v>0.99</v>
      </c>
      <c r="J1264" t="s">
        <v>62</v>
      </c>
      <c r="K1264" t="s">
        <v>229</v>
      </c>
      <c r="L1264">
        <v>-1</v>
      </c>
      <c r="M1264">
        <v>23.75</v>
      </c>
      <c r="N1264">
        <v>16203</v>
      </c>
      <c r="O1264">
        <v>13274</v>
      </c>
      <c r="P1264">
        <v>1.22</v>
      </c>
      <c r="Q1264">
        <v>63</v>
      </c>
      <c r="R1264">
        <v>236</v>
      </c>
      <c r="S1264" t="s">
        <v>3</v>
      </c>
      <c r="T1264">
        <v>8068.18</v>
      </c>
      <c r="U1264" t="s">
        <v>3456</v>
      </c>
      <c r="V1264" t="s">
        <v>3457</v>
      </c>
      <c r="W1264">
        <v>-0.84</v>
      </c>
    </row>
    <row r="1265" spans="1:23">
      <c r="A1265" t="str">
        <f>"300079"</f>
        <v>300079</v>
      </c>
      <c r="B1265" t="s">
        <v>3458</v>
      </c>
      <c r="C1265">
        <v>13.34</v>
      </c>
      <c r="D1265">
        <v>13.44</v>
      </c>
      <c r="E1265">
        <v>13.18</v>
      </c>
      <c r="F1265">
        <v>13.41</v>
      </c>
      <c r="G1265">
        <v>197898</v>
      </c>
      <c r="H1265">
        <v>263818656</v>
      </c>
      <c r="I1265">
        <v>1.02</v>
      </c>
      <c r="J1265" t="s">
        <v>112</v>
      </c>
      <c r="K1265" t="s">
        <v>34</v>
      </c>
      <c r="L1265">
        <v>0.75</v>
      </c>
      <c r="M1265">
        <v>13.33</v>
      </c>
      <c r="N1265">
        <v>100404</v>
      </c>
      <c r="O1265">
        <v>97494</v>
      </c>
      <c r="P1265">
        <v>1.03</v>
      </c>
      <c r="Q1265">
        <v>269</v>
      </c>
      <c r="R1265">
        <v>1063</v>
      </c>
      <c r="S1265" t="s">
        <v>3</v>
      </c>
      <c r="T1265">
        <v>58337.73</v>
      </c>
      <c r="U1265" t="s">
        <v>3459</v>
      </c>
      <c r="V1265" t="s">
        <v>3460</v>
      </c>
      <c r="W1265">
        <v>0.91</v>
      </c>
    </row>
    <row r="1266" spans="1:23">
      <c r="A1266" t="str">
        <f>"300080"</f>
        <v>300080</v>
      </c>
      <c r="B1266" t="s">
        <v>3461</v>
      </c>
      <c r="C1266">
        <v>10.039999999999999</v>
      </c>
      <c r="D1266">
        <v>10.1</v>
      </c>
      <c r="E1266">
        <v>9.86</v>
      </c>
      <c r="F1266">
        <v>9.9499999999999993</v>
      </c>
      <c r="G1266">
        <v>126640</v>
      </c>
      <c r="H1266">
        <v>125819728</v>
      </c>
      <c r="I1266">
        <v>1.1399999999999999</v>
      </c>
      <c r="J1266" t="s">
        <v>150</v>
      </c>
      <c r="K1266" t="s">
        <v>254</v>
      </c>
      <c r="L1266">
        <v>-0.6</v>
      </c>
      <c r="M1266">
        <v>9.94</v>
      </c>
      <c r="N1266">
        <v>73997</v>
      </c>
      <c r="O1266">
        <v>52642</v>
      </c>
      <c r="P1266">
        <v>1.41</v>
      </c>
      <c r="Q1266">
        <v>277</v>
      </c>
      <c r="R1266">
        <v>721</v>
      </c>
      <c r="S1266" t="s">
        <v>3</v>
      </c>
      <c r="T1266">
        <v>31731.83</v>
      </c>
      <c r="U1266" t="s">
        <v>1494</v>
      </c>
      <c r="V1266" t="s">
        <v>2441</v>
      </c>
      <c r="W1266">
        <v>-0.44</v>
      </c>
    </row>
    <row r="1267" spans="1:23">
      <c r="A1267" t="str">
        <f>"300081"</f>
        <v>300081</v>
      </c>
      <c r="B1267" t="s">
        <v>3462</v>
      </c>
      <c r="C1267">
        <v>16.79</v>
      </c>
      <c r="D1267">
        <v>17.09</v>
      </c>
      <c r="E1267">
        <v>16.5</v>
      </c>
      <c r="F1267">
        <v>17.07</v>
      </c>
      <c r="G1267">
        <v>28617</v>
      </c>
      <c r="H1267">
        <v>47885360</v>
      </c>
      <c r="I1267">
        <v>0.8</v>
      </c>
      <c r="J1267" t="s">
        <v>112</v>
      </c>
      <c r="K1267" t="s">
        <v>238</v>
      </c>
      <c r="L1267">
        <v>0.83</v>
      </c>
      <c r="M1267">
        <v>16.73</v>
      </c>
      <c r="N1267">
        <v>15752</v>
      </c>
      <c r="O1267">
        <v>12864</v>
      </c>
      <c r="P1267">
        <v>1.22</v>
      </c>
      <c r="Q1267">
        <v>159</v>
      </c>
      <c r="R1267">
        <v>17</v>
      </c>
      <c r="S1267" t="s">
        <v>3</v>
      </c>
      <c r="T1267">
        <v>8467.0400000000009</v>
      </c>
      <c r="U1267" t="s">
        <v>507</v>
      </c>
      <c r="V1267" t="s">
        <v>1477</v>
      </c>
      <c r="W1267">
        <v>0.99</v>
      </c>
    </row>
    <row r="1268" spans="1:23">
      <c r="A1268" t="str">
        <f>"300082"</f>
        <v>300082</v>
      </c>
      <c r="B1268" t="s">
        <v>3463</v>
      </c>
      <c r="C1268">
        <v>13.48</v>
      </c>
      <c r="D1268">
        <v>14.21</v>
      </c>
      <c r="E1268">
        <v>13.44</v>
      </c>
      <c r="F1268">
        <v>14.1</v>
      </c>
      <c r="G1268">
        <v>72392</v>
      </c>
      <c r="H1268">
        <v>100859232</v>
      </c>
      <c r="I1268">
        <v>1.47</v>
      </c>
      <c r="J1268" t="s">
        <v>376</v>
      </c>
      <c r="K1268" t="s">
        <v>162</v>
      </c>
      <c r="L1268">
        <v>4.91</v>
      </c>
      <c r="M1268">
        <v>13.93</v>
      </c>
      <c r="N1268">
        <v>28898</v>
      </c>
      <c r="O1268">
        <v>43494</v>
      </c>
      <c r="P1268">
        <v>0.66</v>
      </c>
      <c r="Q1268">
        <v>21</v>
      </c>
      <c r="R1268">
        <v>343</v>
      </c>
      <c r="S1268" t="s">
        <v>3</v>
      </c>
      <c r="T1268">
        <v>33692.1</v>
      </c>
      <c r="U1268" t="s">
        <v>3464</v>
      </c>
      <c r="V1268" t="s">
        <v>3464</v>
      </c>
      <c r="W1268">
        <v>5.07</v>
      </c>
    </row>
    <row r="1269" spans="1:23">
      <c r="A1269" t="str">
        <f>"300083"</f>
        <v>300083</v>
      </c>
      <c r="B1269" t="s">
        <v>3465</v>
      </c>
      <c r="C1269">
        <v>20</v>
      </c>
      <c r="D1269">
        <v>20</v>
      </c>
      <c r="E1269">
        <v>19.41</v>
      </c>
      <c r="F1269">
        <v>19.79</v>
      </c>
      <c r="G1269">
        <v>34484</v>
      </c>
      <c r="H1269">
        <v>67863960</v>
      </c>
      <c r="I1269">
        <v>0.9</v>
      </c>
      <c r="J1269" t="s">
        <v>62</v>
      </c>
      <c r="K1269" t="s">
        <v>211</v>
      </c>
      <c r="L1269">
        <v>0.2</v>
      </c>
      <c r="M1269">
        <v>19.68</v>
      </c>
      <c r="N1269">
        <v>16508</v>
      </c>
      <c r="O1269">
        <v>17976</v>
      </c>
      <c r="P1269">
        <v>0.92</v>
      </c>
      <c r="Q1269">
        <v>16</v>
      </c>
      <c r="R1269">
        <v>99</v>
      </c>
      <c r="S1269" t="s">
        <v>3</v>
      </c>
      <c r="T1269">
        <v>8787.3700000000008</v>
      </c>
      <c r="U1269" t="s">
        <v>3466</v>
      </c>
      <c r="V1269" t="s">
        <v>3467</v>
      </c>
      <c r="W1269">
        <v>0.36</v>
      </c>
    </row>
    <row r="1270" spans="1:23">
      <c r="A1270" t="str">
        <f>"300084"</f>
        <v>300084</v>
      </c>
      <c r="B1270" t="s">
        <v>3468</v>
      </c>
      <c r="C1270">
        <v>24.48</v>
      </c>
      <c r="D1270">
        <v>24.48</v>
      </c>
      <c r="E1270">
        <v>24.1</v>
      </c>
      <c r="F1270">
        <v>24.25</v>
      </c>
      <c r="G1270">
        <v>17410</v>
      </c>
      <c r="H1270">
        <v>42163248</v>
      </c>
      <c r="I1270">
        <v>0.51</v>
      </c>
      <c r="J1270" t="s">
        <v>1924</v>
      </c>
      <c r="K1270" t="s">
        <v>483</v>
      </c>
      <c r="L1270">
        <v>-0.41</v>
      </c>
      <c r="M1270">
        <v>24.22</v>
      </c>
      <c r="N1270">
        <v>10373</v>
      </c>
      <c r="O1270">
        <v>7036</v>
      </c>
      <c r="P1270">
        <v>1.47</v>
      </c>
      <c r="Q1270">
        <v>699</v>
      </c>
      <c r="R1270">
        <v>500</v>
      </c>
      <c r="S1270" t="s">
        <v>3</v>
      </c>
      <c r="T1270">
        <v>10155.25</v>
      </c>
      <c r="U1270" t="s">
        <v>3469</v>
      </c>
      <c r="V1270" t="s">
        <v>3470</v>
      </c>
      <c r="W1270">
        <v>-0.25</v>
      </c>
    </row>
    <row r="1271" spans="1:23">
      <c r="A1271" t="str">
        <f>"300085"</f>
        <v>300085</v>
      </c>
      <c r="B1271" t="s">
        <v>3471</v>
      </c>
      <c r="C1271">
        <v>22.2</v>
      </c>
      <c r="D1271">
        <v>23.5</v>
      </c>
      <c r="E1271">
        <v>21.4</v>
      </c>
      <c r="F1271">
        <v>23.5</v>
      </c>
      <c r="G1271">
        <v>42983</v>
      </c>
      <c r="H1271">
        <v>96624976</v>
      </c>
      <c r="I1271">
        <v>0.97</v>
      </c>
      <c r="J1271" t="s">
        <v>758</v>
      </c>
      <c r="K1271" t="s">
        <v>2</v>
      </c>
      <c r="L1271">
        <v>7.4</v>
      </c>
      <c r="M1271">
        <v>22.48</v>
      </c>
      <c r="N1271">
        <v>17052</v>
      </c>
      <c r="O1271">
        <v>25930</v>
      </c>
      <c r="P1271">
        <v>0.66</v>
      </c>
      <c r="Q1271">
        <v>21</v>
      </c>
      <c r="R1271">
        <v>238</v>
      </c>
      <c r="S1271" t="s">
        <v>3</v>
      </c>
      <c r="T1271">
        <v>12456.71</v>
      </c>
      <c r="U1271" t="s">
        <v>3472</v>
      </c>
      <c r="V1271" t="s">
        <v>2814</v>
      </c>
      <c r="W1271">
        <v>7.56</v>
      </c>
    </row>
    <row r="1272" spans="1:23">
      <c r="A1272" t="str">
        <f>"300086"</f>
        <v>300086</v>
      </c>
      <c r="B1272" t="s">
        <v>3473</v>
      </c>
      <c r="C1272">
        <v>15.88</v>
      </c>
      <c r="D1272">
        <v>16.7</v>
      </c>
      <c r="E1272">
        <v>15.58</v>
      </c>
      <c r="F1272">
        <v>15.95</v>
      </c>
      <c r="G1272">
        <v>76375</v>
      </c>
      <c r="H1272">
        <v>122528152</v>
      </c>
      <c r="I1272">
        <v>0.95</v>
      </c>
      <c r="J1272" t="s">
        <v>219</v>
      </c>
      <c r="K1272" t="s">
        <v>356</v>
      </c>
      <c r="L1272">
        <v>-0.44</v>
      </c>
      <c r="M1272">
        <v>16.04</v>
      </c>
      <c r="N1272">
        <v>45914</v>
      </c>
      <c r="O1272">
        <v>30460</v>
      </c>
      <c r="P1272">
        <v>1.51</v>
      </c>
      <c r="Q1272">
        <v>201</v>
      </c>
      <c r="R1272">
        <v>228</v>
      </c>
      <c r="S1272" t="s">
        <v>3</v>
      </c>
      <c r="T1272">
        <v>28612.32</v>
      </c>
      <c r="U1272" t="s">
        <v>3474</v>
      </c>
      <c r="V1272" t="s">
        <v>3475</v>
      </c>
      <c r="W1272">
        <v>-0.28000000000000003</v>
      </c>
    </row>
    <row r="1273" spans="1:23">
      <c r="A1273" t="str">
        <f>"300087"</f>
        <v>300087</v>
      </c>
      <c r="B1273" t="s">
        <v>3476</v>
      </c>
      <c r="C1273">
        <v>11.18</v>
      </c>
      <c r="D1273">
        <v>11.22</v>
      </c>
      <c r="E1273">
        <v>10.91</v>
      </c>
      <c r="F1273">
        <v>11.19</v>
      </c>
      <c r="G1273">
        <v>29072</v>
      </c>
      <c r="H1273">
        <v>32203952</v>
      </c>
      <c r="I1273">
        <v>0.56999999999999995</v>
      </c>
      <c r="J1273" t="s">
        <v>829</v>
      </c>
      <c r="K1273" t="s">
        <v>220</v>
      </c>
      <c r="L1273">
        <v>0.18</v>
      </c>
      <c r="M1273">
        <v>11.08</v>
      </c>
      <c r="N1273">
        <v>13868</v>
      </c>
      <c r="O1273">
        <v>15204</v>
      </c>
      <c r="P1273">
        <v>0.91</v>
      </c>
      <c r="Q1273">
        <v>61</v>
      </c>
      <c r="R1273">
        <v>351</v>
      </c>
      <c r="S1273" t="s">
        <v>3</v>
      </c>
      <c r="T1273">
        <v>10679.45</v>
      </c>
      <c r="U1273" t="s">
        <v>3477</v>
      </c>
      <c r="V1273" t="s">
        <v>3478</v>
      </c>
      <c r="W1273">
        <v>0.34</v>
      </c>
    </row>
    <row r="1274" spans="1:23">
      <c r="A1274" t="str">
        <f>"300088"</f>
        <v>300088</v>
      </c>
      <c r="B1274" t="s">
        <v>3479</v>
      </c>
      <c r="C1274">
        <v>19.02</v>
      </c>
      <c r="D1274">
        <v>19.05</v>
      </c>
      <c r="E1274">
        <v>18.68</v>
      </c>
      <c r="F1274">
        <v>18.850000000000001</v>
      </c>
      <c r="G1274">
        <v>135962</v>
      </c>
      <c r="H1274">
        <v>256488240</v>
      </c>
      <c r="I1274">
        <v>0.7</v>
      </c>
      <c r="J1274" t="s">
        <v>62</v>
      </c>
      <c r="K1274" t="s">
        <v>220</v>
      </c>
      <c r="L1274">
        <v>-0.32</v>
      </c>
      <c r="M1274">
        <v>18.86</v>
      </c>
      <c r="N1274">
        <v>76082</v>
      </c>
      <c r="O1274">
        <v>59880</v>
      </c>
      <c r="P1274">
        <v>1.27</v>
      </c>
      <c r="Q1274">
        <v>15</v>
      </c>
      <c r="R1274">
        <v>3616</v>
      </c>
      <c r="S1274" t="s">
        <v>3</v>
      </c>
      <c r="T1274">
        <v>48943.12</v>
      </c>
      <c r="U1274" t="s">
        <v>3480</v>
      </c>
      <c r="V1274" t="s">
        <v>3481</v>
      </c>
      <c r="W1274">
        <v>-0.16</v>
      </c>
    </row>
    <row r="1275" spans="1:23">
      <c r="A1275" t="str">
        <f>"300089"</f>
        <v>300089</v>
      </c>
      <c r="B1275" t="s">
        <v>3482</v>
      </c>
      <c r="C1275" t="s">
        <v>3</v>
      </c>
      <c r="D1275" t="s">
        <v>3</v>
      </c>
      <c r="E1275" t="s">
        <v>3</v>
      </c>
      <c r="F1275">
        <v>0</v>
      </c>
      <c r="G1275">
        <v>0</v>
      </c>
      <c r="H1275">
        <v>0</v>
      </c>
      <c r="I1275">
        <v>0</v>
      </c>
      <c r="J1275" t="s">
        <v>1643</v>
      </c>
      <c r="K1275" t="s">
        <v>211</v>
      </c>
      <c r="L1275" t="s">
        <v>3</v>
      </c>
      <c r="M1275">
        <v>13.02</v>
      </c>
      <c r="N1275">
        <v>0</v>
      </c>
      <c r="O1275">
        <v>0</v>
      </c>
      <c r="P1275" t="s">
        <v>3</v>
      </c>
      <c r="Q1275">
        <v>0</v>
      </c>
      <c r="R1275">
        <v>0</v>
      </c>
      <c r="S1275" t="s">
        <v>3</v>
      </c>
      <c r="T1275">
        <v>8650.7099999999991</v>
      </c>
      <c r="U1275" t="s">
        <v>3483</v>
      </c>
      <c r="V1275" t="s">
        <v>3484</v>
      </c>
      <c r="W1275">
        <v>0.16</v>
      </c>
    </row>
    <row r="1276" spans="1:23">
      <c r="A1276" t="str">
        <f>"300090"</f>
        <v>300090</v>
      </c>
      <c r="B1276" t="s">
        <v>3485</v>
      </c>
      <c r="C1276">
        <v>15.53</v>
      </c>
      <c r="D1276">
        <v>15.59</v>
      </c>
      <c r="E1276">
        <v>15.09</v>
      </c>
      <c r="F1276">
        <v>15.19</v>
      </c>
      <c r="G1276">
        <v>177218</v>
      </c>
      <c r="H1276">
        <v>270949728</v>
      </c>
      <c r="I1276">
        <v>1.45</v>
      </c>
      <c r="J1276" t="s">
        <v>269</v>
      </c>
      <c r="K1276" t="s">
        <v>220</v>
      </c>
      <c r="L1276">
        <v>-2.06</v>
      </c>
      <c r="M1276">
        <v>15.29</v>
      </c>
      <c r="N1276">
        <v>96835</v>
      </c>
      <c r="O1276">
        <v>80382</v>
      </c>
      <c r="P1276">
        <v>1.2</v>
      </c>
      <c r="Q1276">
        <v>115</v>
      </c>
      <c r="R1276">
        <v>509</v>
      </c>
      <c r="S1276" t="s">
        <v>3</v>
      </c>
      <c r="T1276">
        <v>33502.800000000003</v>
      </c>
      <c r="U1276" t="s">
        <v>3486</v>
      </c>
      <c r="V1276" t="s">
        <v>3487</v>
      </c>
      <c r="W1276">
        <v>-1.9</v>
      </c>
    </row>
    <row r="1277" spans="1:23">
      <c r="A1277" t="str">
        <f>"300091"</f>
        <v>300091</v>
      </c>
      <c r="B1277" t="s">
        <v>3488</v>
      </c>
      <c r="C1277">
        <v>21.4</v>
      </c>
      <c r="D1277">
        <v>21.4</v>
      </c>
      <c r="E1277">
        <v>21.08</v>
      </c>
      <c r="F1277">
        <v>21.17</v>
      </c>
      <c r="G1277">
        <v>7666</v>
      </c>
      <c r="H1277">
        <v>16254328</v>
      </c>
      <c r="I1277">
        <v>0.67</v>
      </c>
      <c r="J1277" t="s">
        <v>398</v>
      </c>
      <c r="K1277" t="s">
        <v>244</v>
      </c>
      <c r="L1277">
        <v>-0.47</v>
      </c>
      <c r="M1277">
        <v>21.2</v>
      </c>
      <c r="N1277">
        <v>4805</v>
      </c>
      <c r="O1277">
        <v>2861</v>
      </c>
      <c r="P1277">
        <v>1.68</v>
      </c>
      <c r="Q1277">
        <v>8</v>
      </c>
      <c r="R1277">
        <v>18</v>
      </c>
      <c r="S1277" t="s">
        <v>3</v>
      </c>
      <c r="T1277">
        <v>12639.7</v>
      </c>
      <c r="U1277" t="s">
        <v>3489</v>
      </c>
      <c r="V1277" t="s">
        <v>3490</v>
      </c>
      <c r="W1277">
        <v>-0.31</v>
      </c>
    </row>
    <row r="1278" spans="1:23">
      <c r="A1278" t="str">
        <f>"300092"</f>
        <v>300092</v>
      </c>
      <c r="B1278" t="s">
        <v>3491</v>
      </c>
      <c r="C1278">
        <v>18.100000000000001</v>
      </c>
      <c r="D1278">
        <v>18.2</v>
      </c>
      <c r="E1278">
        <v>17.72</v>
      </c>
      <c r="F1278">
        <v>18.04</v>
      </c>
      <c r="G1278">
        <v>10689</v>
      </c>
      <c r="H1278">
        <v>19185268</v>
      </c>
      <c r="I1278">
        <v>0.81</v>
      </c>
      <c r="J1278" t="s">
        <v>269</v>
      </c>
      <c r="K1278" t="s">
        <v>225</v>
      </c>
      <c r="L1278">
        <v>-0.33</v>
      </c>
      <c r="M1278">
        <v>17.95</v>
      </c>
      <c r="N1278">
        <v>5940</v>
      </c>
      <c r="O1278">
        <v>4749</v>
      </c>
      <c r="P1278">
        <v>1.25</v>
      </c>
      <c r="Q1278">
        <v>34</v>
      </c>
      <c r="R1278">
        <v>500</v>
      </c>
      <c r="S1278" t="s">
        <v>3</v>
      </c>
      <c r="T1278">
        <v>5273.62</v>
      </c>
      <c r="U1278" t="s">
        <v>3492</v>
      </c>
      <c r="V1278" t="s">
        <v>3493</v>
      </c>
      <c r="W1278">
        <v>-0.17</v>
      </c>
    </row>
    <row r="1279" spans="1:23">
      <c r="A1279" t="str">
        <f>"300093"</f>
        <v>300093</v>
      </c>
      <c r="B1279" t="s">
        <v>3494</v>
      </c>
      <c r="C1279">
        <v>12.67</v>
      </c>
      <c r="D1279">
        <v>12.92</v>
      </c>
      <c r="E1279">
        <v>12.62</v>
      </c>
      <c r="F1279">
        <v>12.79</v>
      </c>
      <c r="G1279">
        <v>91170</v>
      </c>
      <c r="H1279">
        <v>116428744</v>
      </c>
      <c r="I1279">
        <v>0.64</v>
      </c>
      <c r="J1279" t="s">
        <v>41</v>
      </c>
      <c r="K1279" t="s">
        <v>211</v>
      </c>
      <c r="L1279">
        <v>0.31</v>
      </c>
      <c r="M1279">
        <v>12.77</v>
      </c>
      <c r="N1279">
        <v>49373</v>
      </c>
      <c r="O1279">
        <v>41796</v>
      </c>
      <c r="P1279">
        <v>1.18</v>
      </c>
      <c r="Q1279">
        <v>597</v>
      </c>
      <c r="R1279">
        <v>349</v>
      </c>
      <c r="S1279" t="s">
        <v>3</v>
      </c>
      <c r="T1279">
        <v>21526.34</v>
      </c>
      <c r="U1279" t="s">
        <v>3495</v>
      </c>
      <c r="V1279" t="s">
        <v>545</v>
      </c>
      <c r="W1279">
        <v>0.47</v>
      </c>
    </row>
    <row r="1280" spans="1:23">
      <c r="A1280" t="str">
        <f>"300094"</f>
        <v>300094</v>
      </c>
      <c r="B1280" t="s">
        <v>3496</v>
      </c>
      <c r="C1280">
        <v>9</v>
      </c>
      <c r="D1280">
        <v>9.1199999999999992</v>
      </c>
      <c r="E1280">
        <v>8.93</v>
      </c>
      <c r="F1280">
        <v>9.1199999999999992</v>
      </c>
      <c r="G1280">
        <v>46907</v>
      </c>
      <c r="H1280">
        <v>42445968</v>
      </c>
      <c r="I1280">
        <v>0.97</v>
      </c>
      <c r="J1280" t="s">
        <v>988</v>
      </c>
      <c r="K1280" t="s">
        <v>211</v>
      </c>
      <c r="L1280">
        <v>1.45</v>
      </c>
      <c r="M1280">
        <v>9.0500000000000007</v>
      </c>
      <c r="N1280">
        <v>22885</v>
      </c>
      <c r="O1280">
        <v>24021</v>
      </c>
      <c r="P1280">
        <v>0.95</v>
      </c>
      <c r="Q1280">
        <v>270</v>
      </c>
      <c r="R1280">
        <v>47</v>
      </c>
      <c r="S1280" t="s">
        <v>3</v>
      </c>
      <c r="T1280">
        <v>35072.21</v>
      </c>
      <c r="U1280" t="s">
        <v>3497</v>
      </c>
      <c r="V1280" t="s">
        <v>3498</v>
      </c>
      <c r="W1280">
        <v>1.6</v>
      </c>
    </row>
    <row r="1281" spans="1:23">
      <c r="A1281" t="str">
        <f>"300095"</f>
        <v>300095</v>
      </c>
      <c r="B1281" t="s">
        <v>3499</v>
      </c>
      <c r="C1281">
        <v>9.5</v>
      </c>
      <c r="D1281">
        <v>9.76</v>
      </c>
      <c r="E1281">
        <v>9.41</v>
      </c>
      <c r="F1281">
        <v>9.73</v>
      </c>
      <c r="G1281">
        <v>52494</v>
      </c>
      <c r="H1281">
        <v>50262976</v>
      </c>
      <c r="I1281">
        <v>0.92</v>
      </c>
      <c r="J1281" t="s">
        <v>398</v>
      </c>
      <c r="K1281" t="s">
        <v>265</v>
      </c>
      <c r="L1281">
        <v>2.5299999999999998</v>
      </c>
      <c r="M1281">
        <v>9.58</v>
      </c>
      <c r="N1281">
        <v>23397</v>
      </c>
      <c r="O1281">
        <v>29096</v>
      </c>
      <c r="P1281">
        <v>0.8</v>
      </c>
      <c r="Q1281">
        <v>210</v>
      </c>
      <c r="R1281">
        <v>141</v>
      </c>
      <c r="S1281" t="s">
        <v>3</v>
      </c>
      <c r="T1281">
        <v>15106</v>
      </c>
      <c r="U1281" t="s">
        <v>3500</v>
      </c>
      <c r="V1281" t="s">
        <v>3501</v>
      </c>
      <c r="W1281">
        <v>2.69</v>
      </c>
    </row>
    <row r="1282" spans="1:23">
      <c r="A1282" t="str">
        <f>"300096"</f>
        <v>300096</v>
      </c>
      <c r="B1282" t="s">
        <v>3502</v>
      </c>
      <c r="C1282">
        <v>30.88</v>
      </c>
      <c r="D1282">
        <v>32.03</v>
      </c>
      <c r="E1282">
        <v>30.6</v>
      </c>
      <c r="F1282">
        <v>31.57</v>
      </c>
      <c r="G1282">
        <v>49503</v>
      </c>
      <c r="H1282">
        <v>155917104</v>
      </c>
      <c r="I1282">
        <v>1.02</v>
      </c>
      <c r="J1282" t="s">
        <v>758</v>
      </c>
      <c r="K1282" t="s">
        <v>414</v>
      </c>
      <c r="L1282">
        <v>2.67</v>
      </c>
      <c r="M1282">
        <v>31.5</v>
      </c>
      <c r="N1282">
        <v>23073</v>
      </c>
      <c r="O1282">
        <v>26429</v>
      </c>
      <c r="P1282">
        <v>0.87</v>
      </c>
      <c r="Q1282">
        <v>470</v>
      </c>
      <c r="R1282">
        <v>33</v>
      </c>
      <c r="S1282" t="s">
        <v>3</v>
      </c>
      <c r="T1282">
        <v>12979.75</v>
      </c>
      <c r="U1282" t="s">
        <v>762</v>
      </c>
      <c r="V1282" t="s">
        <v>1000</v>
      </c>
      <c r="W1282">
        <v>2.83</v>
      </c>
    </row>
    <row r="1283" spans="1:23">
      <c r="A1283" t="str">
        <f>"300097"</f>
        <v>300097</v>
      </c>
      <c r="B1283" t="s">
        <v>3503</v>
      </c>
      <c r="C1283">
        <v>21.45</v>
      </c>
      <c r="D1283">
        <v>22.45</v>
      </c>
      <c r="E1283">
        <v>21.01</v>
      </c>
      <c r="F1283">
        <v>21.9</v>
      </c>
      <c r="G1283">
        <v>115510</v>
      </c>
      <c r="H1283">
        <v>251752320</v>
      </c>
      <c r="I1283">
        <v>1.02</v>
      </c>
      <c r="J1283" t="s">
        <v>617</v>
      </c>
      <c r="K1283" t="s">
        <v>162</v>
      </c>
      <c r="L1283">
        <v>2.38</v>
      </c>
      <c r="M1283">
        <v>21.79</v>
      </c>
      <c r="N1283">
        <v>56166</v>
      </c>
      <c r="O1283">
        <v>59343</v>
      </c>
      <c r="P1283">
        <v>0.95</v>
      </c>
      <c r="Q1283">
        <v>171</v>
      </c>
      <c r="R1283">
        <v>96</v>
      </c>
      <c r="S1283" t="s">
        <v>3</v>
      </c>
      <c r="T1283">
        <v>7558.87</v>
      </c>
      <c r="U1283" t="s">
        <v>2463</v>
      </c>
      <c r="V1283" t="s">
        <v>3504</v>
      </c>
      <c r="W1283">
        <v>2.54</v>
      </c>
    </row>
    <row r="1284" spans="1:23">
      <c r="A1284" t="str">
        <f>"300098"</f>
        <v>300098</v>
      </c>
      <c r="B1284" t="s">
        <v>3505</v>
      </c>
      <c r="C1284">
        <v>23.88</v>
      </c>
      <c r="D1284">
        <v>24.34</v>
      </c>
      <c r="E1284">
        <v>23.65</v>
      </c>
      <c r="F1284">
        <v>24.09</v>
      </c>
      <c r="G1284">
        <v>19964</v>
      </c>
      <c r="H1284">
        <v>47991272</v>
      </c>
      <c r="I1284">
        <v>0.35</v>
      </c>
      <c r="J1284" t="s">
        <v>112</v>
      </c>
      <c r="K1284" t="s">
        <v>211</v>
      </c>
      <c r="L1284">
        <v>0.75</v>
      </c>
      <c r="M1284">
        <v>24.04</v>
      </c>
      <c r="N1284">
        <v>9930</v>
      </c>
      <c r="O1284">
        <v>10034</v>
      </c>
      <c r="P1284">
        <v>0.99</v>
      </c>
      <c r="Q1284">
        <v>115</v>
      </c>
      <c r="R1284">
        <v>31</v>
      </c>
      <c r="S1284" t="s">
        <v>3</v>
      </c>
      <c r="T1284">
        <v>11322.58</v>
      </c>
      <c r="U1284" t="s">
        <v>3506</v>
      </c>
      <c r="V1284" t="s">
        <v>3507</v>
      </c>
      <c r="W1284">
        <v>0.91</v>
      </c>
    </row>
    <row r="1285" spans="1:23">
      <c r="A1285" t="str">
        <f>"300099"</f>
        <v>300099</v>
      </c>
      <c r="B1285" t="s">
        <v>3508</v>
      </c>
      <c r="C1285">
        <v>12.63</v>
      </c>
      <c r="D1285">
        <v>12.89</v>
      </c>
      <c r="E1285">
        <v>12.6</v>
      </c>
      <c r="F1285">
        <v>12.85</v>
      </c>
      <c r="G1285">
        <v>21867</v>
      </c>
      <c r="H1285">
        <v>27960812</v>
      </c>
      <c r="I1285">
        <v>0.91</v>
      </c>
      <c r="J1285" t="s">
        <v>617</v>
      </c>
      <c r="K1285" t="s">
        <v>250</v>
      </c>
      <c r="L1285">
        <v>1.1000000000000001</v>
      </c>
      <c r="M1285">
        <v>12.79</v>
      </c>
      <c r="N1285">
        <v>10026</v>
      </c>
      <c r="O1285">
        <v>11841</v>
      </c>
      <c r="P1285">
        <v>0.85</v>
      </c>
      <c r="Q1285">
        <v>265</v>
      </c>
      <c r="R1285">
        <v>278</v>
      </c>
      <c r="S1285" t="s">
        <v>3</v>
      </c>
      <c r="T1285">
        <v>10838.75</v>
      </c>
      <c r="U1285" t="s">
        <v>3509</v>
      </c>
      <c r="V1285" t="s">
        <v>3510</v>
      </c>
      <c r="W1285">
        <v>1.26</v>
      </c>
    </row>
    <row r="1286" spans="1:23">
      <c r="A1286" t="str">
        <f>"300100"</f>
        <v>300100</v>
      </c>
      <c r="B1286" t="s">
        <v>3511</v>
      </c>
      <c r="C1286">
        <v>9.02</v>
      </c>
      <c r="D1286">
        <v>9.14</v>
      </c>
      <c r="E1286">
        <v>8.9</v>
      </c>
      <c r="F1286">
        <v>9.1</v>
      </c>
      <c r="G1286">
        <v>27768</v>
      </c>
      <c r="H1286">
        <v>25093232</v>
      </c>
      <c r="I1286">
        <v>0.82</v>
      </c>
      <c r="J1286" t="s">
        <v>79</v>
      </c>
      <c r="K1286" t="s">
        <v>229</v>
      </c>
      <c r="L1286">
        <v>1.1100000000000001</v>
      </c>
      <c r="M1286">
        <v>9.0399999999999991</v>
      </c>
      <c r="N1286">
        <v>12087</v>
      </c>
      <c r="O1286">
        <v>15681</v>
      </c>
      <c r="P1286">
        <v>0.77</v>
      </c>
      <c r="Q1286">
        <v>346</v>
      </c>
      <c r="R1286">
        <v>346</v>
      </c>
      <c r="S1286" t="s">
        <v>3</v>
      </c>
      <c r="T1286">
        <v>26700</v>
      </c>
      <c r="U1286" t="s">
        <v>908</v>
      </c>
      <c r="V1286" t="s">
        <v>315</v>
      </c>
      <c r="W1286">
        <v>1.27</v>
      </c>
    </row>
    <row r="1287" spans="1:23">
      <c r="A1287" t="str">
        <f>"300101"</f>
        <v>300101</v>
      </c>
      <c r="B1287" t="s">
        <v>3512</v>
      </c>
      <c r="C1287">
        <v>27</v>
      </c>
      <c r="D1287">
        <v>27.47</v>
      </c>
      <c r="E1287">
        <v>26.6</v>
      </c>
      <c r="F1287">
        <v>27.05</v>
      </c>
      <c r="G1287">
        <v>53760</v>
      </c>
      <c r="H1287">
        <v>145539600</v>
      </c>
      <c r="I1287">
        <v>0.56999999999999995</v>
      </c>
      <c r="J1287" t="s">
        <v>112</v>
      </c>
      <c r="K1287" t="s">
        <v>225</v>
      </c>
      <c r="L1287">
        <v>-0.33</v>
      </c>
      <c r="M1287">
        <v>27.07</v>
      </c>
      <c r="N1287">
        <v>30326</v>
      </c>
      <c r="O1287">
        <v>23433</v>
      </c>
      <c r="P1287">
        <v>1.29</v>
      </c>
      <c r="Q1287">
        <v>4</v>
      </c>
      <c r="R1287">
        <v>141</v>
      </c>
      <c r="S1287" t="s">
        <v>3</v>
      </c>
      <c r="T1287">
        <v>21796.93</v>
      </c>
      <c r="U1287" t="s">
        <v>3378</v>
      </c>
      <c r="V1287" t="s">
        <v>3513</v>
      </c>
      <c r="W1287">
        <v>-0.17</v>
      </c>
    </row>
    <row r="1288" spans="1:23">
      <c r="A1288" t="str">
        <f>"300102"</f>
        <v>300102</v>
      </c>
      <c r="B1288" t="s">
        <v>3514</v>
      </c>
      <c r="C1288">
        <v>14.38</v>
      </c>
      <c r="D1288">
        <v>14.44</v>
      </c>
      <c r="E1288">
        <v>14.03</v>
      </c>
      <c r="F1288">
        <v>14.38</v>
      </c>
      <c r="G1288">
        <v>83437</v>
      </c>
      <c r="H1288">
        <v>119055784</v>
      </c>
      <c r="I1288">
        <v>0.82</v>
      </c>
      <c r="J1288" t="s">
        <v>1581</v>
      </c>
      <c r="K1288" t="s">
        <v>414</v>
      </c>
      <c r="L1288">
        <v>0</v>
      </c>
      <c r="M1288">
        <v>14.27</v>
      </c>
      <c r="N1288">
        <v>45073</v>
      </c>
      <c r="O1288">
        <v>38364</v>
      </c>
      <c r="P1288">
        <v>1.17</v>
      </c>
      <c r="Q1288">
        <v>116</v>
      </c>
      <c r="R1288">
        <v>131</v>
      </c>
      <c r="S1288" t="s">
        <v>3</v>
      </c>
      <c r="T1288">
        <v>18216.23</v>
      </c>
      <c r="U1288" t="s">
        <v>3252</v>
      </c>
      <c r="V1288" t="s">
        <v>3515</v>
      </c>
      <c r="W1288">
        <v>0.16</v>
      </c>
    </row>
    <row r="1289" spans="1:23">
      <c r="A1289" t="str">
        <f>"300103"</f>
        <v>300103</v>
      </c>
      <c r="B1289" t="s">
        <v>3516</v>
      </c>
      <c r="C1289">
        <v>16.329999999999998</v>
      </c>
      <c r="D1289">
        <v>17.649999999999999</v>
      </c>
      <c r="E1289">
        <v>16.25</v>
      </c>
      <c r="F1289">
        <v>17.02</v>
      </c>
      <c r="G1289">
        <v>119581</v>
      </c>
      <c r="H1289">
        <v>202332352</v>
      </c>
      <c r="I1289">
        <v>1.52</v>
      </c>
      <c r="J1289" t="s">
        <v>233</v>
      </c>
      <c r="K1289" t="s">
        <v>389</v>
      </c>
      <c r="L1289">
        <v>3.28</v>
      </c>
      <c r="M1289">
        <v>16.920000000000002</v>
      </c>
      <c r="N1289">
        <v>56173</v>
      </c>
      <c r="O1289">
        <v>63408</v>
      </c>
      <c r="P1289">
        <v>0.89</v>
      </c>
      <c r="Q1289">
        <v>131</v>
      </c>
      <c r="R1289">
        <v>16</v>
      </c>
      <c r="S1289" t="s">
        <v>3</v>
      </c>
      <c r="T1289">
        <v>15510.5</v>
      </c>
      <c r="U1289" t="s">
        <v>60</v>
      </c>
      <c r="V1289" t="s">
        <v>3517</v>
      </c>
      <c r="W1289">
        <v>3.44</v>
      </c>
    </row>
    <row r="1290" spans="1:23">
      <c r="A1290" t="str">
        <f>"300104"</f>
        <v>300104</v>
      </c>
      <c r="B1290" t="s">
        <v>3518</v>
      </c>
      <c r="C1290">
        <v>39.200000000000003</v>
      </c>
      <c r="D1290">
        <v>39.380000000000003</v>
      </c>
      <c r="E1290">
        <v>38.51</v>
      </c>
      <c r="F1290">
        <v>38.9</v>
      </c>
      <c r="G1290">
        <v>64358</v>
      </c>
      <c r="H1290">
        <v>249821648</v>
      </c>
      <c r="I1290">
        <v>0.52</v>
      </c>
      <c r="J1290" t="s">
        <v>355</v>
      </c>
      <c r="K1290" t="s">
        <v>34</v>
      </c>
      <c r="L1290">
        <v>-0.51</v>
      </c>
      <c r="M1290">
        <v>38.82</v>
      </c>
      <c r="N1290">
        <v>34726</v>
      </c>
      <c r="O1290">
        <v>29631</v>
      </c>
      <c r="P1290">
        <v>1.17</v>
      </c>
      <c r="Q1290">
        <v>104</v>
      </c>
      <c r="R1290">
        <v>224</v>
      </c>
      <c r="S1290" t="s">
        <v>3</v>
      </c>
      <c r="T1290">
        <v>47648.89</v>
      </c>
      <c r="U1290" t="s">
        <v>3519</v>
      </c>
      <c r="V1290" t="s">
        <v>3520</v>
      </c>
      <c r="W1290">
        <v>-0.35</v>
      </c>
    </row>
    <row r="1291" spans="1:23">
      <c r="A1291" t="str">
        <f>"300105"</f>
        <v>300105</v>
      </c>
      <c r="B1291" t="s">
        <v>3521</v>
      </c>
      <c r="C1291">
        <v>12.75</v>
      </c>
      <c r="D1291">
        <v>13.4</v>
      </c>
      <c r="E1291">
        <v>12.68</v>
      </c>
      <c r="F1291">
        <v>13.22</v>
      </c>
      <c r="G1291">
        <v>223235</v>
      </c>
      <c r="H1291">
        <v>292529632</v>
      </c>
      <c r="I1291">
        <v>1.58</v>
      </c>
      <c r="J1291" t="s">
        <v>617</v>
      </c>
      <c r="K1291" t="s">
        <v>250</v>
      </c>
      <c r="L1291">
        <v>3.61</v>
      </c>
      <c r="M1291">
        <v>13.1</v>
      </c>
      <c r="N1291">
        <v>104384</v>
      </c>
      <c r="O1291">
        <v>118851</v>
      </c>
      <c r="P1291">
        <v>0.88</v>
      </c>
      <c r="Q1291">
        <v>457</v>
      </c>
      <c r="R1291">
        <v>689</v>
      </c>
      <c r="S1291" t="s">
        <v>3</v>
      </c>
      <c r="T1291">
        <v>51321.599999999999</v>
      </c>
      <c r="U1291" t="s">
        <v>3522</v>
      </c>
      <c r="V1291" t="s">
        <v>3522</v>
      </c>
      <c r="W1291">
        <v>3.76</v>
      </c>
    </row>
    <row r="1292" spans="1:23">
      <c r="A1292" t="str">
        <f>"300106"</f>
        <v>300106</v>
      </c>
      <c r="B1292" t="s">
        <v>3523</v>
      </c>
      <c r="C1292">
        <v>13.49</v>
      </c>
      <c r="D1292">
        <v>13.52</v>
      </c>
      <c r="E1292">
        <v>13.31</v>
      </c>
      <c r="F1292">
        <v>13.43</v>
      </c>
      <c r="G1292">
        <v>28234</v>
      </c>
      <c r="H1292">
        <v>37900640</v>
      </c>
      <c r="I1292">
        <v>0.84</v>
      </c>
      <c r="J1292" t="s">
        <v>169</v>
      </c>
      <c r="K1292" t="s">
        <v>241</v>
      </c>
      <c r="L1292">
        <v>0.3</v>
      </c>
      <c r="M1292">
        <v>13.42</v>
      </c>
      <c r="N1292">
        <v>13052</v>
      </c>
      <c r="O1292">
        <v>15181</v>
      </c>
      <c r="P1292">
        <v>0.86</v>
      </c>
      <c r="Q1292">
        <v>456</v>
      </c>
      <c r="R1292">
        <v>148</v>
      </c>
      <c r="S1292" t="s">
        <v>3</v>
      </c>
      <c r="T1292">
        <v>16038.95</v>
      </c>
      <c r="U1292" t="s">
        <v>2763</v>
      </c>
      <c r="V1292" t="s">
        <v>3524</v>
      </c>
      <c r="W1292">
        <v>0.46</v>
      </c>
    </row>
    <row r="1293" spans="1:23">
      <c r="A1293" t="str">
        <f>"300107"</f>
        <v>300107</v>
      </c>
      <c r="B1293" t="s">
        <v>3525</v>
      </c>
      <c r="C1293">
        <v>11.71</v>
      </c>
      <c r="D1293">
        <v>11.78</v>
      </c>
      <c r="E1293">
        <v>11.4</v>
      </c>
      <c r="F1293">
        <v>11.63</v>
      </c>
      <c r="G1293">
        <v>47702</v>
      </c>
      <c r="H1293">
        <v>55111044</v>
      </c>
      <c r="I1293">
        <v>0.9</v>
      </c>
      <c r="J1293" t="s">
        <v>376</v>
      </c>
      <c r="K1293" t="s">
        <v>238</v>
      </c>
      <c r="L1293">
        <v>-0.51</v>
      </c>
      <c r="M1293">
        <v>11.55</v>
      </c>
      <c r="N1293">
        <v>28904</v>
      </c>
      <c r="O1293">
        <v>18797</v>
      </c>
      <c r="P1293">
        <v>1.54</v>
      </c>
      <c r="Q1293">
        <v>122</v>
      </c>
      <c r="R1293">
        <v>268</v>
      </c>
      <c r="S1293" t="s">
        <v>3</v>
      </c>
      <c r="T1293">
        <v>16710</v>
      </c>
      <c r="U1293" t="s">
        <v>3526</v>
      </c>
      <c r="V1293" t="s">
        <v>3527</v>
      </c>
      <c r="W1293">
        <v>-0.35</v>
      </c>
    </row>
    <row r="1294" spans="1:23">
      <c r="A1294" t="str">
        <f>"300108"</f>
        <v>300108</v>
      </c>
      <c r="B1294" t="s">
        <v>3528</v>
      </c>
      <c r="C1294">
        <v>14.96</v>
      </c>
      <c r="D1294">
        <v>15.27</v>
      </c>
      <c r="E1294">
        <v>14.65</v>
      </c>
      <c r="F1294">
        <v>15.25</v>
      </c>
      <c r="G1294">
        <v>41765</v>
      </c>
      <c r="H1294">
        <v>62653512</v>
      </c>
      <c r="I1294">
        <v>1.06</v>
      </c>
      <c r="J1294" t="s">
        <v>376</v>
      </c>
      <c r="K1294" t="s">
        <v>99</v>
      </c>
      <c r="L1294">
        <v>2.35</v>
      </c>
      <c r="M1294">
        <v>15</v>
      </c>
      <c r="N1294">
        <v>15376</v>
      </c>
      <c r="O1294">
        <v>26389</v>
      </c>
      <c r="P1294">
        <v>0.57999999999999996</v>
      </c>
      <c r="Q1294">
        <v>253</v>
      </c>
      <c r="R1294">
        <v>129</v>
      </c>
      <c r="S1294" t="s">
        <v>3</v>
      </c>
      <c r="T1294">
        <v>8108.75</v>
      </c>
      <c r="U1294" t="s">
        <v>27</v>
      </c>
      <c r="V1294" t="s">
        <v>3529</v>
      </c>
      <c r="W1294">
        <v>2.5099999999999998</v>
      </c>
    </row>
    <row r="1295" spans="1:23">
      <c r="A1295" t="str">
        <f>"300109"</f>
        <v>300109</v>
      </c>
      <c r="B1295" t="s">
        <v>3530</v>
      </c>
      <c r="C1295" t="s">
        <v>3</v>
      </c>
      <c r="D1295" t="s">
        <v>3</v>
      </c>
      <c r="E1295" t="s">
        <v>3</v>
      </c>
      <c r="F1295">
        <v>0</v>
      </c>
      <c r="G1295">
        <v>0</v>
      </c>
      <c r="H1295">
        <v>0</v>
      </c>
      <c r="I1295">
        <v>0</v>
      </c>
      <c r="J1295" t="s">
        <v>376</v>
      </c>
      <c r="K1295" t="s">
        <v>254</v>
      </c>
      <c r="L1295" t="s">
        <v>3</v>
      </c>
      <c r="M1295">
        <v>14.42</v>
      </c>
      <c r="N1295">
        <v>0</v>
      </c>
      <c r="O1295">
        <v>0</v>
      </c>
      <c r="P1295" t="s">
        <v>3</v>
      </c>
      <c r="Q1295">
        <v>0</v>
      </c>
      <c r="R1295">
        <v>0</v>
      </c>
      <c r="S1295" t="s">
        <v>3</v>
      </c>
      <c r="T1295">
        <v>6872.97</v>
      </c>
      <c r="U1295" t="s">
        <v>3531</v>
      </c>
      <c r="V1295" t="s">
        <v>3325</v>
      </c>
      <c r="W1295">
        <v>0.16</v>
      </c>
    </row>
    <row r="1296" spans="1:23">
      <c r="A1296" t="str">
        <f>"300110"</f>
        <v>300110</v>
      </c>
      <c r="B1296" t="s">
        <v>3532</v>
      </c>
      <c r="C1296">
        <v>7.66</v>
      </c>
      <c r="D1296">
        <v>7.86</v>
      </c>
      <c r="E1296">
        <v>7.61</v>
      </c>
      <c r="F1296">
        <v>7.84</v>
      </c>
      <c r="G1296">
        <v>160779</v>
      </c>
      <c r="H1296">
        <v>124835848</v>
      </c>
      <c r="I1296">
        <v>2.09</v>
      </c>
      <c r="J1296" t="s">
        <v>219</v>
      </c>
      <c r="K1296" t="s">
        <v>250</v>
      </c>
      <c r="L1296">
        <v>2.35</v>
      </c>
      <c r="M1296">
        <v>7.76</v>
      </c>
      <c r="N1296">
        <v>70061</v>
      </c>
      <c r="O1296">
        <v>90718</v>
      </c>
      <c r="P1296">
        <v>0.77</v>
      </c>
      <c r="Q1296">
        <v>1843</v>
      </c>
      <c r="R1296">
        <v>40</v>
      </c>
      <c r="S1296" t="s">
        <v>3</v>
      </c>
      <c r="T1296">
        <v>64546.64</v>
      </c>
      <c r="U1296" t="s">
        <v>136</v>
      </c>
      <c r="V1296" t="s">
        <v>3533</v>
      </c>
      <c r="W1296">
        <v>2.5099999999999998</v>
      </c>
    </row>
    <row r="1297" spans="1:23">
      <c r="A1297" t="str">
        <f>"300111"</f>
        <v>300111</v>
      </c>
      <c r="B1297" t="s">
        <v>3534</v>
      </c>
      <c r="C1297">
        <v>4.16</v>
      </c>
      <c r="D1297">
        <v>4.18</v>
      </c>
      <c r="E1297">
        <v>4.08</v>
      </c>
      <c r="F1297">
        <v>4.1100000000000003</v>
      </c>
      <c r="G1297">
        <v>297441</v>
      </c>
      <c r="H1297">
        <v>122420672</v>
      </c>
      <c r="I1297">
        <v>0.8</v>
      </c>
      <c r="J1297" t="s">
        <v>1581</v>
      </c>
      <c r="K1297" t="s">
        <v>229</v>
      </c>
      <c r="L1297">
        <v>-1.2</v>
      </c>
      <c r="M1297">
        <v>4.12</v>
      </c>
      <c r="N1297">
        <v>158923</v>
      </c>
      <c r="O1297">
        <v>138517</v>
      </c>
      <c r="P1297">
        <v>1.1499999999999999</v>
      </c>
      <c r="Q1297">
        <v>8265</v>
      </c>
      <c r="R1297">
        <v>2558</v>
      </c>
      <c r="S1297" t="s">
        <v>3</v>
      </c>
      <c r="T1297">
        <v>110759.79</v>
      </c>
      <c r="U1297" t="s">
        <v>3535</v>
      </c>
      <c r="V1297" t="s">
        <v>3536</v>
      </c>
      <c r="W1297">
        <v>-1.04</v>
      </c>
    </row>
    <row r="1298" spans="1:23">
      <c r="A1298" t="str">
        <f>"300112"</f>
        <v>300112</v>
      </c>
      <c r="B1298" t="s">
        <v>3537</v>
      </c>
      <c r="C1298" t="s">
        <v>3</v>
      </c>
      <c r="D1298" t="s">
        <v>3</v>
      </c>
      <c r="E1298" t="s">
        <v>3</v>
      </c>
      <c r="F1298">
        <v>0</v>
      </c>
      <c r="G1298">
        <v>0</v>
      </c>
      <c r="H1298">
        <v>0</v>
      </c>
      <c r="I1298">
        <v>0</v>
      </c>
      <c r="J1298" t="s">
        <v>617</v>
      </c>
      <c r="K1298" t="s">
        <v>2</v>
      </c>
      <c r="L1298" t="s">
        <v>3</v>
      </c>
      <c r="M1298">
        <v>10.87</v>
      </c>
      <c r="N1298">
        <v>0</v>
      </c>
      <c r="O1298">
        <v>0</v>
      </c>
      <c r="P1298" t="s">
        <v>3</v>
      </c>
      <c r="Q1298">
        <v>0</v>
      </c>
      <c r="R1298">
        <v>0</v>
      </c>
      <c r="S1298" t="s">
        <v>3</v>
      </c>
      <c r="T1298">
        <v>12676.55</v>
      </c>
      <c r="U1298" t="s">
        <v>3538</v>
      </c>
      <c r="V1298" t="s">
        <v>3539</v>
      </c>
      <c r="W1298">
        <v>0.16</v>
      </c>
    </row>
    <row r="1299" spans="1:23">
      <c r="A1299" t="str">
        <f>"300113"</f>
        <v>300113</v>
      </c>
      <c r="B1299" t="s">
        <v>3540</v>
      </c>
      <c r="C1299">
        <v>28.49</v>
      </c>
      <c r="D1299">
        <v>28.68</v>
      </c>
      <c r="E1299">
        <v>27.81</v>
      </c>
      <c r="F1299">
        <v>28.65</v>
      </c>
      <c r="G1299">
        <v>71983</v>
      </c>
      <c r="H1299">
        <v>202989136</v>
      </c>
      <c r="I1299">
        <v>1.07</v>
      </c>
      <c r="J1299" t="s">
        <v>355</v>
      </c>
      <c r="K1299" t="s">
        <v>229</v>
      </c>
      <c r="L1299">
        <v>0.53</v>
      </c>
      <c r="M1299">
        <v>28.2</v>
      </c>
      <c r="N1299">
        <v>39001</v>
      </c>
      <c r="O1299">
        <v>32982</v>
      </c>
      <c r="P1299">
        <v>1.18</v>
      </c>
      <c r="Q1299">
        <v>56</v>
      </c>
      <c r="R1299">
        <v>65</v>
      </c>
      <c r="S1299" t="s">
        <v>3</v>
      </c>
      <c r="T1299">
        <v>17038.96</v>
      </c>
      <c r="U1299" t="s">
        <v>3541</v>
      </c>
      <c r="V1299" t="s">
        <v>3542</v>
      </c>
      <c r="W1299">
        <v>0.68</v>
      </c>
    </row>
    <row r="1300" spans="1:23">
      <c r="A1300" t="str">
        <f>"300114"</f>
        <v>300114</v>
      </c>
      <c r="B1300" t="s">
        <v>3543</v>
      </c>
      <c r="C1300">
        <v>27.17</v>
      </c>
      <c r="D1300">
        <v>27.17</v>
      </c>
      <c r="E1300">
        <v>26</v>
      </c>
      <c r="F1300">
        <v>26.57</v>
      </c>
      <c r="G1300">
        <v>54202</v>
      </c>
      <c r="H1300">
        <v>143742704</v>
      </c>
      <c r="I1300">
        <v>1.1499999999999999</v>
      </c>
      <c r="J1300" t="s">
        <v>62</v>
      </c>
      <c r="K1300" t="s">
        <v>389</v>
      </c>
      <c r="L1300">
        <v>-2.21</v>
      </c>
      <c r="M1300">
        <v>26.52</v>
      </c>
      <c r="N1300">
        <v>32375</v>
      </c>
      <c r="O1300">
        <v>21827</v>
      </c>
      <c r="P1300">
        <v>1.48</v>
      </c>
      <c r="Q1300">
        <v>40</v>
      </c>
      <c r="R1300">
        <v>112</v>
      </c>
      <c r="S1300" t="s">
        <v>3</v>
      </c>
      <c r="T1300">
        <v>15600</v>
      </c>
      <c r="U1300" t="s">
        <v>3544</v>
      </c>
      <c r="V1300" t="s">
        <v>3544</v>
      </c>
      <c r="W1300">
        <v>-2.0499999999999998</v>
      </c>
    </row>
    <row r="1301" spans="1:23">
      <c r="A1301" t="str">
        <f>"300115"</f>
        <v>300115</v>
      </c>
      <c r="B1301" t="s">
        <v>3545</v>
      </c>
      <c r="C1301">
        <v>22.5</v>
      </c>
      <c r="D1301">
        <v>22.71</v>
      </c>
      <c r="E1301">
        <v>22.25</v>
      </c>
      <c r="F1301">
        <v>22.25</v>
      </c>
      <c r="G1301">
        <v>61179</v>
      </c>
      <c r="H1301">
        <v>137039376</v>
      </c>
      <c r="I1301">
        <v>0.97</v>
      </c>
      <c r="J1301" t="s">
        <v>62</v>
      </c>
      <c r="K1301" t="s">
        <v>2</v>
      </c>
      <c r="L1301">
        <v>-1.94</v>
      </c>
      <c r="M1301">
        <v>22.4</v>
      </c>
      <c r="N1301">
        <v>38927</v>
      </c>
      <c r="O1301">
        <v>22252</v>
      </c>
      <c r="P1301">
        <v>1.75</v>
      </c>
      <c r="Q1301">
        <v>71</v>
      </c>
      <c r="R1301">
        <v>124</v>
      </c>
      <c r="S1301" t="s">
        <v>3</v>
      </c>
      <c r="T1301">
        <v>51299.96</v>
      </c>
      <c r="U1301" t="s">
        <v>3546</v>
      </c>
      <c r="V1301" t="s">
        <v>3547</v>
      </c>
      <c r="W1301">
        <v>-1.78</v>
      </c>
    </row>
    <row r="1302" spans="1:23">
      <c r="A1302" t="str">
        <f>"300116"</f>
        <v>300116</v>
      </c>
      <c r="B1302" t="s">
        <v>3548</v>
      </c>
      <c r="C1302">
        <v>7.92</v>
      </c>
      <c r="D1302">
        <v>8.0299999999999994</v>
      </c>
      <c r="E1302">
        <v>7.81</v>
      </c>
      <c r="F1302">
        <v>7.92</v>
      </c>
      <c r="G1302">
        <v>77488</v>
      </c>
      <c r="H1302">
        <v>61388268</v>
      </c>
      <c r="I1302">
        <v>1.01</v>
      </c>
      <c r="J1302" t="s">
        <v>269</v>
      </c>
      <c r="K1302" t="s">
        <v>389</v>
      </c>
      <c r="L1302">
        <v>-0.13</v>
      </c>
      <c r="M1302">
        <v>7.92</v>
      </c>
      <c r="N1302">
        <v>40007</v>
      </c>
      <c r="O1302">
        <v>37481</v>
      </c>
      <c r="P1302">
        <v>1.07</v>
      </c>
      <c r="Q1302">
        <v>421</v>
      </c>
      <c r="R1302">
        <v>286</v>
      </c>
      <c r="S1302" t="s">
        <v>3</v>
      </c>
      <c r="T1302">
        <v>15532.04</v>
      </c>
      <c r="U1302" t="s">
        <v>3549</v>
      </c>
      <c r="V1302" t="s">
        <v>3550</v>
      </c>
      <c r="W1302">
        <v>0.03</v>
      </c>
    </row>
    <row r="1303" spans="1:23">
      <c r="A1303" t="str">
        <f>"300117"</f>
        <v>300117</v>
      </c>
      <c r="B1303" t="s">
        <v>3551</v>
      </c>
      <c r="C1303" t="s">
        <v>3</v>
      </c>
      <c r="D1303" t="s">
        <v>3</v>
      </c>
      <c r="E1303" t="s">
        <v>3</v>
      </c>
      <c r="F1303">
        <v>0</v>
      </c>
      <c r="G1303">
        <v>0</v>
      </c>
      <c r="H1303">
        <v>0</v>
      </c>
      <c r="I1303">
        <v>0</v>
      </c>
      <c r="J1303" t="s">
        <v>1496</v>
      </c>
      <c r="K1303" t="s">
        <v>34</v>
      </c>
      <c r="L1303" t="s">
        <v>3</v>
      </c>
      <c r="M1303">
        <v>5.51</v>
      </c>
      <c r="N1303">
        <v>0</v>
      </c>
      <c r="O1303">
        <v>0</v>
      </c>
      <c r="P1303" t="s">
        <v>3</v>
      </c>
      <c r="Q1303">
        <v>0</v>
      </c>
      <c r="R1303">
        <v>0</v>
      </c>
      <c r="S1303" t="s">
        <v>3</v>
      </c>
      <c r="T1303">
        <v>32580</v>
      </c>
      <c r="U1303" t="s">
        <v>3552</v>
      </c>
      <c r="V1303" t="s">
        <v>3552</v>
      </c>
      <c r="W1303">
        <v>0.16</v>
      </c>
    </row>
    <row r="1304" spans="1:23">
      <c r="A1304" t="str">
        <f>"300118"</f>
        <v>300118</v>
      </c>
      <c r="B1304" t="s">
        <v>3553</v>
      </c>
      <c r="C1304">
        <v>8.99</v>
      </c>
      <c r="D1304">
        <v>9</v>
      </c>
      <c r="E1304">
        <v>8.7899999999999991</v>
      </c>
      <c r="F1304">
        <v>8.92</v>
      </c>
      <c r="G1304">
        <v>127154</v>
      </c>
      <c r="H1304">
        <v>112856888</v>
      </c>
      <c r="I1304">
        <v>0.85</v>
      </c>
      <c r="J1304" t="s">
        <v>1581</v>
      </c>
      <c r="K1304" t="s">
        <v>229</v>
      </c>
      <c r="L1304">
        <v>-0.89</v>
      </c>
      <c r="M1304">
        <v>8.8800000000000008</v>
      </c>
      <c r="N1304">
        <v>75116</v>
      </c>
      <c r="O1304">
        <v>52037</v>
      </c>
      <c r="P1304">
        <v>1.44</v>
      </c>
      <c r="Q1304">
        <v>558</v>
      </c>
      <c r="R1304">
        <v>230</v>
      </c>
      <c r="S1304" t="s">
        <v>3</v>
      </c>
      <c r="T1304">
        <v>37982.94</v>
      </c>
      <c r="U1304" t="s">
        <v>3554</v>
      </c>
      <c r="V1304" t="s">
        <v>1519</v>
      </c>
      <c r="W1304">
        <v>-0.73</v>
      </c>
    </row>
    <row r="1305" spans="1:23">
      <c r="A1305" t="str">
        <f>"300119"</f>
        <v>300119</v>
      </c>
      <c r="B1305" t="s">
        <v>3555</v>
      </c>
      <c r="C1305">
        <v>10.88</v>
      </c>
      <c r="D1305">
        <v>10.9</v>
      </c>
      <c r="E1305">
        <v>10.74</v>
      </c>
      <c r="F1305">
        <v>10.83</v>
      </c>
      <c r="G1305">
        <v>46456</v>
      </c>
      <c r="H1305">
        <v>50231092</v>
      </c>
      <c r="I1305">
        <v>0.94</v>
      </c>
      <c r="J1305" t="s">
        <v>11</v>
      </c>
      <c r="K1305" t="s">
        <v>442</v>
      </c>
      <c r="L1305">
        <v>-0.18</v>
      </c>
      <c r="M1305">
        <v>10.81</v>
      </c>
      <c r="N1305">
        <v>26192</v>
      </c>
      <c r="O1305">
        <v>20264</v>
      </c>
      <c r="P1305">
        <v>1.29</v>
      </c>
      <c r="Q1305">
        <v>134</v>
      </c>
      <c r="R1305">
        <v>422</v>
      </c>
      <c r="S1305" t="s">
        <v>3</v>
      </c>
      <c r="T1305">
        <v>20309.16</v>
      </c>
      <c r="U1305" t="s">
        <v>1438</v>
      </c>
      <c r="V1305" t="s">
        <v>3556</v>
      </c>
      <c r="W1305">
        <v>-0.03</v>
      </c>
    </row>
    <row r="1306" spans="1:23">
      <c r="A1306" t="str">
        <f>"300120"</f>
        <v>300120</v>
      </c>
      <c r="B1306" t="s">
        <v>3557</v>
      </c>
      <c r="C1306">
        <v>8.17</v>
      </c>
      <c r="D1306">
        <v>8.25</v>
      </c>
      <c r="E1306">
        <v>8.14</v>
      </c>
      <c r="F1306">
        <v>8.2100000000000009</v>
      </c>
      <c r="G1306">
        <v>24415</v>
      </c>
      <c r="H1306">
        <v>20030888</v>
      </c>
      <c r="I1306">
        <v>0.74</v>
      </c>
      <c r="J1306" t="s">
        <v>145</v>
      </c>
      <c r="K1306" t="s">
        <v>442</v>
      </c>
      <c r="L1306">
        <v>0.49</v>
      </c>
      <c r="M1306">
        <v>8.1999999999999993</v>
      </c>
      <c r="N1306">
        <v>12428</v>
      </c>
      <c r="O1306">
        <v>11987</v>
      </c>
      <c r="P1306">
        <v>1.04</v>
      </c>
      <c r="Q1306">
        <v>133</v>
      </c>
      <c r="R1306">
        <v>841</v>
      </c>
      <c r="S1306" t="s">
        <v>3</v>
      </c>
      <c r="T1306">
        <v>15048.2</v>
      </c>
      <c r="U1306" t="s">
        <v>3558</v>
      </c>
      <c r="V1306" t="s">
        <v>528</v>
      </c>
      <c r="W1306">
        <v>0.65</v>
      </c>
    </row>
    <row r="1307" spans="1:23">
      <c r="A1307" t="str">
        <f>"300121"</f>
        <v>300121</v>
      </c>
      <c r="B1307" t="s">
        <v>3559</v>
      </c>
      <c r="C1307">
        <v>9.44</v>
      </c>
      <c r="D1307">
        <v>9.8800000000000008</v>
      </c>
      <c r="E1307">
        <v>9.26</v>
      </c>
      <c r="F1307">
        <v>9.66</v>
      </c>
      <c r="G1307">
        <v>90819</v>
      </c>
      <c r="H1307">
        <v>86907536</v>
      </c>
      <c r="I1307">
        <v>1.1599999999999999</v>
      </c>
      <c r="J1307" t="s">
        <v>376</v>
      </c>
      <c r="K1307" t="s">
        <v>250</v>
      </c>
      <c r="L1307">
        <v>3.09</v>
      </c>
      <c r="M1307">
        <v>9.57</v>
      </c>
      <c r="N1307">
        <v>44241</v>
      </c>
      <c r="O1307">
        <v>46578</v>
      </c>
      <c r="P1307">
        <v>0.95</v>
      </c>
      <c r="Q1307">
        <v>2941</v>
      </c>
      <c r="R1307">
        <v>2116</v>
      </c>
      <c r="S1307" t="s">
        <v>3</v>
      </c>
      <c r="T1307">
        <v>13211.95</v>
      </c>
      <c r="U1307" t="s">
        <v>3560</v>
      </c>
      <c r="V1307" t="s">
        <v>3561</v>
      </c>
      <c r="W1307">
        <v>3.25</v>
      </c>
    </row>
    <row r="1308" spans="1:23">
      <c r="A1308" t="str">
        <f>"300122"</f>
        <v>300122</v>
      </c>
      <c r="B1308" t="s">
        <v>3562</v>
      </c>
      <c r="C1308">
        <v>24.44</v>
      </c>
      <c r="D1308">
        <v>24.6</v>
      </c>
      <c r="E1308">
        <v>24.29</v>
      </c>
      <c r="F1308">
        <v>24.45</v>
      </c>
      <c r="G1308">
        <v>17816</v>
      </c>
      <c r="H1308">
        <v>43482344</v>
      </c>
      <c r="I1308">
        <v>0.66</v>
      </c>
      <c r="J1308" t="s">
        <v>11</v>
      </c>
      <c r="K1308" t="s">
        <v>386</v>
      </c>
      <c r="L1308">
        <v>-0.12</v>
      </c>
      <c r="M1308">
        <v>24.41</v>
      </c>
      <c r="N1308">
        <v>11224</v>
      </c>
      <c r="O1308">
        <v>6591</v>
      </c>
      <c r="P1308">
        <v>1.7</v>
      </c>
      <c r="Q1308">
        <v>13</v>
      </c>
      <c r="R1308">
        <v>22</v>
      </c>
      <c r="S1308" t="s">
        <v>3</v>
      </c>
      <c r="T1308">
        <v>32145.13</v>
      </c>
      <c r="U1308" t="s">
        <v>3563</v>
      </c>
      <c r="V1308" t="s">
        <v>3564</v>
      </c>
      <c r="W1308">
        <v>0.04</v>
      </c>
    </row>
    <row r="1309" spans="1:23">
      <c r="A1309" t="str">
        <f>"300123"</f>
        <v>300123</v>
      </c>
      <c r="B1309" t="s">
        <v>3565</v>
      </c>
      <c r="C1309">
        <v>9.43</v>
      </c>
      <c r="D1309">
        <v>9.56</v>
      </c>
      <c r="E1309">
        <v>9.26</v>
      </c>
      <c r="F1309">
        <v>9.41</v>
      </c>
      <c r="G1309">
        <v>79096</v>
      </c>
      <c r="H1309">
        <v>74452840</v>
      </c>
      <c r="I1309">
        <v>0.71</v>
      </c>
      <c r="J1309" t="s">
        <v>2960</v>
      </c>
      <c r="K1309" t="s">
        <v>234</v>
      </c>
      <c r="L1309">
        <v>-0.84</v>
      </c>
      <c r="M1309">
        <v>9.41</v>
      </c>
      <c r="N1309">
        <v>43855</v>
      </c>
      <c r="O1309">
        <v>35241</v>
      </c>
      <c r="P1309">
        <v>1.24</v>
      </c>
      <c r="Q1309">
        <v>494</v>
      </c>
      <c r="R1309">
        <v>492</v>
      </c>
      <c r="S1309" t="s">
        <v>3</v>
      </c>
      <c r="T1309">
        <v>25749.13</v>
      </c>
      <c r="U1309" t="s">
        <v>3566</v>
      </c>
      <c r="V1309" t="s">
        <v>3567</v>
      </c>
      <c r="W1309">
        <v>-0.68</v>
      </c>
    </row>
    <row r="1310" spans="1:23">
      <c r="A1310" t="str">
        <f>"300124"</f>
        <v>300124</v>
      </c>
      <c r="B1310" t="s">
        <v>3568</v>
      </c>
      <c r="C1310">
        <v>29.2</v>
      </c>
      <c r="D1310">
        <v>29.29</v>
      </c>
      <c r="E1310">
        <v>28.56</v>
      </c>
      <c r="F1310">
        <v>29.1</v>
      </c>
      <c r="G1310">
        <v>46091</v>
      </c>
      <c r="H1310">
        <v>133601400</v>
      </c>
      <c r="I1310">
        <v>0.62</v>
      </c>
      <c r="J1310" t="s">
        <v>617</v>
      </c>
      <c r="K1310" t="s">
        <v>2</v>
      </c>
      <c r="L1310">
        <v>7.0000000000000007E-2</v>
      </c>
      <c r="M1310">
        <v>28.99</v>
      </c>
      <c r="N1310">
        <v>23350</v>
      </c>
      <c r="O1310">
        <v>22740</v>
      </c>
      <c r="P1310">
        <v>1.03</v>
      </c>
      <c r="Q1310">
        <v>99</v>
      </c>
      <c r="R1310">
        <v>66</v>
      </c>
      <c r="S1310" t="s">
        <v>3</v>
      </c>
      <c r="T1310">
        <v>60942.64</v>
      </c>
      <c r="U1310" t="s">
        <v>3569</v>
      </c>
      <c r="V1310" t="s">
        <v>3570</v>
      </c>
      <c r="W1310">
        <v>0.23</v>
      </c>
    </row>
    <row r="1311" spans="1:23">
      <c r="A1311" t="str">
        <f>"300125"</f>
        <v>300125</v>
      </c>
      <c r="B1311" t="s">
        <v>3571</v>
      </c>
      <c r="C1311">
        <v>21.38</v>
      </c>
      <c r="D1311">
        <v>21.88</v>
      </c>
      <c r="E1311">
        <v>21.12</v>
      </c>
      <c r="F1311">
        <v>21.88</v>
      </c>
      <c r="G1311">
        <v>17726</v>
      </c>
      <c r="H1311">
        <v>38312084</v>
      </c>
      <c r="I1311">
        <v>0.81</v>
      </c>
      <c r="J1311" t="s">
        <v>145</v>
      </c>
      <c r="K1311" t="s">
        <v>162</v>
      </c>
      <c r="L1311">
        <v>2</v>
      </c>
      <c r="M1311">
        <v>21.61</v>
      </c>
      <c r="N1311">
        <v>9901</v>
      </c>
      <c r="O1311">
        <v>7825</v>
      </c>
      <c r="P1311">
        <v>1.27</v>
      </c>
      <c r="Q1311">
        <v>4</v>
      </c>
      <c r="R1311">
        <v>59</v>
      </c>
      <c r="S1311" t="s">
        <v>3</v>
      </c>
      <c r="T1311">
        <v>7266.24</v>
      </c>
      <c r="U1311" t="s">
        <v>3572</v>
      </c>
      <c r="V1311" t="s">
        <v>365</v>
      </c>
      <c r="W1311">
        <v>2.16</v>
      </c>
    </row>
    <row r="1312" spans="1:23">
      <c r="A1312" t="str">
        <f>"300126"</f>
        <v>300126</v>
      </c>
      <c r="B1312" t="s">
        <v>3573</v>
      </c>
      <c r="C1312">
        <v>11.05</v>
      </c>
      <c r="D1312">
        <v>11.98</v>
      </c>
      <c r="E1312">
        <v>10.95</v>
      </c>
      <c r="F1312">
        <v>11.62</v>
      </c>
      <c r="G1312">
        <v>201570</v>
      </c>
      <c r="H1312">
        <v>231897632</v>
      </c>
      <c r="I1312">
        <v>1.27</v>
      </c>
      <c r="J1312" t="s">
        <v>124</v>
      </c>
      <c r="K1312" t="s">
        <v>727</v>
      </c>
      <c r="L1312">
        <v>6.7</v>
      </c>
      <c r="M1312">
        <v>11.5</v>
      </c>
      <c r="N1312">
        <v>84591</v>
      </c>
      <c r="O1312">
        <v>116978</v>
      </c>
      <c r="P1312">
        <v>0.72</v>
      </c>
      <c r="Q1312">
        <v>574</v>
      </c>
      <c r="R1312">
        <v>90</v>
      </c>
      <c r="S1312" t="s">
        <v>3</v>
      </c>
      <c r="T1312">
        <v>15741.58</v>
      </c>
      <c r="U1312" t="s">
        <v>3574</v>
      </c>
      <c r="V1312" t="s">
        <v>1766</v>
      </c>
      <c r="W1312">
        <v>6.86</v>
      </c>
    </row>
    <row r="1313" spans="1:23">
      <c r="A1313" t="str">
        <f>"300127"</f>
        <v>300127</v>
      </c>
      <c r="B1313" t="s">
        <v>3575</v>
      </c>
      <c r="C1313">
        <v>14.67</v>
      </c>
      <c r="D1313">
        <v>14.92</v>
      </c>
      <c r="E1313">
        <v>14.61</v>
      </c>
      <c r="F1313">
        <v>14.87</v>
      </c>
      <c r="G1313">
        <v>32462</v>
      </c>
      <c r="H1313">
        <v>48076220</v>
      </c>
      <c r="I1313">
        <v>1.05</v>
      </c>
      <c r="J1313" t="s">
        <v>62</v>
      </c>
      <c r="K1313" t="s">
        <v>225</v>
      </c>
      <c r="L1313">
        <v>1.29</v>
      </c>
      <c r="M1313">
        <v>14.81</v>
      </c>
      <c r="N1313">
        <v>13859</v>
      </c>
      <c r="O1313">
        <v>18603</v>
      </c>
      <c r="P1313">
        <v>0.74</v>
      </c>
      <c r="Q1313">
        <v>222</v>
      </c>
      <c r="R1313">
        <v>6</v>
      </c>
      <c r="S1313" t="s">
        <v>3</v>
      </c>
      <c r="T1313">
        <v>22186.49</v>
      </c>
      <c r="U1313" t="s">
        <v>3576</v>
      </c>
      <c r="V1313" t="s">
        <v>3577</v>
      </c>
      <c r="W1313">
        <v>1.45</v>
      </c>
    </row>
    <row r="1314" spans="1:23">
      <c r="A1314" t="str">
        <f>"300128"</f>
        <v>300128</v>
      </c>
      <c r="B1314" t="s">
        <v>3578</v>
      </c>
      <c r="C1314" t="s">
        <v>3</v>
      </c>
      <c r="D1314" t="s">
        <v>3</v>
      </c>
      <c r="E1314" t="s">
        <v>3</v>
      </c>
      <c r="F1314">
        <v>0</v>
      </c>
      <c r="G1314">
        <v>0</v>
      </c>
      <c r="H1314">
        <v>0</v>
      </c>
      <c r="I1314">
        <v>0</v>
      </c>
      <c r="J1314" t="s">
        <v>62</v>
      </c>
      <c r="K1314" t="s">
        <v>244</v>
      </c>
      <c r="L1314" t="s">
        <v>3</v>
      </c>
      <c r="M1314">
        <v>13.86</v>
      </c>
      <c r="N1314">
        <v>0</v>
      </c>
      <c r="O1314">
        <v>0</v>
      </c>
      <c r="P1314" t="s">
        <v>3</v>
      </c>
      <c r="Q1314">
        <v>0</v>
      </c>
      <c r="R1314">
        <v>0</v>
      </c>
      <c r="S1314" t="s">
        <v>3</v>
      </c>
      <c r="T1314">
        <v>40356.800000000003</v>
      </c>
      <c r="U1314" t="s">
        <v>3579</v>
      </c>
      <c r="V1314" t="s">
        <v>472</v>
      </c>
      <c r="W1314">
        <v>0.16</v>
      </c>
    </row>
    <row r="1315" spans="1:23">
      <c r="A1315" t="str">
        <f>"300129"</f>
        <v>300129</v>
      </c>
      <c r="B1315" t="s">
        <v>3580</v>
      </c>
      <c r="C1315">
        <v>13.13</v>
      </c>
      <c r="D1315">
        <v>13.13</v>
      </c>
      <c r="E1315">
        <v>12.71</v>
      </c>
      <c r="F1315">
        <v>12.92</v>
      </c>
      <c r="G1315">
        <v>123972</v>
      </c>
      <c r="H1315">
        <v>159632416</v>
      </c>
      <c r="I1315">
        <v>1.1200000000000001</v>
      </c>
      <c r="J1315" t="s">
        <v>145</v>
      </c>
      <c r="K1315" t="s">
        <v>727</v>
      </c>
      <c r="L1315">
        <v>-1.9</v>
      </c>
      <c r="M1315">
        <v>12.88</v>
      </c>
      <c r="N1315">
        <v>68618</v>
      </c>
      <c r="O1315">
        <v>55354</v>
      </c>
      <c r="P1315">
        <v>1.24</v>
      </c>
      <c r="Q1315">
        <v>281</v>
      </c>
      <c r="R1315">
        <v>567</v>
      </c>
      <c r="S1315" t="s">
        <v>3</v>
      </c>
      <c r="T1315">
        <v>21953.38</v>
      </c>
      <c r="U1315" t="s">
        <v>2444</v>
      </c>
      <c r="V1315" t="s">
        <v>3581</v>
      </c>
      <c r="W1315">
        <v>-1.74</v>
      </c>
    </row>
    <row r="1316" spans="1:23">
      <c r="A1316" t="str">
        <f>"300130"</f>
        <v>300130</v>
      </c>
      <c r="B1316" t="s">
        <v>3582</v>
      </c>
      <c r="C1316">
        <v>36.159999999999997</v>
      </c>
      <c r="D1316">
        <v>36.159999999999997</v>
      </c>
      <c r="E1316">
        <v>34.5</v>
      </c>
      <c r="F1316">
        <v>35.520000000000003</v>
      </c>
      <c r="G1316">
        <v>37047</v>
      </c>
      <c r="H1316">
        <v>130076112</v>
      </c>
      <c r="I1316">
        <v>1.1000000000000001</v>
      </c>
      <c r="J1316" t="s">
        <v>66</v>
      </c>
      <c r="K1316" t="s">
        <v>2</v>
      </c>
      <c r="L1316">
        <v>-1.42</v>
      </c>
      <c r="M1316">
        <v>35.11</v>
      </c>
      <c r="N1316">
        <v>22951</v>
      </c>
      <c r="O1316">
        <v>14095</v>
      </c>
      <c r="P1316">
        <v>1.63</v>
      </c>
      <c r="Q1316">
        <v>109</v>
      </c>
      <c r="R1316">
        <v>1</v>
      </c>
      <c r="S1316" t="s">
        <v>3</v>
      </c>
      <c r="T1316">
        <v>6418.12</v>
      </c>
      <c r="U1316" t="s">
        <v>3583</v>
      </c>
      <c r="V1316" t="s">
        <v>3584</v>
      </c>
      <c r="W1316">
        <v>-1.26</v>
      </c>
    </row>
    <row r="1317" spans="1:23">
      <c r="A1317" t="str">
        <f>"300131"</f>
        <v>300131</v>
      </c>
      <c r="B1317" t="s">
        <v>3585</v>
      </c>
      <c r="C1317">
        <v>13.55</v>
      </c>
      <c r="D1317">
        <v>13.92</v>
      </c>
      <c r="E1317">
        <v>13.37</v>
      </c>
      <c r="F1317">
        <v>13.85</v>
      </c>
      <c r="G1317">
        <v>143129</v>
      </c>
      <c r="H1317">
        <v>196467840</v>
      </c>
      <c r="I1317">
        <v>1.08</v>
      </c>
      <c r="J1317" t="s">
        <v>62</v>
      </c>
      <c r="K1317" t="s">
        <v>2</v>
      </c>
      <c r="L1317">
        <v>3.05</v>
      </c>
      <c r="M1317">
        <v>13.73</v>
      </c>
      <c r="N1317">
        <v>64550</v>
      </c>
      <c r="O1317">
        <v>78579</v>
      </c>
      <c r="P1317">
        <v>0.82</v>
      </c>
      <c r="Q1317">
        <v>455</v>
      </c>
      <c r="R1317">
        <v>123</v>
      </c>
      <c r="S1317" t="s">
        <v>3</v>
      </c>
      <c r="T1317">
        <v>12267.95</v>
      </c>
      <c r="U1317" t="s">
        <v>3586</v>
      </c>
      <c r="V1317" t="s">
        <v>3587</v>
      </c>
      <c r="W1317">
        <v>3.21</v>
      </c>
    </row>
    <row r="1318" spans="1:23">
      <c r="A1318" t="str">
        <f>"300132"</f>
        <v>300132</v>
      </c>
      <c r="B1318" t="s">
        <v>3588</v>
      </c>
      <c r="C1318">
        <v>16.829999999999998</v>
      </c>
      <c r="D1318">
        <v>17.8</v>
      </c>
      <c r="E1318">
        <v>16.73</v>
      </c>
      <c r="F1318">
        <v>17.309999999999999</v>
      </c>
      <c r="G1318">
        <v>54390</v>
      </c>
      <c r="H1318">
        <v>94312520</v>
      </c>
      <c r="I1318">
        <v>1.43</v>
      </c>
      <c r="J1318" t="s">
        <v>376</v>
      </c>
      <c r="K1318" t="s">
        <v>414</v>
      </c>
      <c r="L1318">
        <v>2.73</v>
      </c>
      <c r="M1318">
        <v>17.34</v>
      </c>
      <c r="N1318">
        <v>27741</v>
      </c>
      <c r="O1318">
        <v>26649</v>
      </c>
      <c r="P1318">
        <v>1.04</v>
      </c>
      <c r="Q1318">
        <v>199</v>
      </c>
      <c r="R1318">
        <v>8</v>
      </c>
      <c r="S1318" t="s">
        <v>3</v>
      </c>
      <c r="T1318">
        <v>11800.49</v>
      </c>
      <c r="U1318" t="s">
        <v>3589</v>
      </c>
      <c r="V1318" t="s">
        <v>3590</v>
      </c>
      <c r="W1318">
        <v>2.89</v>
      </c>
    </row>
    <row r="1319" spans="1:23">
      <c r="A1319" t="str">
        <f>"300133"</f>
        <v>300133</v>
      </c>
      <c r="B1319" t="s">
        <v>3591</v>
      </c>
      <c r="C1319" t="s">
        <v>3</v>
      </c>
      <c r="D1319" t="s">
        <v>3</v>
      </c>
      <c r="E1319" t="s">
        <v>3</v>
      </c>
      <c r="F1319">
        <v>0</v>
      </c>
      <c r="G1319">
        <v>0</v>
      </c>
      <c r="H1319">
        <v>0</v>
      </c>
      <c r="I1319">
        <v>0</v>
      </c>
      <c r="J1319" t="s">
        <v>228</v>
      </c>
      <c r="K1319" t="s">
        <v>229</v>
      </c>
      <c r="L1319" t="s">
        <v>3</v>
      </c>
      <c r="M1319">
        <v>29.16</v>
      </c>
      <c r="N1319">
        <v>0</v>
      </c>
      <c r="O1319">
        <v>0</v>
      </c>
      <c r="P1319" t="s">
        <v>3</v>
      </c>
      <c r="Q1319">
        <v>0</v>
      </c>
      <c r="R1319">
        <v>0</v>
      </c>
      <c r="S1319" t="s">
        <v>3</v>
      </c>
      <c r="T1319">
        <v>42790.21</v>
      </c>
      <c r="U1319" t="s">
        <v>3592</v>
      </c>
      <c r="V1319" t="s">
        <v>3593</v>
      </c>
      <c r="W1319">
        <v>0.16</v>
      </c>
    </row>
    <row r="1320" spans="1:23">
      <c r="A1320" t="str">
        <f>"300134"</f>
        <v>300134</v>
      </c>
      <c r="B1320" t="s">
        <v>3594</v>
      </c>
      <c r="C1320">
        <v>40.01</v>
      </c>
      <c r="D1320">
        <v>40.57</v>
      </c>
      <c r="E1320">
        <v>39.58</v>
      </c>
      <c r="F1320">
        <v>40.08</v>
      </c>
      <c r="G1320">
        <v>50075</v>
      </c>
      <c r="H1320">
        <v>200995920</v>
      </c>
      <c r="I1320">
        <v>1</v>
      </c>
      <c r="J1320" t="s">
        <v>112</v>
      </c>
      <c r="K1320" t="s">
        <v>2</v>
      </c>
      <c r="L1320">
        <v>0.93</v>
      </c>
      <c r="M1320">
        <v>40.14</v>
      </c>
      <c r="N1320">
        <v>25283</v>
      </c>
      <c r="O1320">
        <v>24792</v>
      </c>
      <c r="P1320">
        <v>1.02</v>
      </c>
      <c r="Q1320">
        <v>229</v>
      </c>
      <c r="R1320">
        <v>63</v>
      </c>
      <c r="S1320" t="s">
        <v>3</v>
      </c>
      <c r="T1320">
        <v>35160</v>
      </c>
      <c r="U1320" t="s">
        <v>3595</v>
      </c>
      <c r="V1320" t="s">
        <v>3596</v>
      </c>
      <c r="W1320">
        <v>1.0900000000000001</v>
      </c>
    </row>
    <row r="1321" spans="1:23">
      <c r="A1321" t="str">
        <f>"300135"</f>
        <v>300135</v>
      </c>
      <c r="B1321" t="s">
        <v>3597</v>
      </c>
      <c r="C1321">
        <v>8.4600000000000009</v>
      </c>
      <c r="D1321">
        <v>8.65</v>
      </c>
      <c r="E1321">
        <v>8.34</v>
      </c>
      <c r="F1321">
        <v>8.57</v>
      </c>
      <c r="G1321">
        <v>95768</v>
      </c>
      <c r="H1321">
        <v>81635400</v>
      </c>
      <c r="I1321">
        <v>0.67</v>
      </c>
      <c r="J1321" t="s">
        <v>376</v>
      </c>
      <c r="K1321" t="s">
        <v>244</v>
      </c>
      <c r="L1321">
        <v>1.3</v>
      </c>
      <c r="M1321">
        <v>8.52</v>
      </c>
      <c r="N1321">
        <v>51493</v>
      </c>
      <c r="O1321">
        <v>44275</v>
      </c>
      <c r="P1321">
        <v>1.1599999999999999</v>
      </c>
      <c r="Q1321">
        <v>216</v>
      </c>
      <c r="R1321">
        <v>460</v>
      </c>
      <c r="S1321" t="s">
        <v>3</v>
      </c>
      <c r="T1321">
        <v>36358.300000000003</v>
      </c>
      <c r="U1321" t="s">
        <v>3598</v>
      </c>
      <c r="V1321" t="s">
        <v>3599</v>
      </c>
      <c r="W1321">
        <v>1.46</v>
      </c>
    </row>
    <row r="1322" spans="1:23">
      <c r="A1322" t="str">
        <f>"300136"</f>
        <v>300136</v>
      </c>
      <c r="B1322" t="s">
        <v>3600</v>
      </c>
      <c r="C1322">
        <v>15.95</v>
      </c>
      <c r="D1322">
        <v>16.37</v>
      </c>
      <c r="E1322">
        <v>15.84</v>
      </c>
      <c r="F1322">
        <v>15.95</v>
      </c>
      <c r="G1322">
        <v>97851</v>
      </c>
      <c r="H1322">
        <v>157233136</v>
      </c>
      <c r="I1322">
        <v>0.82</v>
      </c>
      <c r="J1322" t="s">
        <v>112</v>
      </c>
      <c r="K1322" t="s">
        <v>2</v>
      </c>
      <c r="L1322">
        <v>0.13</v>
      </c>
      <c r="M1322">
        <v>16.07</v>
      </c>
      <c r="N1322">
        <v>55189</v>
      </c>
      <c r="O1322">
        <v>42661</v>
      </c>
      <c r="P1322">
        <v>1.29</v>
      </c>
      <c r="Q1322">
        <v>93</v>
      </c>
      <c r="R1322">
        <v>31</v>
      </c>
      <c r="S1322" t="s">
        <v>3</v>
      </c>
      <c r="T1322">
        <v>19778.080000000002</v>
      </c>
      <c r="U1322" t="s">
        <v>463</v>
      </c>
      <c r="V1322" t="s">
        <v>2080</v>
      </c>
      <c r="W1322">
        <v>0.28000000000000003</v>
      </c>
    </row>
    <row r="1323" spans="1:23">
      <c r="A1323" t="str">
        <f>"300137"</f>
        <v>300137</v>
      </c>
      <c r="B1323" t="s">
        <v>3601</v>
      </c>
      <c r="C1323">
        <v>15.56</v>
      </c>
      <c r="D1323">
        <v>15.6</v>
      </c>
      <c r="E1323">
        <v>15.19</v>
      </c>
      <c r="F1323">
        <v>15.27</v>
      </c>
      <c r="G1323">
        <v>121081</v>
      </c>
      <c r="H1323">
        <v>185474720</v>
      </c>
      <c r="I1323">
        <v>0.74</v>
      </c>
      <c r="J1323" t="s">
        <v>617</v>
      </c>
      <c r="K1323" t="s">
        <v>238</v>
      </c>
      <c r="L1323">
        <v>-1.42</v>
      </c>
      <c r="M1323">
        <v>15.32</v>
      </c>
      <c r="N1323">
        <v>72539</v>
      </c>
      <c r="O1323">
        <v>48541</v>
      </c>
      <c r="P1323">
        <v>1.49</v>
      </c>
      <c r="Q1323">
        <v>802</v>
      </c>
      <c r="R1323">
        <v>321</v>
      </c>
      <c r="S1323" t="s">
        <v>3</v>
      </c>
      <c r="T1323">
        <v>26378.16</v>
      </c>
      <c r="U1323" t="s">
        <v>1533</v>
      </c>
      <c r="V1323" t="s">
        <v>3421</v>
      </c>
      <c r="W1323">
        <v>-1.26</v>
      </c>
    </row>
    <row r="1324" spans="1:23">
      <c r="A1324" t="str">
        <f>"300138"</f>
        <v>300138</v>
      </c>
      <c r="B1324" t="s">
        <v>3602</v>
      </c>
      <c r="C1324">
        <v>10.82</v>
      </c>
      <c r="D1324">
        <v>10.85</v>
      </c>
      <c r="E1324">
        <v>10.62</v>
      </c>
      <c r="F1324">
        <v>10.74</v>
      </c>
      <c r="G1324">
        <v>33526</v>
      </c>
      <c r="H1324">
        <v>35900728</v>
      </c>
      <c r="I1324">
        <v>1.08</v>
      </c>
      <c r="J1324" t="s">
        <v>421</v>
      </c>
      <c r="K1324" t="s">
        <v>238</v>
      </c>
      <c r="L1324">
        <v>-0.74</v>
      </c>
      <c r="M1324">
        <v>10.71</v>
      </c>
      <c r="N1324">
        <v>20046</v>
      </c>
      <c r="O1324">
        <v>13480</v>
      </c>
      <c r="P1324">
        <v>1.49</v>
      </c>
      <c r="Q1324">
        <v>91</v>
      </c>
      <c r="R1324">
        <v>28</v>
      </c>
      <c r="S1324" t="s">
        <v>3</v>
      </c>
      <c r="T1324">
        <v>12796.33</v>
      </c>
      <c r="U1324" t="s">
        <v>3157</v>
      </c>
      <c r="V1324" t="s">
        <v>1760</v>
      </c>
      <c r="W1324">
        <v>-0.57999999999999996</v>
      </c>
    </row>
    <row r="1325" spans="1:23">
      <c r="A1325" t="str">
        <f>"300139"</f>
        <v>300139</v>
      </c>
      <c r="B1325" t="s">
        <v>3603</v>
      </c>
      <c r="C1325">
        <v>45.9</v>
      </c>
      <c r="D1325">
        <v>47.47</v>
      </c>
      <c r="E1325">
        <v>45.45</v>
      </c>
      <c r="F1325">
        <v>47.22</v>
      </c>
      <c r="G1325">
        <v>16316</v>
      </c>
      <c r="H1325">
        <v>76111968</v>
      </c>
      <c r="I1325">
        <v>0.94</v>
      </c>
      <c r="J1325" t="s">
        <v>62</v>
      </c>
      <c r="K1325" t="s">
        <v>34</v>
      </c>
      <c r="L1325">
        <v>2.99</v>
      </c>
      <c r="M1325">
        <v>46.65</v>
      </c>
      <c r="N1325">
        <v>7655</v>
      </c>
      <c r="O1325">
        <v>8661</v>
      </c>
      <c r="P1325">
        <v>0.88</v>
      </c>
      <c r="Q1325">
        <v>10</v>
      </c>
      <c r="R1325">
        <v>6</v>
      </c>
      <c r="S1325" t="s">
        <v>3</v>
      </c>
      <c r="T1325">
        <v>8454.41</v>
      </c>
      <c r="U1325" t="s">
        <v>3604</v>
      </c>
      <c r="V1325" t="s">
        <v>3605</v>
      </c>
      <c r="W1325">
        <v>3.15</v>
      </c>
    </row>
    <row r="1326" spans="1:23">
      <c r="A1326" t="str">
        <f>"300140"</f>
        <v>300140</v>
      </c>
      <c r="B1326" t="s">
        <v>3606</v>
      </c>
      <c r="C1326">
        <v>19</v>
      </c>
      <c r="D1326">
        <v>19.28</v>
      </c>
      <c r="E1326">
        <v>18.88</v>
      </c>
      <c r="F1326">
        <v>19.07</v>
      </c>
      <c r="G1326">
        <v>32724</v>
      </c>
      <c r="H1326">
        <v>62617320</v>
      </c>
      <c r="I1326">
        <v>0.94</v>
      </c>
      <c r="J1326" t="s">
        <v>145</v>
      </c>
      <c r="K1326" t="s">
        <v>389</v>
      </c>
      <c r="L1326">
        <v>0.37</v>
      </c>
      <c r="M1326">
        <v>19.13</v>
      </c>
      <c r="N1326">
        <v>16403</v>
      </c>
      <c r="O1326">
        <v>16321</v>
      </c>
      <c r="P1326">
        <v>1.01</v>
      </c>
      <c r="Q1326">
        <v>18</v>
      </c>
      <c r="R1326">
        <v>45</v>
      </c>
      <c r="S1326" t="s">
        <v>3</v>
      </c>
      <c r="T1326">
        <v>11534.82</v>
      </c>
      <c r="U1326" t="s">
        <v>3524</v>
      </c>
      <c r="V1326" t="s">
        <v>3607</v>
      </c>
      <c r="W1326">
        <v>0.53</v>
      </c>
    </row>
    <row r="1327" spans="1:23">
      <c r="A1327" t="str">
        <f>"300141"</f>
        <v>300141</v>
      </c>
      <c r="B1327" t="s">
        <v>3608</v>
      </c>
      <c r="C1327">
        <v>17.02</v>
      </c>
      <c r="D1327">
        <v>17.12</v>
      </c>
      <c r="E1327">
        <v>16.649999999999999</v>
      </c>
      <c r="F1327">
        <v>16.940000000000001</v>
      </c>
      <c r="G1327">
        <v>22385</v>
      </c>
      <c r="H1327">
        <v>37712108</v>
      </c>
      <c r="I1327">
        <v>0.72</v>
      </c>
      <c r="J1327" t="s">
        <v>145</v>
      </c>
      <c r="K1327" t="s">
        <v>244</v>
      </c>
      <c r="L1327">
        <v>-0.88</v>
      </c>
      <c r="M1327">
        <v>16.850000000000001</v>
      </c>
      <c r="N1327">
        <v>13618</v>
      </c>
      <c r="O1327">
        <v>8767</v>
      </c>
      <c r="P1327">
        <v>1.55</v>
      </c>
      <c r="Q1327">
        <v>175</v>
      </c>
      <c r="R1327">
        <v>275</v>
      </c>
      <c r="S1327" t="s">
        <v>3</v>
      </c>
      <c r="T1327">
        <v>10573.96</v>
      </c>
      <c r="U1327" t="s">
        <v>3609</v>
      </c>
      <c r="V1327" t="s">
        <v>3610</v>
      </c>
      <c r="W1327">
        <v>-0.72</v>
      </c>
    </row>
    <row r="1328" spans="1:23">
      <c r="A1328" t="str">
        <f>"300142"</f>
        <v>300142</v>
      </c>
      <c r="B1328" t="s">
        <v>3611</v>
      </c>
      <c r="C1328">
        <v>41.49</v>
      </c>
      <c r="D1328">
        <v>43.1</v>
      </c>
      <c r="E1328">
        <v>41.2</v>
      </c>
      <c r="F1328">
        <v>42.75</v>
      </c>
      <c r="G1328">
        <v>15812</v>
      </c>
      <c r="H1328">
        <v>67634752</v>
      </c>
      <c r="I1328">
        <v>0.88</v>
      </c>
      <c r="J1328" t="s">
        <v>11</v>
      </c>
      <c r="K1328" t="s">
        <v>445</v>
      </c>
      <c r="L1328">
        <v>3.04</v>
      </c>
      <c r="M1328">
        <v>42.77</v>
      </c>
      <c r="N1328">
        <v>6170</v>
      </c>
      <c r="O1328">
        <v>9641</v>
      </c>
      <c r="P1328">
        <v>0.64</v>
      </c>
      <c r="Q1328">
        <v>14</v>
      </c>
      <c r="R1328">
        <v>91</v>
      </c>
      <c r="S1328" t="s">
        <v>3</v>
      </c>
      <c r="T1328">
        <v>16605.849999999999</v>
      </c>
      <c r="U1328" t="s">
        <v>3612</v>
      </c>
      <c r="V1328" t="s">
        <v>3613</v>
      </c>
      <c r="W1328">
        <v>3.2</v>
      </c>
    </row>
    <row r="1329" spans="1:23">
      <c r="A1329" t="str">
        <f>"300143"</f>
        <v>300143</v>
      </c>
      <c r="B1329" t="s">
        <v>3614</v>
      </c>
      <c r="C1329">
        <v>12.95</v>
      </c>
      <c r="D1329">
        <v>13.49</v>
      </c>
      <c r="E1329">
        <v>12.95</v>
      </c>
      <c r="F1329">
        <v>13.33</v>
      </c>
      <c r="G1329">
        <v>61453</v>
      </c>
      <c r="H1329">
        <v>81111800</v>
      </c>
      <c r="I1329">
        <v>0.97</v>
      </c>
      <c r="J1329" t="s">
        <v>829</v>
      </c>
      <c r="K1329" t="s">
        <v>211</v>
      </c>
      <c r="L1329">
        <v>4.22</v>
      </c>
      <c r="M1329">
        <v>13.2</v>
      </c>
      <c r="N1329">
        <v>27802</v>
      </c>
      <c r="O1329">
        <v>33650</v>
      </c>
      <c r="P1329">
        <v>0.83</v>
      </c>
      <c r="Q1329">
        <v>109</v>
      </c>
      <c r="R1329">
        <v>757</v>
      </c>
      <c r="S1329" t="s">
        <v>3</v>
      </c>
      <c r="T1329">
        <v>10587.91</v>
      </c>
      <c r="U1329" t="s">
        <v>3615</v>
      </c>
      <c r="V1329" t="s">
        <v>806</v>
      </c>
      <c r="W1329">
        <v>4.38</v>
      </c>
    </row>
    <row r="1330" spans="1:23">
      <c r="A1330" t="str">
        <f>"300144"</f>
        <v>300144</v>
      </c>
      <c r="B1330" t="s">
        <v>3616</v>
      </c>
      <c r="C1330">
        <v>25.61</v>
      </c>
      <c r="D1330">
        <v>25.77</v>
      </c>
      <c r="E1330">
        <v>24.9</v>
      </c>
      <c r="F1330">
        <v>25.26</v>
      </c>
      <c r="G1330">
        <v>33407</v>
      </c>
      <c r="H1330">
        <v>84205456</v>
      </c>
      <c r="I1330">
        <v>1.35</v>
      </c>
      <c r="J1330" t="s">
        <v>185</v>
      </c>
      <c r="K1330" t="s">
        <v>229</v>
      </c>
      <c r="L1330">
        <v>-1.79</v>
      </c>
      <c r="M1330">
        <v>25.21</v>
      </c>
      <c r="N1330">
        <v>19470</v>
      </c>
      <c r="O1330">
        <v>13936</v>
      </c>
      <c r="P1330">
        <v>1.4</v>
      </c>
      <c r="Q1330">
        <v>43</v>
      </c>
      <c r="R1330">
        <v>441</v>
      </c>
      <c r="S1330" t="s">
        <v>3</v>
      </c>
      <c r="T1330">
        <v>19553.75</v>
      </c>
      <c r="U1330" t="s">
        <v>3617</v>
      </c>
      <c r="V1330" t="s">
        <v>3618</v>
      </c>
      <c r="W1330">
        <v>-1.63</v>
      </c>
    </row>
    <row r="1331" spans="1:23">
      <c r="A1331" t="str">
        <f>"300145"</f>
        <v>300145</v>
      </c>
      <c r="B1331" t="s">
        <v>3619</v>
      </c>
      <c r="C1331">
        <v>20.55</v>
      </c>
      <c r="D1331">
        <v>20.7</v>
      </c>
      <c r="E1331">
        <v>20.399999999999999</v>
      </c>
      <c r="F1331">
        <v>20.68</v>
      </c>
      <c r="G1331">
        <v>8376</v>
      </c>
      <c r="H1331">
        <v>17231506</v>
      </c>
      <c r="I1331">
        <v>0.67</v>
      </c>
      <c r="J1331" t="s">
        <v>269</v>
      </c>
      <c r="K1331" t="s">
        <v>229</v>
      </c>
      <c r="L1331">
        <v>0.63</v>
      </c>
      <c r="M1331">
        <v>20.57</v>
      </c>
      <c r="N1331">
        <v>3908</v>
      </c>
      <c r="O1331">
        <v>4468</v>
      </c>
      <c r="P1331">
        <v>0.87</v>
      </c>
      <c r="Q1331">
        <v>3</v>
      </c>
      <c r="R1331">
        <v>68</v>
      </c>
      <c r="S1331" t="s">
        <v>3</v>
      </c>
      <c r="T1331">
        <v>17417</v>
      </c>
      <c r="U1331" t="s">
        <v>3620</v>
      </c>
      <c r="V1331" t="s">
        <v>3621</v>
      </c>
      <c r="W1331">
        <v>0.79</v>
      </c>
    </row>
    <row r="1332" spans="1:23">
      <c r="A1332" t="str">
        <f>"300146"</f>
        <v>300146</v>
      </c>
      <c r="B1332" t="s">
        <v>3622</v>
      </c>
      <c r="C1332">
        <v>29.01</v>
      </c>
      <c r="D1332">
        <v>29.2</v>
      </c>
      <c r="E1332">
        <v>28.8</v>
      </c>
      <c r="F1332">
        <v>29.06</v>
      </c>
      <c r="G1332">
        <v>33576</v>
      </c>
      <c r="H1332">
        <v>97314920</v>
      </c>
      <c r="I1332">
        <v>0.63</v>
      </c>
      <c r="J1332" t="s">
        <v>421</v>
      </c>
      <c r="K1332" t="s">
        <v>211</v>
      </c>
      <c r="L1332">
        <v>0.24</v>
      </c>
      <c r="M1332">
        <v>28.98</v>
      </c>
      <c r="N1332">
        <v>17835</v>
      </c>
      <c r="O1332">
        <v>15741</v>
      </c>
      <c r="P1332">
        <v>1.1299999999999999</v>
      </c>
      <c r="Q1332">
        <v>74</v>
      </c>
      <c r="R1332">
        <v>44</v>
      </c>
      <c r="S1332" t="s">
        <v>3</v>
      </c>
      <c r="T1332">
        <v>32890.050000000003</v>
      </c>
      <c r="U1332" t="s">
        <v>3623</v>
      </c>
      <c r="V1332" t="s">
        <v>3624</v>
      </c>
      <c r="W1332">
        <v>0.4</v>
      </c>
    </row>
    <row r="1333" spans="1:23">
      <c r="A1333" t="str">
        <f>"300147"</f>
        <v>300147</v>
      </c>
      <c r="B1333" t="s">
        <v>3625</v>
      </c>
      <c r="C1333">
        <v>19.95</v>
      </c>
      <c r="D1333">
        <v>20.12</v>
      </c>
      <c r="E1333">
        <v>19.78</v>
      </c>
      <c r="F1333">
        <v>20.02</v>
      </c>
      <c r="G1333">
        <v>35805</v>
      </c>
      <c r="H1333">
        <v>71504352</v>
      </c>
      <c r="I1333">
        <v>0.86</v>
      </c>
      <c r="J1333" t="s">
        <v>11</v>
      </c>
      <c r="K1333" t="s">
        <v>211</v>
      </c>
      <c r="L1333">
        <v>0.45</v>
      </c>
      <c r="M1333">
        <v>19.97</v>
      </c>
      <c r="N1333">
        <v>18586</v>
      </c>
      <c r="O1333">
        <v>17218</v>
      </c>
      <c r="P1333">
        <v>1.08</v>
      </c>
      <c r="Q1333">
        <v>278</v>
      </c>
      <c r="R1333">
        <v>64</v>
      </c>
      <c r="S1333" t="s">
        <v>3</v>
      </c>
      <c r="T1333">
        <v>50806.1</v>
      </c>
      <c r="U1333" t="s">
        <v>3626</v>
      </c>
      <c r="V1333" t="s">
        <v>3627</v>
      </c>
      <c r="W1333">
        <v>0.61</v>
      </c>
    </row>
    <row r="1334" spans="1:23">
      <c r="A1334" t="str">
        <f>"300148"</f>
        <v>300148</v>
      </c>
      <c r="B1334" t="s">
        <v>3628</v>
      </c>
      <c r="C1334">
        <v>21.9</v>
      </c>
      <c r="D1334">
        <v>22.35</v>
      </c>
      <c r="E1334">
        <v>21.59</v>
      </c>
      <c r="F1334">
        <v>21.96</v>
      </c>
      <c r="G1334">
        <v>50609</v>
      </c>
      <c r="H1334">
        <v>111538264</v>
      </c>
      <c r="I1334">
        <v>0.75</v>
      </c>
      <c r="J1334" t="s">
        <v>360</v>
      </c>
      <c r="K1334" t="s">
        <v>234</v>
      </c>
      <c r="L1334">
        <v>0.73</v>
      </c>
      <c r="M1334">
        <v>22.04</v>
      </c>
      <c r="N1334">
        <v>26063</v>
      </c>
      <c r="O1334">
        <v>24546</v>
      </c>
      <c r="P1334">
        <v>1.06</v>
      </c>
      <c r="Q1334">
        <v>767</v>
      </c>
      <c r="R1334">
        <v>242</v>
      </c>
      <c r="S1334" t="s">
        <v>3</v>
      </c>
      <c r="T1334">
        <v>22698.09</v>
      </c>
      <c r="U1334" t="s">
        <v>439</v>
      </c>
      <c r="V1334" t="s">
        <v>3629</v>
      </c>
      <c r="W1334">
        <v>0.89</v>
      </c>
    </row>
    <row r="1335" spans="1:23">
      <c r="A1335" t="str">
        <f>"300149"</f>
        <v>300149</v>
      </c>
      <c r="B1335" t="s">
        <v>3630</v>
      </c>
      <c r="C1335">
        <v>8.52</v>
      </c>
      <c r="D1335">
        <v>8.69</v>
      </c>
      <c r="E1335">
        <v>8.36</v>
      </c>
      <c r="F1335">
        <v>8.61</v>
      </c>
      <c r="G1335">
        <v>118601</v>
      </c>
      <c r="H1335">
        <v>101235776</v>
      </c>
      <c r="I1335">
        <v>0.85</v>
      </c>
      <c r="J1335" t="s">
        <v>421</v>
      </c>
      <c r="K1335" t="s">
        <v>211</v>
      </c>
      <c r="L1335">
        <v>0.82</v>
      </c>
      <c r="M1335">
        <v>8.5399999999999991</v>
      </c>
      <c r="N1335">
        <v>61347</v>
      </c>
      <c r="O1335">
        <v>57253</v>
      </c>
      <c r="P1335">
        <v>1.07</v>
      </c>
      <c r="Q1335">
        <v>691</v>
      </c>
      <c r="R1335">
        <v>66</v>
      </c>
      <c r="S1335" t="s">
        <v>3</v>
      </c>
      <c r="T1335">
        <v>17693.21</v>
      </c>
      <c r="U1335" t="s">
        <v>3631</v>
      </c>
      <c r="V1335" t="s">
        <v>890</v>
      </c>
      <c r="W1335">
        <v>0.98</v>
      </c>
    </row>
    <row r="1336" spans="1:23">
      <c r="A1336" t="str">
        <f>"300150"</f>
        <v>300150</v>
      </c>
      <c r="B1336" t="s">
        <v>3632</v>
      </c>
      <c r="C1336">
        <v>17.55</v>
      </c>
      <c r="D1336">
        <v>17.63</v>
      </c>
      <c r="E1336">
        <v>17.12</v>
      </c>
      <c r="F1336">
        <v>17.600000000000001</v>
      </c>
      <c r="G1336">
        <v>43029</v>
      </c>
      <c r="H1336">
        <v>75021576</v>
      </c>
      <c r="I1336">
        <v>1.18</v>
      </c>
      <c r="J1336" t="s">
        <v>758</v>
      </c>
      <c r="K1336" t="s">
        <v>34</v>
      </c>
      <c r="L1336">
        <v>0.51</v>
      </c>
      <c r="M1336">
        <v>17.43</v>
      </c>
      <c r="N1336">
        <v>21449</v>
      </c>
      <c r="O1336">
        <v>21580</v>
      </c>
      <c r="P1336">
        <v>0.99</v>
      </c>
      <c r="Q1336">
        <v>52</v>
      </c>
      <c r="R1336">
        <v>132</v>
      </c>
      <c r="S1336" t="s">
        <v>3</v>
      </c>
      <c r="T1336">
        <v>17886.41</v>
      </c>
      <c r="U1336" t="s">
        <v>3633</v>
      </c>
      <c r="V1336" t="s">
        <v>3634</v>
      </c>
      <c r="W1336">
        <v>0.67</v>
      </c>
    </row>
    <row r="1337" spans="1:23">
      <c r="A1337" t="str">
        <f>"300151"</f>
        <v>300151</v>
      </c>
      <c r="B1337" t="s">
        <v>3635</v>
      </c>
      <c r="C1337">
        <v>17.399999999999999</v>
      </c>
      <c r="D1337">
        <v>17.420000000000002</v>
      </c>
      <c r="E1337">
        <v>16.78</v>
      </c>
      <c r="F1337">
        <v>17.059999999999999</v>
      </c>
      <c r="G1337">
        <v>44094</v>
      </c>
      <c r="H1337">
        <v>75067720</v>
      </c>
      <c r="I1337">
        <v>1.03</v>
      </c>
      <c r="J1337" t="s">
        <v>398</v>
      </c>
      <c r="K1337" t="s">
        <v>2</v>
      </c>
      <c r="L1337">
        <v>-2.5099999999999998</v>
      </c>
      <c r="M1337">
        <v>17.02</v>
      </c>
      <c r="N1337">
        <v>24547</v>
      </c>
      <c r="O1337">
        <v>19547</v>
      </c>
      <c r="P1337">
        <v>1.26</v>
      </c>
      <c r="Q1337">
        <v>86</v>
      </c>
      <c r="R1337">
        <v>4</v>
      </c>
      <c r="S1337" t="s">
        <v>3</v>
      </c>
      <c r="T1337">
        <v>10632.58</v>
      </c>
      <c r="U1337" t="s">
        <v>3636</v>
      </c>
      <c r="V1337" t="s">
        <v>1843</v>
      </c>
      <c r="W1337">
        <v>-2.36</v>
      </c>
    </row>
    <row r="1338" spans="1:23">
      <c r="A1338" t="str">
        <f>"300152"</f>
        <v>300152</v>
      </c>
      <c r="B1338" t="s">
        <v>3637</v>
      </c>
      <c r="C1338">
        <v>13.28</v>
      </c>
      <c r="D1338">
        <v>13.54</v>
      </c>
      <c r="E1338">
        <v>13.18</v>
      </c>
      <c r="F1338">
        <v>13.21</v>
      </c>
      <c r="G1338">
        <v>105664</v>
      </c>
      <c r="H1338">
        <v>141175616</v>
      </c>
      <c r="I1338">
        <v>0.8</v>
      </c>
      <c r="J1338" t="s">
        <v>269</v>
      </c>
      <c r="K1338" t="s">
        <v>244</v>
      </c>
      <c r="L1338">
        <v>-0.53</v>
      </c>
      <c r="M1338">
        <v>13.36</v>
      </c>
      <c r="N1338">
        <v>60111</v>
      </c>
      <c r="O1338">
        <v>45552</v>
      </c>
      <c r="P1338">
        <v>1.32</v>
      </c>
      <c r="Q1338">
        <v>367</v>
      </c>
      <c r="R1338">
        <v>90</v>
      </c>
      <c r="S1338" t="s">
        <v>3</v>
      </c>
      <c r="T1338">
        <v>23760</v>
      </c>
      <c r="U1338" t="s">
        <v>3638</v>
      </c>
      <c r="V1338" t="s">
        <v>3638</v>
      </c>
      <c r="W1338">
        <v>-0.37</v>
      </c>
    </row>
    <row r="1339" spans="1:23">
      <c r="A1339" t="str">
        <f>"300153"</f>
        <v>300153</v>
      </c>
      <c r="B1339" t="s">
        <v>3639</v>
      </c>
      <c r="C1339">
        <v>15.29</v>
      </c>
      <c r="D1339">
        <v>16.7</v>
      </c>
      <c r="E1339">
        <v>14.71</v>
      </c>
      <c r="F1339">
        <v>15.25</v>
      </c>
      <c r="G1339">
        <v>52651</v>
      </c>
      <c r="H1339">
        <v>82334368</v>
      </c>
      <c r="I1339">
        <v>1.73</v>
      </c>
      <c r="J1339" t="s">
        <v>145</v>
      </c>
      <c r="K1339" t="s">
        <v>727</v>
      </c>
      <c r="L1339">
        <v>0.33</v>
      </c>
      <c r="M1339">
        <v>15.64</v>
      </c>
      <c r="N1339">
        <v>26778</v>
      </c>
      <c r="O1339">
        <v>25873</v>
      </c>
      <c r="P1339">
        <v>1.03</v>
      </c>
      <c r="Q1339">
        <v>140</v>
      </c>
      <c r="R1339">
        <v>24</v>
      </c>
      <c r="S1339" t="s">
        <v>3</v>
      </c>
      <c r="T1339">
        <v>15983.5</v>
      </c>
      <c r="U1339" t="s">
        <v>3640</v>
      </c>
      <c r="V1339" t="s">
        <v>3368</v>
      </c>
      <c r="W1339">
        <v>0.49</v>
      </c>
    </row>
    <row r="1340" spans="1:23">
      <c r="A1340" t="str">
        <f>"300154"</f>
        <v>300154</v>
      </c>
      <c r="B1340" t="s">
        <v>3641</v>
      </c>
      <c r="C1340">
        <v>15.28</v>
      </c>
      <c r="D1340">
        <v>15.63</v>
      </c>
      <c r="E1340">
        <v>15.24</v>
      </c>
      <c r="F1340">
        <v>15.44</v>
      </c>
      <c r="G1340">
        <v>35259</v>
      </c>
      <c r="H1340">
        <v>54522596</v>
      </c>
      <c r="I1340">
        <v>1.07</v>
      </c>
      <c r="J1340" t="s">
        <v>62</v>
      </c>
      <c r="K1340" t="s">
        <v>2</v>
      </c>
      <c r="L1340">
        <v>1.65</v>
      </c>
      <c r="M1340">
        <v>15.46</v>
      </c>
      <c r="N1340">
        <v>14622</v>
      </c>
      <c r="O1340">
        <v>20637</v>
      </c>
      <c r="P1340">
        <v>0.71</v>
      </c>
      <c r="Q1340">
        <v>101</v>
      </c>
      <c r="R1340">
        <v>82</v>
      </c>
      <c r="S1340" t="s">
        <v>3</v>
      </c>
      <c r="T1340">
        <v>15570.3</v>
      </c>
      <c r="U1340" t="s">
        <v>2939</v>
      </c>
      <c r="V1340" t="s">
        <v>3642</v>
      </c>
      <c r="W1340">
        <v>1.8</v>
      </c>
    </row>
    <row r="1341" spans="1:23">
      <c r="A1341" t="str">
        <f>"300155"</f>
        <v>300155</v>
      </c>
      <c r="B1341" t="s">
        <v>3643</v>
      </c>
      <c r="C1341">
        <v>15.3</v>
      </c>
      <c r="D1341">
        <v>15.92</v>
      </c>
      <c r="E1341">
        <v>15.26</v>
      </c>
      <c r="F1341">
        <v>15.69</v>
      </c>
      <c r="G1341">
        <v>64231</v>
      </c>
      <c r="H1341">
        <v>99432336</v>
      </c>
      <c r="I1341">
        <v>0.88</v>
      </c>
      <c r="J1341" t="s">
        <v>62</v>
      </c>
      <c r="K1341" t="s">
        <v>211</v>
      </c>
      <c r="L1341">
        <v>2.75</v>
      </c>
      <c r="M1341">
        <v>15.48</v>
      </c>
      <c r="N1341">
        <v>30190</v>
      </c>
      <c r="O1341">
        <v>34040</v>
      </c>
      <c r="P1341">
        <v>0.89</v>
      </c>
      <c r="Q1341">
        <v>162</v>
      </c>
      <c r="R1341">
        <v>60</v>
      </c>
      <c r="S1341" t="s">
        <v>3</v>
      </c>
      <c r="T1341">
        <v>17771.72</v>
      </c>
      <c r="U1341" t="s">
        <v>3644</v>
      </c>
      <c r="V1341" t="s">
        <v>3645</v>
      </c>
      <c r="W1341">
        <v>2.91</v>
      </c>
    </row>
    <row r="1342" spans="1:23">
      <c r="A1342" t="str">
        <f>"300156"</f>
        <v>300156</v>
      </c>
      <c r="B1342" t="s">
        <v>3646</v>
      </c>
      <c r="C1342">
        <v>21.16</v>
      </c>
      <c r="D1342">
        <v>21.16</v>
      </c>
      <c r="E1342">
        <v>20.079999999999998</v>
      </c>
      <c r="F1342">
        <v>20.190000000000001</v>
      </c>
      <c r="G1342">
        <v>89514</v>
      </c>
      <c r="H1342">
        <v>182833360</v>
      </c>
      <c r="I1342">
        <v>1.64</v>
      </c>
      <c r="J1342" t="s">
        <v>462</v>
      </c>
      <c r="K1342" t="s">
        <v>34</v>
      </c>
      <c r="L1342">
        <v>-4.13</v>
      </c>
      <c r="M1342">
        <v>20.43</v>
      </c>
      <c r="N1342">
        <v>52892</v>
      </c>
      <c r="O1342">
        <v>36621</v>
      </c>
      <c r="P1342">
        <v>1.44</v>
      </c>
      <c r="Q1342">
        <v>324</v>
      </c>
      <c r="R1342">
        <v>1711</v>
      </c>
      <c r="S1342" t="s">
        <v>3</v>
      </c>
      <c r="T1342">
        <v>23367.39</v>
      </c>
      <c r="U1342" t="s">
        <v>3647</v>
      </c>
      <c r="V1342" t="s">
        <v>1799</v>
      </c>
      <c r="W1342">
        <v>-3.97</v>
      </c>
    </row>
    <row r="1343" spans="1:23">
      <c r="A1343" t="str">
        <f>"300157"</f>
        <v>300157</v>
      </c>
      <c r="B1343" t="s">
        <v>3648</v>
      </c>
      <c r="C1343" t="s">
        <v>3</v>
      </c>
      <c r="D1343" t="s">
        <v>3</v>
      </c>
      <c r="E1343" t="s">
        <v>3</v>
      </c>
      <c r="F1343">
        <v>0</v>
      </c>
      <c r="G1343">
        <v>0</v>
      </c>
      <c r="H1343">
        <v>0</v>
      </c>
      <c r="I1343">
        <v>0</v>
      </c>
      <c r="J1343" t="s">
        <v>1924</v>
      </c>
      <c r="K1343" t="s">
        <v>34</v>
      </c>
      <c r="L1343" t="s">
        <v>3</v>
      </c>
      <c r="M1343">
        <v>14.8</v>
      </c>
      <c r="N1343">
        <v>0</v>
      </c>
      <c r="O1343">
        <v>0</v>
      </c>
      <c r="P1343" t="s">
        <v>3</v>
      </c>
      <c r="Q1343">
        <v>0</v>
      </c>
      <c r="R1343">
        <v>0</v>
      </c>
      <c r="S1343" t="s">
        <v>3</v>
      </c>
      <c r="T1343">
        <v>41462.800000000003</v>
      </c>
      <c r="U1343" t="s">
        <v>3649</v>
      </c>
      <c r="V1343" t="s">
        <v>3650</v>
      </c>
      <c r="W1343">
        <v>0.16</v>
      </c>
    </row>
    <row r="1344" spans="1:23">
      <c r="A1344" t="str">
        <f>"300158"</f>
        <v>300158</v>
      </c>
      <c r="B1344" t="s">
        <v>3651</v>
      </c>
      <c r="C1344">
        <v>15.35</v>
      </c>
      <c r="D1344">
        <v>15.83</v>
      </c>
      <c r="E1344">
        <v>15.15</v>
      </c>
      <c r="F1344">
        <v>15.57</v>
      </c>
      <c r="G1344">
        <v>41071</v>
      </c>
      <c r="H1344">
        <v>63438632</v>
      </c>
      <c r="I1344">
        <v>1.69</v>
      </c>
      <c r="J1344" t="s">
        <v>321</v>
      </c>
      <c r="K1344" t="s">
        <v>742</v>
      </c>
      <c r="L1344">
        <v>1.43</v>
      </c>
      <c r="M1344">
        <v>15.45</v>
      </c>
      <c r="N1344">
        <v>20790</v>
      </c>
      <c r="O1344">
        <v>20281</v>
      </c>
      <c r="P1344">
        <v>1.03</v>
      </c>
      <c r="Q1344">
        <v>34</v>
      </c>
      <c r="R1344">
        <v>109</v>
      </c>
      <c r="S1344" t="s">
        <v>3</v>
      </c>
      <c r="T1344">
        <v>11565.83</v>
      </c>
      <c r="U1344" t="s">
        <v>2588</v>
      </c>
      <c r="V1344" t="s">
        <v>3652</v>
      </c>
      <c r="W1344">
        <v>1.59</v>
      </c>
    </row>
    <row r="1345" spans="1:23">
      <c r="A1345" t="str">
        <f>"300159"</f>
        <v>300159</v>
      </c>
      <c r="B1345" t="s">
        <v>3653</v>
      </c>
      <c r="C1345">
        <v>9.01</v>
      </c>
      <c r="D1345">
        <v>9.0299999999999994</v>
      </c>
      <c r="E1345">
        <v>8.89</v>
      </c>
      <c r="F1345">
        <v>9</v>
      </c>
      <c r="G1345">
        <v>70821</v>
      </c>
      <c r="H1345">
        <v>63497608</v>
      </c>
      <c r="I1345">
        <v>0.86</v>
      </c>
      <c r="J1345" t="s">
        <v>535</v>
      </c>
      <c r="K1345" t="s">
        <v>241</v>
      </c>
      <c r="L1345">
        <v>-0.33</v>
      </c>
      <c r="M1345">
        <v>8.9700000000000006</v>
      </c>
      <c r="N1345">
        <v>45564</v>
      </c>
      <c r="O1345">
        <v>25257</v>
      </c>
      <c r="P1345">
        <v>1.8</v>
      </c>
      <c r="Q1345">
        <v>193</v>
      </c>
      <c r="R1345">
        <v>159</v>
      </c>
      <c r="S1345" t="s">
        <v>3</v>
      </c>
      <c r="T1345">
        <v>28153.14</v>
      </c>
      <c r="U1345" t="s">
        <v>3654</v>
      </c>
      <c r="V1345" t="s">
        <v>3655</v>
      </c>
      <c r="W1345">
        <v>-0.17</v>
      </c>
    </row>
    <row r="1346" spans="1:23">
      <c r="A1346" t="str">
        <f>"300160"</f>
        <v>300160</v>
      </c>
      <c r="B1346" t="s">
        <v>3656</v>
      </c>
      <c r="C1346">
        <v>12.2</v>
      </c>
      <c r="D1346">
        <v>12.39</v>
      </c>
      <c r="E1346">
        <v>11.76</v>
      </c>
      <c r="F1346">
        <v>12.39</v>
      </c>
      <c r="G1346">
        <v>77770</v>
      </c>
      <c r="H1346">
        <v>94087264</v>
      </c>
      <c r="I1346">
        <v>1.55</v>
      </c>
      <c r="J1346" t="s">
        <v>41</v>
      </c>
      <c r="K1346" t="s">
        <v>244</v>
      </c>
      <c r="L1346">
        <v>10.039999999999999</v>
      </c>
      <c r="M1346">
        <v>12.1</v>
      </c>
      <c r="N1346">
        <v>40532</v>
      </c>
      <c r="O1346">
        <v>37237</v>
      </c>
      <c r="P1346">
        <v>1.0900000000000001</v>
      </c>
      <c r="Q1346">
        <v>11602</v>
      </c>
      <c r="R1346">
        <v>0</v>
      </c>
      <c r="S1346" t="s">
        <v>3</v>
      </c>
      <c r="T1346">
        <v>18680</v>
      </c>
      <c r="U1346" t="s">
        <v>3380</v>
      </c>
      <c r="V1346" t="s">
        <v>3380</v>
      </c>
      <c r="W1346">
        <v>10.19</v>
      </c>
    </row>
    <row r="1347" spans="1:23">
      <c r="A1347" t="str">
        <f>"300161"</f>
        <v>300161</v>
      </c>
      <c r="B1347" t="s">
        <v>3657</v>
      </c>
      <c r="C1347" t="s">
        <v>3</v>
      </c>
      <c r="D1347" t="s">
        <v>3</v>
      </c>
      <c r="E1347" t="s">
        <v>3</v>
      </c>
      <c r="F1347">
        <v>0</v>
      </c>
      <c r="G1347">
        <v>0</v>
      </c>
      <c r="H1347">
        <v>0</v>
      </c>
      <c r="I1347">
        <v>0</v>
      </c>
      <c r="J1347" t="s">
        <v>283</v>
      </c>
      <c r="K1347" t="s">
        <v>317</v>
      </c>
      <c r="L1347" t="s">
        <v>3</v>
      </c>
      <c r="M1347">
        <v>12.3</v>
      </c>
      <c r="N1347">
        <v>0</v>
      </c>
      <c r="O1347">
        <v>0</v>
      </c>
      <c r="P1347" t="s">
        <v>3</v>
      </c>
      <c r="Q1347">
        <v>0</v>
      </c>
      <c r="R1347">
        <v>0</v>
      </c>
      <c r="S1347" t="s">
        <v>3</v>
      </c>
      <c r="T1347">
        <v>15379.38</v>
      </c>
      <c r="U1347" t="s">
        <v>3658</v>
      </c>
      <c r="V1347" t="s">
        <v>2146</v>
      </c>
      <c r="W1347">
        <v>0.16</v>
      </c>
    </row>
    <row r="1348" spans="1:23">
      <c r="A1348" t="str">
        <f>"300162"</f>
        <v>300162</v>
      </c>
      <c r="B1348" t="s">
        <v>3659</v>
      </c>
      <c r="C1348">
        <v>24.87</v>
      </c>
      <c r="D1348">
        <v>25.74</v>
      </c>
      <c r="E1348">
        <v>24.16</v>
      </c>
      <c r="F1348">
        <v>25.15</v>
      </c>
      <c r="G1348">
        <v>56721</v>
      </c>
      <c r="H1348">
        <v>141715904</v>
      </c>
      <c r="I1348">
        <v>0.83</v>
      </c>
      <c r="J1348" t="s">
        <v>62</v>
      </c>
      <c r="K1348" t="s">
        <v>2</v>
      </c>
      <c r="L1348">
        <v>-0.08</v>
      </c>
      <c r="M1348">
        <v>24.98</v>
      </c>
      <c r="N1348">
        <v>28677</v>
      </c>
      <c r="O1348">
        <v>28044</v>
      </c>
      <c r="P1348">
        <v>1.02</v>
      </c>
      <c r="Q1348">
        <v>6</v>
      </c>
      <c r="R1348">
        <v>118</v>
      </c>
      <c r="S1348" t="s">
        <v>3</v>
      </c>
      <c r="T1348">
        <v>8273</v>
      </c>
      <c r="U1348" t="s">
        <v>3660</v>
      </c>
      <c r="V1348" t="s">
        <v>2342</v>
      </c>
      <c r="W1348">
        <v>0.08</v>
      </c>
    </row>
    <row r="1349" spans="1:23">
      <c r="A1349" t="str">
        <f>"300163"</f>
        <v>300163</v>
      </c>
      <c r="B1349" t="s">
        <v>3661</v>
      </c>
      <c r="C1349">
        <v>13.34</v>
      </c>
      <c r="D1349">
        <v>13.66</v>
      </c>
      <c r="E1349">
        <v>13.13</v>
      </c>
      <c r="F1349">
        <v>13.31</v>
      </c>
      <c r="G1349">
        <v>62806</v>
      </c>
      <c r="H1349">
        <v>83781544</v>
      </c>
      <c r="I1349">
        <v>1.04</v>
      </c>
      <c r="J1349" t="s">
        <v>150</v>
      </c>
      <c r="K1349" t="s">
        <v>229</v>
      </c>
      <c r="L1349">
        <v>-0.3</v>
      </c>
      <c r="M1349">
        <v>13.34</v>
      </c>
      <c r="N1349">
        <v>31270</v>
      </c>
      <c r="O1349">
        <v>31535</v>
      </c>
      <c r="P1349">
        <v>0.99</v>
      </c>
      <c r="Q1349">
        <v>367</v>
      </c>
      <c r="R1349">
        <v>3</v>
      </c>
      <c r="S1349" t="s">
        <v>3</v>
      </c>
      <c r="T1349">
        <v>9525.91</v>
      </c>
      <c r="U1349" t="s">
        <v>3662</v>
      </c>
      <c r="V1349" t="s">
        <v>3663</v>
      </c>
      <c r="W1349">
        <v>-0.14000000000000001</v>
      </c>
    </row>
    <row r="1350" spans="1:23">
      <c r="A1350" t="str">
        <f>"300164"</f>
        <v>300164</v>
      </c>
      <c r="B1350" t="s">
        <v>3664</v>
      </c>
      <c r="C1350">
        <v>13.41</v>
      </c>
      <c r="D1350">
        <v>13.41</v>
      </c>
      <c r="E1350">
        <v>13.2</v>
      </c>
      <c r="F1350">
        <v>13.34</v>
      </c>
      <c r="G1350">
        <v>34571</v>
      </c>
      <c r="H1350">
        <v>45980140</v>
      </c>
      <c r="I1350">
        <v>0.72</v>
      </c>
      <c r="J1350" t="s">
        <v>1924</v>
      </c>
      <c r="K1350" t="s">
        <v>389</v>
      </c>
      <c r="L1350">
        <v>0.08</v>
      </c>
      <c r="M1350">
        <v>13.3</v>
      </c>
      <c r="N1350">
        <v>22684</v>
      </c>
      <c r="O1350">
        <v>11886</v>
      </c>
      <c r="P1350">
        <v>1.91</v>
      </c>
      <c r="Q1350">
        <v>150</v>
      </c>
      <c r="R1350">
        <v>259</v>
      </c>
      <c r="S1350" t="s">
        <v>3</v>
      </c>
      <c r="T1350">
        <v>29976.560000000001</v>
      </c>
      <c r="U1350" t="s">
        <v>3665</v>
      </c>
      <c r="V1350" t="s">
        <v>3666</v>
      </c>
      <c r="W1350">
        <v>0.23</v>
      </c>
    </row>
    <row r="1351" spans="1:23">
      <c r="A1351" t="str">
        <f>"300165"</f>
        <v>300165</v>
      </c>
      <c r="B1351" t="s">
        <v>3667</v>
      </c>
      <c r="C1351">
        <v>24.34</v>
      </c>
      <c r="D1351">
        <v>24.59</v>
      </c>
      <c r="E1351">
        <v>23.7</v>
      </c>
      <c r="F1351">
        <v>23.72</v>
      </c>
      <c r="G1351">
        <v>98673</v>
      </c>
      <c r="H1351">
        <v>237360752</v>
      </c>
      <c r="I1351">
        <v>1.23</v>
      </c>
      <c r="J1351" t="s">
        <v>617</v>
      </c>
      <c r="K1351" t="s">
        <v>244</v>
      </c>
      <c r="L1351">
        <v>0.04</v>
      </c>
      <c r="M1351">
        <v>24.06</v>
      </c>
      <c r="N1351">
        <v>49811</v>
      </c>
      <c r="O1351">
        <v>48861</v>
      </c>
      <c r="P1351">
        <v>1.02</v>
      </c>
      <c r="Q1351">
        <v>100</v>
      </c>
      <c r="R1351">
        <v>156</v>
      </c>
      <c r="S1351" t="s">
        <v>3</v>
      </c>
      <c r="T1351">
        <v>8895.5</v>
      </c>
      <c r="U1351" t="s">
        <v>3668</v>
      </c>
      <c r="V1351" t="s">
        <v>3669</v>
      </c>
      <c r="W1351">
        <v>0.2</v>
      </c>
    </row>
    <row r="1352" spans="1:23">
      <c r="A1352" t="str">
        <f>"300166"</f>
        <v>300166</v>
      </c>
      <c r="B1352" t="s">
        <v>3670</v>
      </c>
      <c r="C1352">
        <v>24.95</v>
      </c>
      <c r="D1352">
        <v>24.96</v>
      </c>
      <c r="E1352">
        <v>24.36</v>
      </c>
      <c r="F1352">
        <v>24.65</v>
      </c>
      <c r="G1352">
        <v>21565</v>
      </c>
      <c r="H1352">
        <v>53178300</v>
      </c>
      <c r="I1352">
        <v>0.53</v>
      </c>
      <c r="J1352" t="s">
        <v>758</v>
      </c>
      <c r="K1352" t="s">
        <v>34</v>
      </c>
      <c r="L1352">
        <v>-1.04</v>
      </c>
      <c r="M1352">
        <v>24.66</v>
      </c>
      <c r="N1352">
        <v>10985</v>
      </c>
      <c r="O1352">
        <v>10580</v>
      </c>
      <c r="P1352">
        <v>1.04</v>
      </c>
      <c r="Q1352">
        <v>8</v>
      </c>
      <c r="R1352">
        <v>1</v>
      </c>
      <c r="S1352" t="s">
        <v>3</v>
      </c>
      <c r="T1352">
        <v>15365.26</v>
      </c>
      <c r="U1352" t="s">
        <v>3671</v>
      </c>
      <c r="V1352" t="s">
        <v>3672</v>
      </c>
      <c r="W1352">
        <v>-0.89</v>
      </c>
    </row>
    <row r="1353" spans="1:23">
      <c r="A1353" t="str">
        <f>"300167"</f>
        <v>300167</v>
      </c>
      <c r="B1353" t="s">
        <v>3673</v>
      </c>
      <c r="C1353">
        <v>15.56</v>
      </c>
      <c r="D1353">
        <v>15.58</v>
      </c>
      <c r="E1353">
        <v>15.18</v>
      </c>
      <c r="F1353">
        <v>15.28</v>
      </c>
      <c r="G1353">
        <v>22275</v>
      </c>
      <c r="H1353">
        <v>34221120</v>
      </c>
      <c r="I1353">
        <v>0.66</v>
      </c>
      <c r="J1353" t="s">
        <v>112</v>
      </c>
      <c r="K1353" t="s">
        <v>2</v>
      </c>
      <c r="L1353">
        <v>-1.36</v>
      </c>
      <c r="M1353">
        <v>15.36</v>
      </c>
      <c r="N1353">
        <v>14117</v>
      </c>
      <c r="O1353">
        <v>8158</v>
      </c>
      <c r="P1353">
        <v>1.73</v>
      </c>
      <c r="Q1353">
        <v>233</v>
      </c>
      <c r="R1353">
        <v>33</v>
      </c>
      <c r="S1353" t="s">
        <v>3</v>
      </c>
      <c r="T1353">
        <v>14524.3</v>
      </c>
      <c r="U1353" t="s">
        <v>3674</v>
      </c>
      <c r="V1353" t="s">
        <v>3675</v>
      </c>
      <c r="W1353">
        <v>-1.2</v>
      </c>
    </row>
    <row r="1354" spans="1:23">
      <c r="A1354" t="str">
        <f>"300168"</f>
        <v>300168</v>
      </c>
      <c r="B1354" t="s">
        <v>3676</v>
      </c>
      <c r="C1354">
        <v>23.53</v>
      </c>
      <c r="D1354">
        <v>23.7</v>
      </c>
      <c r="E1354">
        <v>22.85</v>
      </c>
      <c r="F1354">
        <v>22.85</v>
      </c>
      <c r="G1354">
        <v>65746</v>
      </c>
      <c r="H1354">
        <v>152969504</v>
      </c>
      <c r="I1354">
        <v>0.87</v>
      </c>
      <c r="J1354" t="s">
        <v>758</v>
      </c>
      <c r="K1354" t="s">
        <v>727</v>
      </c>
      <c r="L1354">
        <v>-2.72</v>
      </c>
      <c r="M1354">
        <v>23.27</v>
      </c>
      <c r="N1354">
        <v>36992</v>
      </c>
      <c r="O1354">
        <v>28753</v>
      </c>
      <c r="P1354">
        <v>1.29</v>
      </c>
      <c r="Q1354">
        <v>368</v>
      </c>
      <c r="R1354">
        <v>20</v>
      </c>
      <c r="S1354" t="s">
        <v>3</v>
      </c>
      <c r="T1354">
        <v>47865.83</v>
      </c>
      <c r="U1354" t="s">
        <v>3677</v>
      </c>
      <c r="V1354" t="s">
        <v>3678</v>
      </c>
      <c r="W1354">
        <v>-2.57</v>
      </c>
    </row>
    <row r="1355" spans="1:23">
      <c r="A1355" t="str">
        <f>"300169"</f>
        <v>300169</v>
      </c>
      <c r="B1355" t="s">
        <v>3679</v>
      </c>
      <c r="C1355" t="s">
        <v>3</v>
      </c>
      <c r="D1355" t="s">
        <v>3</v>
      </c>
      <c r="E1355" t="s">
        <v>3</v>
      </c>
      <c r="F1355">
        <v>0</v>
      </c>
      <c r="G1355">
        <v>0</v>
      </c>
      <c r="H1355">
        <v>0</v>
      </c>
      <c r="I1355">
        <v>0</v>
      </c>
      <c r="J1355" t="s">
        <v>273</v>
      </c>
      <c r="K1355" t="s">
        <v>244</v>
      </c>
      <c r="L1355" t="s">
        <v>3</v>
      </c>
      <c r="M1355">
        <v>12</v>
      </c>
      <c r="N1355">
        <v>0</v>
      </c>
      <c r="O1355">
        <v>0</v>
      </c>
      <c r="P1355" t="s">
        <v>3</v>
      </c>
      <c r="Q1355">
        <v>0</v>
      </c>
      <c r="R1355">
        <v>0</v>
      </c>
      <c r="S1355" t="s">
        <v>3</v>
      </c>
      <c r="T1355">
        <v>17235.5</v>
      </c>
      <c r="U1355" t="s">
        <v>3680</v>
      </c>
      <c r="V1355" t="s">
        <v>2409</v>
      </c>
      <c r="W1355">
        <v>0.16</v>
      </c>
    </row>
    <row r="1356" spans="1:23">
      <c r="A1356" t="str">
        <f>"300170"</f>
        <v>300170</v>
      </c>
      <c r="B1356" t="s">
        <v>3681</v>
      </c>
      <c r="C1356">
        <v>13.87</v>
      </c>
      <c r="D1356">
        <v>13.95</v>
      </c>
      <c r="E1356">
        <v>13.57</v>
      </c>
      <c r="F1356">
        <v>13.83</v>
      </c>
      <c r="G1356">
        <v>115945</v>
      </c>
      <c r="H1356">
        <v>159630416</v>
      </c>
      <c r="I1356">
        <v>0.78</v>
      </c>
      <c r="J1356" t="s">
        <v>758</v>
      </c>
      <c r="K1356" t="s">
        <v>727</v>
      </c>
      <c r="L1356">
        <v>-0.57999999999999996</v>
      </c>
      <c r="M1356">
        <v>13.77</v>
      </c>
      <c r="N1356">
        <v>71434</v>
      </c>
      <c r="O1356">
        <v>44511</v>
      </c>
      <c r="P1356">
        <v>1.6</v>
      </c>
      <c r="Q1356">
        <v>36</v>
      </c>
      <c r="R1356">
        <v>485</v>
      </c>
      <c r="S1356" t="s">
        <v>3</v>
      </c>
      <c r="T1356">
        <v>39770.21</v>
      </c>
      <c r="U1356" t="s">
        <v>3682</v>
      </c>
      <c r="V1356" t="s">
        <v>3683</v>
      </c>
      <c r="W1356">
        <v>-0.42</v>
      </c>
    </row>
    <row r="1357" spans="1:23">
      <c r="A1357" t="str">
        <f>"300171"</f>
        <v>300171</v>
      </c>
      <c r="B1357" t="s">
        <v>3684</v>
      </c>
      <c r="C1357">
        <v>25.23</v>
      </c>
      <c r="D1357">
        <v>25.39</v>
      </c>
      <c r="E1357">
        <v>24.68</v>
      </c>
      <c r="F1357">
        <v>24.91</v>
      </c>
      <c r="G1357">
        <v>42398</v>
      </c>
      <c r="H1357">
        <v>105729488</v>
      </c>
      <c r="I1357">
        <v>1.18</v>
      </c>
      <c r="J1357" t="s">
        <v>1971</v>
      </c>
      <c r="K1357" t="s">
        <v>727</v>
      </c>
      <c r="L1357">
        <v>-1.27</v>
      </c>
      <c r="M1357">
        <v>24.94</v>
      </c>
      <c r="N1357">
        <v>25480</v>
      </c>
      <c r="O1357">
        <v>16917</v>
      </c>
      <c r="P1357">
        <v>1.51</v>
      </c>
      <c r="Q1357">
        <v>46</v>
      </c>
      <c r="R1357">
        <v>5</v>
      </c>
      <c r="S1357" t="s">
        <v>3</v>
      </c>
      <c r="T1357">
        <v>15713.73</v>
      </c>
      <c r="U1357" t="s">
        <v>3685</v>
      </c>
      <c r="V1357" t="s">
        <v>3686</v>
      </c>
      <c r="W1357">
        <v>-1.1100000000000001</v>
      </c>
    </row>
    <row r="1358" spans="1:23">
      <c r="A1358" t="str">
        <f>"300172"</f>
        <v>300172</v>
      </c>
      <c r="B1358" t="s">
        <v>3687</v>
      </c>
      <c r="C1358">
        <v>19.760000000000002</v>
      </c>
      <c r="D1358">
        <v>20.09</v>
      </c>
      <c r="E1358">
        <v>19.489999999999998</v>
      </c>
      <c r="F1358">
        <v>19.64</v>
      </c>
      <c r="G1358">
        <v>44087</v>
      </c>
      <c r="H1358">
        <v>87056736</v>
      </c>
      <c r="I1358">
        <v>0.95</v>
      </c>
      <c r="J1358" t="s">
        <v>462</v>
      </c>
      <c r="K1358" t="s">
        <v>244</v>
      </c>
      <c r="L1358">
        <v>-0.71</v>
      </c>
      <c r="M1358">
        <v>19.75</v>
      </c>
      <c r="N1358">
        <v>28294</v>
      </c>
      <c r="O1358">
        <v>15793</v>
      </c>
      <c r="P1358">
        <v>1.79</v>
      </c>
      <c r="Q1358">
        <v>81</v>
      </c>
      <c r="R1358">
        <v>244</v>
      </c>
      <c r="S1358" t="s">
        <v>3</v>
      </c>
      <c r="T1358">
        <v>10224.549999999999</v>
      </c>
      <c r="U1358" t="s">
        <v>3688</v>
      </c>
      <c r="V1358" t="s">
        <v>3689</v>
      </c>
      <c r="W1358">
        <v>-0.55000000000000004</v>
      </c>
    </row>
    <row r="1359" spans="1:23">
      <c r="A1359" t="str">
        <f>"300173"</f>
        <v>300173</v>
      </c>
      <c r="B1359" t="s">
        <v>3690</v>
      </c>
      <c r="C1359">
        <v>24.12</v>
      </c>
      <c r="D1359">
        <v>25.2</v>
      </c>
      <c r="E1359">
        <v>23.5</v>
      </c>
      <c r="F1359">
        <v>25.18</v>
      </c>
      <c r="G1359">
        <v>58975</v>
      </c>
      <c r="H1359">
        <v>144052528</v>
      </c>
      <c r="I1359">
        <v>0.81</v>
      </c>
      <c r="J1359" t="s">
        <v>124</v>
      </c>
      <c r="K1359" t="s">
        <v>211</v>
      </c>
      <c r="L1359">
        <v>5.8</v>
      </c>
      <c r="M1359">
        <v>24.43</v>
      </c>
      <c r="N1359">
        <v>22614</v>
      </c>
      <c r="O1359">
        <v>36360</v>
      </c>
      <c r="P1359">
        <v>0.62</v>
      </c>
      <c r="Q1359">
        <v>52</v>
      </c>
      <c r="R1359">
        <v>2</v>
      </c>
      <c r="S1359" t="s">
        <v>3</v>
      </c>
      <c r="T1359">
        <v>11323</v>
      </c>
      <c r="U1359" t="s">
        <v>3691</v>
      </c>
      <c r="V1359" t="s">
        <v>3691</v>
      </c>
      <c r="W1359">
        <v>5.96</v>
      </c>
    </row>
    <row r="1360" spans="1:23">
      <c r="A1360" t="str">
        <f>"300174"</f>
        <v>300174</v>
      </c>
      <c r="B1360" t="s">
        <v>3692</v>
      </c>
      <c r="C1360">
        <v>13.14</v>
      </c>
      <c r="D1360">
        <v>13.43</v>
      </c>
      <c r="E1360">
        <v>12.9</v>
      </c>
      <c r="F1360">
        <v>13.41</v>
      </c>
      <c r="G1360">
        <v>20429</v>
      </c>
      <c r="H1360">
        <v>27018622</v>
      </c>
      <c r="I1360">
        <v>0.84</v>
      </c>
      <c r="J1360" t="s">
        <v>376</v>
      </c>
      <c r="K1360" t="s">
        <v>414</v>
      </c>
      <c r="L1360">
        <v>0.98</v>
      </c>
      <c r="M1360">
        <v>13.23</v>
      </c>
      <c r="N1360">
        <v>9142</v>
      </c>
      <c r="O1360">
        <v>11286</v>
      </c>
      <c r="P1360">
        <v>0.81</v>
      </c>
      <c r="Q1360">
        <v>128</v>
      </c>
      <c r="R1360">
        <v>152</v>
      </c>
      <c r="S1360" t="s">
        <v>3</v>
      </c>
      <c r="T1360">
        <v>6594.43</v>
      </c>
      <c r="U1360" t="s">
        <v>3693</v>
      </c>
      <c r="V1360" t="s">
        <v>3694</v>
      </c>
      <c r="W1360">
        <v>1.1399999999999999</v>
      </c>
    </row>
    <row r="1361" spans="1:23">
      <c r="A1361" t="str">
        <f>"300175"</f>
        <v>300175</v>
      </c>
      <c r="B1361" t="s">
        <v>3695</v>
      </c>
      <c r="C1361">
        <v>5.74</v>
      </c>
      <c r="D1361">
        <v>5.81</v>
      </c>
      <c r="E1361">
        <v>5.66</v>
      </c>
      <c r="F1361">
        <v>5.78</v>
      </c>
      <c r="G1361">
        <v>142868</v>
      </c>
      <c r="H1361">
        <v>82205448</v>
      </c>
      <c r="I1361">
        <v>0.85</v>
      </c>
      <c r="J1361" t="s">
        <v>421</v>
      </c>
      <c r="K1361" t="s">
        <v>250</v>
      </c>
      <c r="L1361">
        <v>1.23</v>
      </c>
      <c r="M1361">
        <v>5.75</v>
      </c>
      <c r="N1361">
        <v>61736</v>
      </c>
      <c r="O1361">
        <v>81132</v>
      </c>
      <c r="P1361">
        <v>0.76</v>
      </c>
      <c r="Q1361">
        <v>746</v>
      </c>
      <c r="R1361">
        <v>3423</v>
      </c>
      <c r="S1361" t="s">
        <v>3</v>
      </c>
      <c r="T1361">
        <v>46479.35</v>
      </c>
      <c r="U1361" t="s">
        <v>3696</v>
      </c>
      <c r="V1361" t="s">
        <v>2149</v>
      </c>
      <c r="W1361">
        <v>1.38</v>
      </c>
    </row>
    <row r="1362" spans="1:23">
      <c r="A1362" t="str">
        <f>"300176"</f>
        <v>300176</v>
      </c>
      <c r="B1362" t="s">
        <v>3697</v>
      </c>
      <c r="C1362">
        <v>15.07</v>
      </c>
      <c r="D1362">
        <v>15.23</v>
      </c>
      <c r="E1362">
        <v>14.9</v>
      </c>
      <c r="F1362">
        <v>15.13</v>
      </c>
      <c r="G1362">
        <v>9469</v>
      </c>
      <c r="H1362">
        <v>14278865</v>
      </c>
      <c r="I1362">
        <v>0.48</v>
      </c>
      <c r="J1362" t="s">
        <v>98</v>
      </c>
      <c r="K1362" t="s">
        <v>211</v>
      </c>
      <c r="L1362">
        <v>0.4</v>
      </c>
      <c r="M1362">
        <v>15.08</v>
      </c>
      <c r="N1362">
        <v>4726</v>
      </c>
      <c r="O1362">
        <v>4743</v>
      </c>
      <c r="P1362">
        <v>1</v>
      </c>
      <c r="Q1362">
        <v>54</v>
      </c>
      <c r="R1362">
        <v>36</v>
      </c>
      <c r="S1362" t="s">
        <v>3</v>
      </c>
      <c r="T1362">
        <v>10728</v>
      </c>
      <c r="U1362" t="s">
        <v>3698</v>
      </c>
      <c r="V1362" t="s">
        <v>3698</v>
      </c>
      <c r="W1362">
        <v>0.56000000000000005</v>
      </c>
    </row>
    <row r="1363" spans="1:23">
      <c r="A1363" t="str">
        <f>"300177"</f>
        <v>300177</v>
      </c>
      <c r="B1363" t="s">
        <v>3699</v>
      </c>
      <c r="C1363">
        <v>17.100000000000001</v>
      </c>
      <c r="D1363">
        <v>17.18</v>
      </c>
      <c r="E1363">
        <v>16.66</v>
      </c>
      <c r="F1363">
        <v>16.97</v>
      </c>
      <c r="G1363">
        <v>115887</v>
      </c>
      <c r="H1363">
        <v>196294480</v>
      </c>
      <c r="I1363">
        <v>0.51</v>
      </c>
      <c r="J1363" t="s">
        <v>112</v>
      </c>
      <c r="K1363" t="s">
        <v>211</v>
      </c>
      <c r="L1363">
        <v>-0.59</v>
      </c>
      <c r="M1363">
        <v>16.940000000000001</v>
      </c>
      <c r="N1363">
        <v>66788</v>
      </c>
      <c r="O1363">
        <v>49099</v>
      </c>
      <c r="P1363">
        <v>1.36</v>
      </c>
      <c r="Q1363">
        <v>202</v>
      </c>
      <c r="R1363">
        <v>131</v>
      </c>
      <c r="S1363" t="s">
        <v>3</v>
      </c>
      <c r="T1363">
        <v>23558.48</v>
      </c>
      <c r="U1363" t="s">
        <v>3700</v>
      </c>
      <c r="V1363" t="s">
        <v>3701</v>
      </c>
      <c r="W1363">
        <v>-0.43</v>
      </c>
    </row>
    <row r="1364" spans="1:23">
      <c r="A1364" t="str">
        <f>"300178"</f>
        <v>300178</v>
      </c>
      <c r="B1364" t="s">
        <v>3702</v>
      </c>
      <c r="C1364">
        <v>20.51</v>
      </c>
      <c r="D1364">
        <v>21.33</v>
      </c>
      <c r="E1364">
        <v>20.3</v>
      </c>
      <c r="F1364">
        <v>21.2</v>
      </c>
      <c r="G1364">
        <v>83298</v>
      </c>
      <c r="H1364">
        <v>172665968</v>
      </c>
      <c r="I1364">
        <v>1.07</v>
      </c>
      <c r="J1364" t="s">
        <v>625</v>
      </c>
      <c r="K1364" t="s">
        <v>2</v>
      </c>
      <c r="L1364">
        <v>3.06</v>
      </c>
      <c r="M1364">
        <v>20.73</v>
      </c>
      <c r="N1364">
        <v>39001</v>
      </c>
      <c r="O1364">
        <v>44296</v>
      </c>
      <c r="P1364">
        <v>0.88</v>
      </c>
      <c r="Q1364">
        <v>56</v>
      </c>
      <c r="R1364">
        <v>221</v>
      </c>
      <c r="S1364" t="s">
        <v>3</v>
      </c>
      <c r="T1364">
        <v>15392</v>
      </c>
      <c r="U1364" t="s">
        <v>3703</v>
      </c>
      <c r="V1364" t="s">
        <v>3704</v>
      </c>
      <c r="W1364">
        <v>3.22</v>
      </c>
    </row>
    <row r="1365" spans="1:23">
      <c r="A1365" t="str">
        <f>"300179"</f>
        <v>300179</v>
      </c>
      <c r="B1365" t="s">
        <v>3705</v>
      </c>
      <c r="C1365">
        <v>9.48</v>
      </c>
      <c r="D1365">
        <v>9.9499999999999993</v>
      </c>
      <c r="E1365">
        <v>9.3699999999999992</v>
      </c>
      <c r="F1365">
        <v>9.9</v>
      </c>
      <c r="G1365">
        <v>60765</v>
      </c>
      <c r="H1365">
        <v>59127080</v>
      </c>
      <c r="I1365">
        <v>1.52</v>
      </c>
      <c r="J1365" t="s">
        <v>380</v>
      </c>
      <c r="K1365" t="s">
        <v>254</v>
      </c>
      <c r="L1365">
        <v>4.0999999999999996</v>
      </c>
      <c r="M1365">
        <v>9.73</v>
      </c>
      <c r="N1365">
        <v>23800</v>
      </c>
      <c r="O1365">
        <v>36964</v>
      </c>
      <c r="P1365">
        <v>0.64</v>
      </c>
      <c r="Q1365">
        <v>189</v>
      </c>
      <c r="R1365">
        <v>224</v>
      </c>
      <c r="S1365" t="s">
        <v>3</v>
      </c>
      <c r="T1365">
        <v>13301.12</v>
      </c>
      <c r="U1365" t="s">
        <v>3706</v>
      </c>
      <c r="V1365" t="s">
        <v>3707</v>
      </c>
      <c r="W1365">
        <v>4.26</v>
      </c>
    </row>
    <row r="1366" spans="1:23">
      <c r="A1366" t="str">
        <f>"300180"</f>
        <v>300180</v>
      </c>
      <c r="B1366" t="s">
        <v>3708</v>
      </c>
      <c r="C1366">
        <v>19</v>
      </c>
      <c r="D1366">
        <v>19.5</v>
      </c>
      <c r="E1366">
        <v>18.600000000000001</v>
      </c>
      <c r="F1366">
        <v>19.41</v>
      </c>
      <c r="G1366">
        <v>22102</v>
      </c>
      <c r="H1366">
        <v>42449944</v>
      </c>
      <c r="I1366">
        <v>1.23</v>
      </c>
      <c r="J1366" t="s">
        <v>310</v>
      </c>
      <c r="K1366" t="s">
        <v>727</v>
      </c>
      <c r="L1366">
        <v>2.0499999999999998</v>
      </c>
      <c r="M1366">
        <v>19.21</v>
      </c>
      <c r="N1366">
        <v>7718</v>
      </c>
      <c r="O1366">
        <v>14383</v>
      </c>
      <c r="P1366">
        <v>0.54</v>
      </c>
      <c r="Q1366">
        <v>44</v>
      </c>
      <c r="R1366">
        <v>226</v>
      </c>
      <c r="S1366" t="s">
        <v>3</v>
      </c>
      <c r="T1366">
        <v>11531.3</v>
      </c>
      <c r="U1366" t="s">
        <v>3709</v>
      </c>
      <c r="V1366" t="s">
        <v>3710</v>
      </c>
      <c r="W1366">
        <v>2.21</v>
      </c>
    </row>
    <row r="1367" spans="1:23">
      <c r="A1367" t="str">
        <f>"300181"</f>
        <v>300181</v>
      </c>
      <c r="B1367" t="s">
        <v>3711</v>
      </c>
      <c r="C1367" t="s">
        <v>3</v>
      </c>
      <c r="D1367" t="s">
        <v>3</v>
      </c>
      <c r="E1367" t="s">
        <v>3</v>
      </c>
      <c r="F1367">
        <v>0</v>
      </c>
      <c r="G1367">
        <v>0</v>
      </c>
      <c r="H1367">
        <v>0</v>
      </c>
      <c r="I1367">
        <v>0</v>
      </c>
      <c r="J1367" t="s">
        <v>321</v>
      </c>
      <c r="K1367" t="s">
        <v>229</v>
      </c>
      <c r="L1367" t="s">
        <v>3</v>
      </c>
      <c r="M1367">
        <v>13.65</v>
      </c>
      <c r="N1367">
        <v>0</v>
      </c>
      <c r="O1367">
        <v>0</v>
      </c>
      <c r="P1367" t="s">
        <v>3</v>
      </c>
      <c r="Q1367">
        <v>0</v>
      </c>
      <c r="R1367">
        <v>0</v>
      </c>
      <c r="S1367" t="s">
        <v>3</v>
      </c>
      <c r="T1367">
        <v>22412.05</v>
      </c>
      <c r="U1367" t="s">
        <v>3712</v>
      </c>
      <c r="V1367" t="s">
        <v>370</v>
      </c>
      <c r="W1367">
        <v>0.16</v>
      </c>
    </row>
    <row r="1368" spans="1:23">
      <c r="A1368" t="str">
        <f>"300182"</f>
        <v>300182</v>
      </c>
      <c r="B1368" t="s">
        <v>3713</v>
      </c>
      <c r="C1368">
        <v>21.01</v>
      </c>
      <c r="D1368">
        <v>22</v>
      </c>
      <c r="E1368">
        <v>20.8</v>
      </c>
      <c r="F1368">
        <v>21.83</v>
      </c>
      <c r="G1368">
        <v>88896</v>
      </c>
      <c r="H1368">
        <v>190755552</v>
      </c>
      <c r="I1368">
        <v>1.44</v>
      </c>
      <c r="J1368" t="s">
        <v>758</v>
      </c>
      <c r="K1368" t="s">
        <v>34</v>
      </c>
      <c r="L1368">
        <v>4.2</v>
      </c>
      <c r="M1368">
        <v>21.46</v>
      </c>
      <c r="N1368">
        <v>41567</v>
      </c>
      <c r="O1368">
        <v>47328</v>
      </c>
      <c r="P1368">
        <v>0.88</v>
      </c>
      <c r="Q1368">
        <v>498</v>
      </c>
      <c r="R1368">
        <v>243</v>
      </c>
      <c r="S1368" t="s">
        <v>3</v>
      </c>
      <c r="T1368">
        <v>22574.77</v>
      </c>
      <c r="U1368" t="s">
        <v>3714</v>
      </c>
      <c r="V1368" t="s">
        <v>3715</v>
      </c>
      <c r="W1368">
        <v>4.3600000000000003</v>
      </c>
    </row>
    <row r="1369" spans="1:23">
      <c r="A1369" t="str">
        <f>"300183"</f>
        <v>300183</v>
      </c>
      <c r="B1369" t="s">
        <v>3716</v>
      </c>
      <c r="C1369">
        <v>45.9</v>
      </c>
      <c r="D1369">
        <v>46.53</v>
      </c>
      <c r="E1369">
        <v>45.7</v>
      </c>
      <c r="F1369">
        <v>45.9</v>
      </c>
      <c r="G1369">
        <v>13416</v>
      </c>
      <c r="H1369">
        <v>61699612</v>
      </c>
      <c r="I1369">
        <v>0.75</v>
      </c>
      <c r="J1369" t="s">
        <v>758</v>
      </c>
      <c r="K1369" t="s">
        <v>250</v>
      </c>
      <c r="L1369">
        <v>0.39</v>
      </c>
      <c r="M1369">
        <v>45.99</v>
      </c>
      <c r="N1369">
        <v>5028</v>
      </c>
      <c r="O1369">
        <v>8387</v>
      </c>
      <c r="P1369">
        <v>0.6</v>
      </c>
      <c r="Q1369">
        <v>17</v>
      </c>
      <c r="R1369">
        <v>61</v>
      </c>
      <c r="S1369" t="s">
        <v>3</v>
      </c>
      <c r="T1369">
        <v>12617.49</v>
      </c>
      <c r="U1369" t="s">
        <v>3717</v>
      </c>
      <c r="V1369" t="s">
        <v>3718</v>
      </c>
      <c r="W1369">
        <v>0.55000000000000004</v>
      </c>
    </row>
    <row r="1370" spans="1:23">
      <c r="A1370" t="str">
        <f>"300184"</f>
        <v>300184</v>
      </c>
      <c r="B1370" t="s">
        <v>3719</v>
      </c>
      <c r="C1370">
        <v>16.100000000000001</v>
      </c>
      <c r="D1370">
        <v>16.829999999999998</v>
      </c>
      <c r="E1370">
        <v>15.92</v>
      </c>
      <c r="F1370">
        <v>16.55</v>
      </c>
      <c r="G1370">
        <v>62249</v>
      </c>
      <c r="H1370">
        <v>102378272</v>
      </c>
      <c r="I1370">
        <v>1.01</v>
      </c>
      <c r="J1370" t="s">
        <v>62</v>
      </c>
      <c r="K1370" t="s">
        <v>317</v>
      </c>
      <c r="L1370">
        <v>3.24</v>
      </c>
      <c r="M1370">
        <v>16.45</v>
      </c>
      <c r="N1370">
        <v>26963</v>
      </c>
      <c r="O1370">
        <v>35285</v>
      </c>
      <c r="P1370">
        <v>0.76</v>
      </c>
      <c r="Q1370">
        <v>446</v>
      </c>
      <c r="R1370">
        <v>70</v>
      </c>
      <c r="S1370" t="s">
        <v>3</v>
      </c>
      <c r="T1370">
        <v>10221.48</v>
      </c>
      <c r="U1370" t="s">
        <v>3720</v>
      </c>
      <c r="V1370" t="s">
        <v>3721</v>
      </c>
      <c r="W1370">
        <v>3.4</v>
      </c>
    </row>
    <row r="1371" spans="1:23">
      <c r="A1371" t="str">
        <f>"300185"</f>
        <v>300185</v>
      </c>
      <c r="B1371" t="s">
        <v>3722</v>
      </c>
      <c r="C1371">
        <v>5.54</v>
      </c>
      <c r="D1371">
        <v>5.77</v>
      </c>
      <c r="E1371">
        <v>5.48</v>
      </c>
      <c r="F1371">
        <v>5.71</v>
      </c>
      <c r="G1371">
        <v>324977</v>
      </c>
      <c r="H1371">
        <v>181684096</v>
      </c>
      <c r="I1371">
        <v>1.06</v>
      </c>
      <c r="J1371" t="s">
        <v>233</v>
      </c>
      <c r="K1371" t="s">
        <v>250</v>
      </c>
      <c r="L1371">
        <v>2.5099999999999998</v>
      </c>
      <c r="M1371">
        <v>5.59</v>
      </c>
      <c r="N1371">
        <v>159219</v>
      </c>
      <c r="O1371">
        <v>165758</v>
      </c>
      <c r="P1371">
        <v>0.96</v>
      </c>
      <c r="Q1371">
        <v>1264</v>
      </c>
      <c r="R1371">
        <v>759</v>
      </c>
      <c r="S1371" t="s">
        <v>3</v>
      </c>
      <c r="T1371">
        <v>70145.13</v>
      </c>
      <c r="U1371" t="s">
        <v>3723</v>
      </c>
      <c r="V1371" t="s">
        <v>3724</v>
      </c>
      <c r="W1371">
        <v>2.67</v>
      </c>
    </row>
    <row r="1372" spans="1:23">
      <c r="A1372" t="str">
        <f>"300186"</f>
        <v>300186</v>
      </c>
      <c r="B1372" t="s">
        <v>3725</v>
      </c>
      <c r="C1372">
        <v>8.5</v>
      </c>
      <c r="D1372">
        <v>8.5299999999999994</v>
      </c>
      <c r="E1372">
        <v>8.4</v>
      </c>
      <c r="F1372">
        <v>8.48</v>
      </c>
      <c r="G1372">
        <v>42578</v>
      </c>
      <c r="H1372">
        <v>35977508</v>
      </c>
      <c r="I1372">
        <v>1.03</v>
      </c>
      <c r="J1372" t="s">
        <v>169</v>
      </c>
      <c r="K1372" t="s">
        <v>211</v>
      </c>
      <c r="L1372">
        <v>-0.24</v>
      </c>
      <c r="M1372">
        <v>8.4499999999999993</v>
      </c>
      <c r="N1372">
        <v>23779</v>
      </c>
      <c r="O1372">
        <v>18798</v>
      </c>
      <c r="P1372">
        <v>1.26</v>
      </c>
      <c r="Q1372">
        <v>307</v>
      </c>
      <c r="R1372">
        <v>170</v>
      </c>
      <c r="S1372" t="s">
        <v>3</v>
      </c>
      <c r="T1372">
        <v>39517.919999999998</v>
      </c>
      <c r="U1372" t="s">
        <v>836</v>
      </c>
      <c r="V1372" t="s">
        <v>3726</v>
      </c>
      <c r="W1372">
        <v>-0.08</v>
      </c>
    </row>
    <row r="1373" spans="1:23">
      <c r="A1373" t="str">
        <f>"300187"</f>
        <v>300187</v>
      </c>
      <c r="B1373" t="s">
        <v>3727</v>
      </c>
      <c r="C1373">
        <v>35.39</v>
      </c>
      <c r="D1373">
        <v>37.99</v>
      </c>
      <c r="E1373">
        <v>34.75</v>
      </c>
      <c r="F1373">
        <v>36.14</v>
      </c>
      <c r="G1373">
        <v>87418</v>
      </c>
      <c r="H1373">
        <v>313477728</v>
      </c>
      <c r="I1373">
        <v>6.39</v>
      </c>
      <c r="J1373" t="s">
        <v>462</v>
      </c>
      <c r="K1373" t="s">
        <v>234</v>
      </c>
      <c r="L1373">
        <v>2.12</v>
      </c>
      <c r="M1373">
        <v>35.86</v>
      </c>
      <c r="N1373">
        <v>17643</v>
      </c>
      <c r="O1373">
        <v>69774</v>
      </c>
      <c r="P1373">
        <v>0.25</v>
      </c>
      <c r="Q1373">
        <v>20</v>
      </c>
      <c r="R1373">
        <v>48</v>
      </c>
      <c r="S1373" t="s">
        <v>3</v>
      </c>
      <c r="T1373">
        <v>19739.23</v>
      </c>
      <c r="U1373" t="s">
        <v>3728</v>
      </c>
      <c r="V1373" t="s">
        <v>3729</v>
      </c>
      <c r="W1373">
        <v>2.2799999999999998</v>
      </c>
    </row>
    <row r="1374" spans="1:23">
      <c r="A1374" t="str">
        <f>"300188"</f>
        <v>300188</v>
      </c>
      <c r="B1374" t="s">
        <v>3730</v>
      </c>
      <c r="C1374">
        <v>29.61</v>
      </c>
      <c r="D1374">
        <v>30.5</v>
      </c>
      <c r="E1374">
        <v>29.21</v>
      </c>
      <c r="F1374">
        <v>29.56</v>
      </c>
      <c r="G1374">
        <v>74644</v>
      </c>
      <c r="H1374">
        <v>223024320</v>
      </c>
      <c r="I1374">
        <v>1.07</v>
      </c>
      <c r="J1374" t="s">
        <v>758</v>
      </c>
      <c r="K1374" t="s">
        <v>414</v>
      </c>
      <c r="L1374">
        <v>-0.1</v>
      </c>
      <c r="M1374">
        <v>29.88</v>
      </c>
      <c r="N1374">
        <v>37565</v>
      </c>
      <c r="O1374">
        <v>37078</v>
      </c>
      <c r="P1374">
        <v>1.01</v>
      </c>
      <c r="Q1374">
        <v>27</v>
      </c>
      <c r="R1374">
        <v>20</v>
      </c>
      <c r="S1374" t="s">
        <v>3</v>
      </c>
      <c r="T1374">
        <v>12167.95</v>
      </c>
      <c r="U1374" t="s">
        <v>1884</v>
      </c>
      <c r="V1374" t="s">
        <v>3731</v>
      </c>
      <c r="W1374">
        <v>0.06</v>
      </c>
    </row>
    <row r="1375" spans="1:23">
      <c r="A1375" t="str">
        <f>"300189"</f>
        <v>300189</v>
      </c>
      <c r="B1375" t="s">
        <v>3732</v>
      </c>
      <c r="C1375">
        <v>6.92</v>
      </c>
      <c r="D1375">
        <v>6.93</v>
      </c>
      <c r="E1375">
        <v>6.8</v>
      </c>
      <c r="F1375">
        <v>6.91</v>
      </c>
      <c r="G1375">
        <v>167027</v>
      </c>
      <c r="H1375">
        <v>114841264</v>
      </c>
      <c r="I1375">
        <v>1.02</v>
      </c>
      <c r="J1375" t="s">
        <v>829</v>
      </c>
      <c r="K1375" t="s">
        <v>356</v>
      </c>
      <c r="L1375">
        <v>-0.43</v>
      </c>
      <c r="M1375">
        <v>6.88</v>
      </c>
      <c r="N1375">
        <v>93861</v>
      </c>
      <c r="O1375">
        <v>73166</v>
      </c>
      <c r="P1375">
        <v>1.28</v>
      </c>
      <c r="Q1375">
        <v>882</v>
      </c>
      <c r="R1375">
        <v>1176</v>
      </c>
      <c r="S1375" t="s">
        <v>3</v>
      </c>
      <c r="T1375">
        <v>33498.870000000003</v>
      </c>
      <c r="U1375" t="s">
        <v>113</v>
      </c>
      <c r="V1375" t="s">
        <v>3733</v>
      </c>
      <c r="W1375">
        <v>-0.27</v>
      </c>
    </row>
    <row r="1376" spans="1:23">
      <c r="A1376" t="str">
        <f>"300190"</f>
        <v>300190</v>
      </c>
      <c r="B1376" t="s">
        <v>3734</v>
      </c>
      <c r="C1376">
        <v>28.22</v>
      </c>
      <c r="D1376">
        <v>29.26</v>
      </c>
      <c r="E1376">
        <v>28.22</v>
      </c>
      <c r="F1376">
        <v>28.85</v>
      </c>
      <c r="G1376">
        <v>28161</v>
      </c>
      <c r="H1376">
        <v>81372528</v>
      </c>
      <c r="I1376">
        <v>0.92</v>
      </c>
      <c r="J1376" t="s">
        <v>462</v>
      </c>
      <c r="K1376" t="s">
        <v>244</v>
      </c>
      <c r="L1376">
        <v>1.37</v>
      </c>
      <c r="M1376">
        <v>28.9</v>
      </c>
      <c r="N1376">
        <v>12020</v>
      </c>
      <c r="O1376">
        <v>16141</v>
      </c>
      <c r="P1376">
        <v>0.74</v>
      </c>
      <c r="Q1376">
        <v>73</v>
      </c>
      <c r="R1376">
        <v>8</v>
      </c>
      <c r="S1376" t="s">
        <v>3</v>
      </c>
      <c r="T1376">
        <v>6351.54</v>
      </c>
      <c r="U1376" t="s">
        <v>3735</v>
      </c>
      <c r="V1376" t="s">
        <v>3736</v>
      </c>
      <c r="W1376">
        <v>1.53</v>
      </c>
    </row>
    <row r="1377" spans="1:23">
      <c r="A1377" t="str">
        <f>"300191"</f>
        <v>300191</v>
      </c>
      <c r="B1377" t="s">
        <v>3737</v>
      </c>
      <c r="C1377">
        <v>24.4</v>
      </c>
      <c r="D1377">
        <v>24.96</v>
      </c>
      <c r="E1377">
        <v>24.4</v>
      </c>
      <c r="F1377">
        <v>24.64</v>
      </c>
      <c r="G1377">
        <v>41894</v>
      </c>
      <c r="H1377">
        <v>103352304</v>
      </c>
      <c r="I1377">
        <v>0.56000000000000005</v>
      </c>
      <c r="J1377" t="s">
        <v>1924</v>
      </c>
      <c r="K1377" t="s">
        <v>34</v>
      </c>
      <c r="L1377">
        <v>0.45</v>
      </c>
      <c r="M1377">
        <v>24.67</v>
      </c>
      <c r="N1377">
        <v>20397</v>
      </c>
      <c r="O1377">
        <v>21496</v>
      </c>
      <c r="P1377">
        <v>0.95</v>
      </c>
      <c r="Q1377">
        <v>336</v>
      </c>
      <c r="R1377">
        <v>96</v>
      </c>
      <c r="S1377" t="s">
        <v>3</v>
      </c>
      <c r="T1377">
        <v>14882</v>
      </c>
      <c r="U1377" t="s">
        <v>2029</v>
      </c>
      <c r="V1377" t="s">
        <v>3738</v>
      </c>
      <c r="W1377">
        <v>0.61</v>
      </c>
    </row>
    <row r="1378" spans="1:23">
      <c r="A1378" t="str">
        <f>"300192"</f>
        <v>300192</v>
      </c>
      <c r="B1378" t="s">
        <v>3739</v>
      </c>
      <c r="C1378">
        <v>20.51</v>
      </c>
      <c r="D1378">
        <v>21.81</v>
      </c>
      <c r="E1378">
        <v>20.5</v>
      </c>
      <c r="F1378">
        <v>21.5</v>
      </c>
      <c r="G1378">
        <v>48275</v>
      </c>
      <c r="H1378">
        <v>101937736</v>
      </c>
      <c r="I1378">
        <v>1.01</v>
      </c>
      <c r="J1378" t="s">
        <v>522</v>
      </c>
      <c r="K1378" t="s">
        <v>244</v>
      </c>
      <c r="L1378">
        <v>4.83</v>
      </c>
      <c r="M1378">
        <v>21.12</v>
      </c>
      <c r="N1378">
        <v>22007</v>
      </c>
      <c r="O1378">
        <v>26268</v>
      </c>
      <c r="P1378">
        <v>0.84</v>
      </c>
      <c r="Q1378">
        <v>20</v>
      </c>
      <c r="R1378">
        <v>8</v>
      </c>
      <c r="S1378" t="s">
        <v>3</v>
      </c>
      <c r="T1378">
        <v>6806.25</v>
      </c>
      <c r="U1378" t="s">
        <v>3740</v>
      </c>
      <c r="V1378" t="s">
        <v>3143</v>
      </c>
      <c r="W1378">
        <v>4.99</v>
      </c>
    </row>
    <row r="1379" spans="1:23">
      <c r="A1379" t="str">
        <f>"300193"</f>
        <v>300193</v>
      </c>
      <c r="B1379" t="s">
        <v>3741</v>
      </c>
      <c r="C1379">
        <v>15.68</v>
      </c>
      <c r="D1379">
        <v>16.36</v>
      </c>
      <c r="E1379">
        <v>15.68</v>
      </c>
      <c r="F1379">
        <v>15.94</v>
      </c>
      <c r="G1379">
        <v>67506</v>
      </c>
      <c r="H1379">
        <v>108180040</v>
      </c>
      <c r="I1379">
        <v>1.39</v>
      </c>
      <c r="J1379" t="s">
        <v>269</v>
      </c>
      <c r="K1379" t="s">
        <v>2</v>
      </c>
      <c r="L1379">
        <v>2.31</v>
      </c>
      <c r="M1379">
        <v>16.03</v>
      </c>
      <c r="N1379">
        <v>32440</v>
      </c>
      <c r="O1379">
        <v>35066</v>
      </c>
      <c r="P1379">
        <v>0.93</v>
      </c>
      <c r="Q1379">
        <v>204</v>
      </c>
      <c r="R1379">
        <v>149</v>
      </c>
      <c r="S1379" t="s">
        <v>3</v>
      </c>
      <c r="T1379">
        <v>15209.28</v>
      </c>
      <c r="U1379" t="s">
        <v>3742</v>
      </c>
      <c r="V1379" t="s">
        <v>3743</v>
      </c>
      <c r="W1379">
        <v>2.4700000000000002</v>
      </c>
    </row>
    <row r="1380" spans="1:23">
      <c r="A1380" t="str">
        <f>"300194"</f>
        <v>300194</v>
      </c>
      <c r="B1380" t="s">
        <v>3744</v>
      </c>
      <c r="C1380" t="s">
        <v>3</v>
      </c>
      <c r="D1380" t="s">
        <v>3</v>
      </c>
      <c r="E1380" t="s">
        <v>3</v>
      </c>
      <c r="F1380">
        <v>0</v>
      </c>
      <c r="G1380">
        <v>0</v>
      </c>
      <c r="H1380">
        <v>0</v>
      </c>
      <c r="I1380">
        <v>0</v>
      </c>
      <c r="J1380" t="s">
        <v>219</v>
      </c>
      <c r="K1380" t="s">
        <v>386</v>
      </c>
      <c r="L1380" t="s">
        <v>3</v>
      </c>
      <c r="M1380">
        <v>21.58</v>
      </c>
      <c r="N1380">
        <v>0</v>
      </c>
      <c r="O1380">
        <v>0</v>
      </c>
      <c r="P1380" t="s">
        <v>3</v>
      </c>
      <c r="Q1380">
        <v>0</v>
      </c>
      <c r="R1380">
        <v>0</v>
      </c>
      <c r="S1380" t="s">
        <v>3</v>
      </c>
      <c r="T1380">
        <v>12880.26</v>
      </c>
      <c r="U1380" t="s">
        <v>2862</v>
      </c>
      <c r="V1380" t="s">
        <v>3745</v>
      </c>
      <c r="W1380">
        <v>0.16</v>
      </c>
    </row>
    <row r="1381" spans="1:23">
      <c r="A1381" t="str">
        <f>"300195"</f>
        <v>300195</v>
      </c>
      <c r="B1381" t="s">
        <v>3746</v>
      </c>
      <c r="C1381">
        <v>30.76</v>
      </c>
      <c r="D1381">
        <v>31.25</v>
      </c>
      <c r="E1381">
        <v>30.4</v>
      </c>
      <c r="F1381">
        <v>31.14</v>
      </c>
      <c r="G1381">
        <v>13722</v>
      </c>
      <c r="H1381">
        <v>42291016</v>
      </c>
      <c r="I1381">
        <v>0.7</v>
      </c>
      <c r="J1381" t="s">
        <v>124</v>
      </c>
      <c r="K1381" t="s">
        <v>442</v>
      </c>
      <c r="L1381">
        <v>1.27</v>
      </c>
      <c r="M1381">
        <v>30.82</v>
      </c>
      <c r="N1381">
        <v>7078</v>
      </c>
      <c r="O1381">
        <v>6643</v>
      </c>
      <c r="P1381">
        <v>1.07</v>
      </c>
      <c r="Q1381">
        <v>120</v>
      </c>
      <c r="R1381">
        <v>1</v>
      </c>
      <c r="S1381" t="s">
        <v>3</v>
      </c>
      <c r="T1381">
        <v>6444.72</v>
      </c>
      <c r="U1381" t="s">
        <v>3747</v>
      </c>
      <c r="V1381" t="s">
        <v>3748</v>
      </c>
      <c r="W1381">
        <v>1.43</v>
      </c>
    </row>
    <row r="1382" spans="1:23">
      <c r="A1382" t="str">
        <f>"300196"</f>
        <v>300196</v>
      </c>
      <c r="B1382" t="s">
        <v>3749</v>
      </c>
      <c r="C1382">
        <v>17.329999999999998</v>
      </c>
      <c r="D1382">
        <v>17.75</v>
      </c>
      <c r="E1382">
        <v>17.329999999999998</v>
      </c>
      <c r="F1382">
        <v>17.5</v>
      </c>
      <c r="G1382">
        <v>22373</v>
      </c>
      <c r="H1382">
        <v>39206084</v>
      </c>
      <c r="I1382">
        <v>1.23</v>
      </c>
      <c r="J1382" t="s">
        <v>41</v>
      </c>
      <c r="K1382" t="s">
        <v>244</v>
      </c>
      <c r="L1382">
        <v>1.04</v>
      </c>
      <c r="M1382">
        <v>17.52</v>
      </c>
      <c r="N1382">
        <v>10907</v>
      </c>
      <c r="O1382">
        <v>11466</v>
      </c>
      <c r="P1382">
        <v>0.95</v>
      </c>
      <c r="Q1382">
        <v>139</v>
      </c>
      <c r="R1382">
        <v>33</v>
      </c>
      <c r="S1382" t="s">
        <v>3</v>
      </c>
      <c r="T1382">
        <v>10837.33</v>
      </c>
      <c r="U1382" t="s">
        <v>3750</v>
      </c>
      <c r="V1382" t="s">
        <v>3751</v>
      </c>
      <c r="W1382">
        <v>1.2</v>
      </c>
    </row>
    <row r="1383" spans="1:23">
      <c r="A1383" t="str">
        <f>"300197"</f>
        <v>300197</v>
      </c>
      <c r="B1383" t="s">
        <v>3752</v>
      </c>
      <c r="C1383">
        <v>14.59</v>
      </c>
      <c r="D1383">
        <v>14.67</v>
      </c>
      <c r="E1383">
        <v>14.41</v>
      </c>
      <c r="F1383">
        <v>14.56</v>
      </c>
      <c r="G1383">
        <v>60542</v>
      </c>
      <c r="H1383">
        <v>88011328</v>
      </c>
      <c r="I1383">
        <v>0.53</v>
      </c>
      <c r="J1383" t="s">
        <v>462</v>
      </c>
      <c r="K1383" t="s">
        <v>2</v>
      </c>
      <c r="L1383">
        <v>-0.34</v>
      </c>
      <c r="M1383">
        <v>14.54</v>
      </c>
      <c r="N1383">
        <v>31799</v>
      </c>
      <c r="O1383">
        <v>28743</v>
      </c>
      <c r="P1383">
        <v>1.1100000000000001</v>
      </c>
      <c r="Q1383">
        <v>283</v>
      </c>
      <c r="R1383">
        <v>424</v>
      </c>
      <c r="S1383" t="s">
        <v>3</v>
      </c>
      <c r="T1383">
        <v>29293.67</v>
      </c>
      <c r="U1383" t="s">
        <v>1780</v>
      </c>
      <c r="V1383" t="s">
        <v>3753</v>
      </c>
      <c r="W1383">
        <v>-0.18</v>
      </c>
    </row>
    <row r="1384" spans="1:23">
      <c r="A1384" t="str">
        <f>"300198"</f>
        <v>300198</v>
      </c>
      <c r="B1384" t="s">
        <v>3754</v>
      </c>
      <c r="C1384">
        <v>8.1</v>
      </c>
      <c r="D1384">
        <v>8.31</v>
      </c>
      <c r="E1384">
        <v>8.0399999999999991</v>
      </c>
      <c r="F1384">
        <v>8.2799999999999994</v>
      </c>
      <c r="G1384">
        <v>98386</v>
      </c>
      <c r="H1384">
        <v>80657088</v>
      </c>
      <c r="I1384">
        <v>1.01</v>
      </c>
      <c r="J1384" t="s">
        <v>273</v>
      </c>
      <c r="K1384" t="s">
        <v>414</v>
      </c>
      <c r="L1384">
        <v>1.85</v>
      </c>
      <c r="M1384">
        <v>8.1999999999999993</v>
      </c>
      <c r="N1384">
        <v>40578</v>
      </c>
      <c r="O1384">
        <v>57807</v>
      </c>
      <c r="P1384">
        <v>0.7</v>
      </c>
      <c r="Q1384">
        <v>15</v>
      </c>
      <c r="R1384">
        <v>1741</v>
      </c>
      <c r="S1384" t="s">
        <v>3</v>
      </c>
      <c r="T1384">
        <v>34416.17</v>
      </c>
      <c r="U1384" t="s">
        <v>3755</v>
      </c>
      <c r="V1384" t="s">
        <v>3756</v>
      </c>
      <c r="W1384">
        <v>2</v>
      </c>
    </row>
    <row r="1385" spans="1:23">
      <c r="A1385" t="str">
        <f>"300199"</f>
        <v>300199</v>
      </c>
      <c r="B1385" t="s">
        <v>3757</v>
      </c>
      <c r="C1385">
        <v>28.31</v>
      </c>
      <c r="D1385">
        <v>28.89</v>
      </c>
      <c r="E1385">
        <v>27.87</v>
      </c>
      <c r="F1385">
        <v>27.93</v>
      </c>
      <c r="G1385">
        <v>33211</v>
      </c>
      <c r="H1385">
        <v>93469136</v>
      </c>
      <c r="I1385">
        <v>0.89</v>
      </c>
      <c r="J1385" t="s">
        <v>219</v>
      </c>
      <c r="K1385" t="s">
        <v>2</v>
      </c>
      <c r="L1385">
        <v>-2.65</v>
      </c>
      <c r="M1385">
        <v>28.14</v>
      </c>
      <c r="N1385">
        <v>25208</v>
      </c>
      <c r="O1385">
        <v>8003</v>
      </c>
      <c r="P1385">
        <v>3.15</v>
      </c>
      <c r="Q1385">
        <v>277</v>
      </c>
      <c r="R1385">
        <v>10</v>
      </c>
      <c r="S1385" t="s">
        <v>3</v>
      </c>
      <c r="T1385">
        <v>19945.86</v>
      </c>
      <c r="U1385" t="s">
        <v>3758</v>
      </c>
      <c r="V1385" t="s">
        <v>3759</v>
      </c>
      <c r="W1385">
        <v>-2.4900000000000002</v>
      </c>
    </row>
    <row r="1386" spans="1:23">
      <c r="A1386" t="str">
        <f>"300200"</f>
        <v>300200</v>
      </c>
      <c r="B1386" t="s">
        <v>3760</v>
      </c>
      <c r="C1386">
        <v>12.81</v>
      </c>
      <c r="D1386">
        <v>13.1</v>
      </c>
      <c r="E1386">
        <v>12.58</v>
      </c>
      <c r="F1386">
        <v>13.02</v>
      </c>
      <c r="G1386">
        <v>141179</v>
      </c>
      <c r="H1386">
        <v>182335392</v>
      </c>
      <c r="I1386">
        <v>2.15</v>
      </c>
      <c r="J1386" t="s">
        <v>376</v>
      </c>
      <c r="K1386" t="s">
        <v>34</v>
      </c>
      <c r="L1386">
        <v>1.88</v>
      </c>
      <c r="M1386">
        <v>12.92</v>
      </c>
      <c r="N1386">
        <v>56338</v>
      </c>
      <c r="O1386">
        <v>84840</v>
      </c>
      <c r="P1386">
        <v>0.66</v>
      </c>
      <c r="Q1386">
        <v>761</v>
      </c>
      <c r="R1386">
        <v>19</v>
      </c>
      <c r="S1386" t="s">
        <v>3</v>
      </c>
      <c r="T1386">
        <v>9430.83</v>
      </c>
      <c r="U1386" t="s">
        <v>3761</v>
      </c>
      <c r="V1386" t="s">
        <v>3762</v>
      </c>
      <c r="W1386">
        <v>2.04</v>
      </c>
    </row>
    <row r="1387" spans="1:23">
      <c r="A1387" t="str">
        <f>"300201"</f>
        <v>300201</v>
      </c>
      <c r="B1387" t="s">
        <v>3763</v>
      </c>
      <c r="C1387">
        <v>8.07</v>
      </c>
      <c r="D1387">
        <v>8.07</v>
      </c>
      <c r="E1387">
        <v>7.43</v>
      </c>
      <c r="F1387">
        <v>7.71</v>
      </c>
      <c r="G1387">
        <v>470869</v>
      </c>
      <c r="H1387">
        <v>366806752</v>
      </c>
      <c r="I1387">
        <v>4.3499999999999996</v>
      </c>
      <c r="J1387" t="s">
        <v>269</v>
      </c>
      <c r="K1387" t="s">
        <v>244</v>
      </c>
      <c r="L1387">
        <v>5.04</v>
      </c>
      <c r="M1387">
        <v>7.79</v>
      </c>
      <c r="N1387">
        <v>265630</v>
      </c>
      <c r="O1387">
        <v>205238</v>
      </c>
      <c r="P1387">
        <v>1.29</v>
      </c>
      <c r="Q1387">
        <v>3833</v>
      </c>
      <c r="R1387">
        <v>403</v>
      </c>
      <c r="S1387" t="s">
        <v>3</v>
      </c>
      <c r="T1387">
        <v>35015.550000000003</v>
      </c>
      <c r="U1387" t="s">
        <v>3764</v>
      </c>
      <c r="V1387" t="s">
        <v>3282</v>
      </c>
      <c r="W1387">
        <v>5.2</v>
      </c>
    </row>
    <row r="1388" spans="1:23">
      <c r="A1388" t="str">
        <f>"300202"</f>
        <v>300202</v>
      </c>
      <c r="B1388" t="s">
        <v>3765</v>
      </c>
      <c r="C1388">
        <v>27.29</v>
      </c>
      <c r="D1388">
        <v>27.41</v>
      </c>
      <c r="E1388">
        <v>26.86</v>
      </c>
      <c r="F1388">
        <v>26.99</v>
      </c>
      <c r="G1388">
        <v>19810</v>
      </c>
      <c r="H1388">
        <v>53525272</v>
      </c>
      <c r="I1388">
        <v>0.81</v>
      </c>
      <c r="J1388" t="s">
        <v>269</v>
      </c>
      <c r="K1388" t="s">
        <v>162</v>
      </c>
      <c r="L1388">
        <v>-1.1399999999999999</v>
      </c>
      <c r="M1388">
        <v>27.02</v>
      </c>
      <c r="N1388">
        <v>11172</v>
      </c>
      <c r="O1388">
        <v>8638</v>
      </c>
      <c r="P1388">
        <v>1.29</v>
      </c>
      <c r="Q1388">
        <v>317</v>
      </c>
      <c r="R1388">
        <v>125</v>
      </c>
      <c r="S1388" t="s">
        <v>3</v>
      </c>
      <c r="T1388">
        <v>54950.39</v>
      </c>
      <c r="U1388" t="s">
        <v>3766</v>
      </c>
      <c r="V1388" t="s">
        <v>3766</v>
      </c>
      <c r="W1388">
        <v>-0.98</v>
      </c>
    </row>
    <row r="1389" spans="1:23">
      <c r="A1389" t="str">
        <f>"300203"</f>
        <v>300203</v>
      </c>
      <c r="B1389" t="s">
        <v>3767</v>
      </c>
      <c r="C1389">
        <v>17.16</v>
      </c>
      <c r="D1389">
        <v>17.98</v>
      </c>
      <c r="E1389">
        <v>17.09</v>
      </c>
      <c r="F1389">
        <v>17.899999999999999</v>
      </c>
      <c r="G1389">
        <v>110031</v>
      </c>
      <c r="H1389">
        <v>193114848</v>
      </c>
      <c r="I1389">
        <v>1.64</v>
      </c>
      <c r="J1389" t="s">
        <v>617</v>
      </c>
      <c r="K1389" t="s">
        <v>229</v>
      </c>
      <c r="L1389">
        <v>4.3099999999999996</v>
      </c>
      <c r="M1389">
        <v>17.55</v>
      </c>
      <c r="N1389">
        <v>45423</v>
      </c>
      <c r="O1389">
        <v>64607</v>
      </c>
      <c r="P1389">
        <v>0.7</v>
      </c>
      <c r="Q1389">
        <v>849</v>
      </c>
      <c r="R1389">
        <v>188</v>
      </c>
      <c r="S1389" t="s">
        <v>3</v>
      </c>
      <c r="T1389">
        <v>44500</v>
      </c>
      <c r="U1389" t="s">
        <v>3768</v>
      </c>
      <c r="V1389" t="s">
        <v>3768</v>
      </c>
      <c r="W1389">
        <v>4.47</v>
      </c>
    </row>
    <row r="1390" spans="1:23">
      <c r="A1390" t="str">
        <f>"300204"</f>
        <v>300204</v>
      </c>
      <c r="B1390" t="s">
        <v>3769</v>
      </c>
      <c r="C1390">
        <v>25.95</v>
      </c>
      <c r="D1390">
        <v>26.02</v>
      </c>
      <c r="E1390">
        <v>25</v>
      </c>
      <c r="F1390">
        <v>25.88</v>
      </c>
      <c r="G1390">
        <v>23437</v>
      </c>
      <c r="H1390">
        <v>60049496</v>
      </c>
      <c r="I1390">
        <v>1.38</v>
      </c>
      <c r="J1390" t="s">
        <v>11</v>
      </c>
      <c r="K1390" t="s">
        <v>34</v>
      </c>
      <c r="L1390">
        <v>-1.07</v>
      </c>
      <c r="M1390">
        <v>25.62</v>
      </c>
      <c r="N1390">
        <v>14067</v>
      </c>
      <c r="O1390">
        <v>9369</v>
      </c>
      <c r="P1390">
        <v>1.5</v>
      </c>
      <c r="Q1390">
        <v>44</v>
      </c>
      <c r="R1390">
        <v>59</v>
      </c>
      <c r="S1390" t="s">
        <v>3</v>
      </c>
      <c r="T1390">
        <v>23575.42</v>
      </c>
      <c r="U1390" t="s">
        <v>3770</v>
      </c>
      <c r="V1390" t="s">
        <v>3771</v>
      </c>
      <c r="W1390">
        <v>-0.91</v>
      </c>
    </row>
    <row r="1391" spans="1:23">
      <c r="A1391" t="str">
        <f>"300205"</f>
        <v>300205</v>
      </c>
      <c r="B1391" t="s">
        <v>3772</v>
      </c>
      <c r="C1391">
        <v>17.5</v>
      </c>
      <c r="D1391">
        <v>18.920000000000002</v>
      </c>
      <c r="E1391">
        <v>17.16</v>
      </c>
      <c r="F1391">
        <v>18.41</v>
      </c>
      <c r="G1391">
        <v>492717</v>
      </c>
      <c r="H1391">
        <v>903466752</v>
      </c>
      <c r="I1391">
        <v>1.89</v>
      </c>
      <c r="J1391" t="s">
        <v>62</v>
      </c>
      <c r="K1391" t="s">
        <v>317</v>
      </c>
      <c r="L1391">
        <v>7.03</v>
      </c>
      <c r="M1391">
        <v>18.34</v>
      </c>
      <c r="N1391">
        <v>236320</v>
      </c>
      <c r="O1391">
        <v>256397</v>
      </c>
      <c r="P1391">
        <v>0.92</v>
      </c>
      <c r="Q1391">
        <v>1938</v>
      </c>
      <c r="R1391">
        <v>133</v>
      </c>
      <c r="S1391" t="s">
        <v>3</v>
      </c>
      <c r="T1391">
        <v>42476.94</v>
      </c>
      <c r="U1391" t="s">
        <v>3773</v>
      </c>
      <c r="V1391" t="s">
        <v>3774</v>
      </c>
      <c r="W1391">
        <v>7.19</v>
      </c>
    </row>
    <row r="1392" spans="1:23">
      <c r="A1392" t="str">
        <f>"300206"</f>
        <v>300206</v>
      </c>
      <c r="B1392" t="s">
        <v>3775</v>
      </c>
      <c r="C1392">
        <v>21.84</v>
      </c>
      <c r="D1392">
        <v>22.23</v>
      </c>
      <c r="E1392">
        <v>21.65</v>
      </c>
      <c r="F1392">
        <v>21.96</v>
      </c>
      <c r="G1392">
        <v>14816</v>
      </c>
      <c r="H1392">
        <v>32442304</v>
      </c>
      <c r="I1392">
        <v>0.64</v>
      </c>
      <c r="J1392" t="s">
        <v>1971</v>
      </c>
      <c r="K1392" t="s">
        <v>2</v>
      </c>
      <c r="L1392">
        <v>0.27</v>
      </c>
      <c r="M1392">
        <v>21.9</v>
      </c>
      <c r="N1392">
        <v>7600</v>
      </c>
      <c r="O1392">
        <v>7215</v>
      </c>
      <c r="P1392">
        <v>1.05</v>
      </c>
      <c r="Q1392">
        <v>22</v>
      </c>
      <c r="R1392">
        <v>20</v>
      </c>
      <c r="S1392" t="s">
        <v>3</v>
      </c>
      <c r="T1392">
        <v>11044.7</v>
      </c>
      <c r="U1392" t="s">
        <v>2580</v>
      </c>
      <c r="V1392" t="s">
        <v>3123</v>
      </c>
      <c r="W1392">
        <v>0.43</v>
      </c>
    </row>
    <row r="1393" spans="1:23">
      <c r="A1393" t="str">
        <f>"300207"</f>
        <v>300207</v>
      </c>
      <c r="B1393" t="s">
        <v>3776</v>
      </c>
      <c r="C1393" t="s">
        <v>3</v>
      </c>
      <c r="D1393" t="s">
        <v>3</v>
      </c>
      <c r="E1393" t="s">
        <v>3</v>
      </c>
      <c r="F1393">
        <v>0</v>
      </c>
      <c r="G1393">
        <v>0</v>
      </c>
      <c r="H1393">
        <v>0</v>
      </c>
      <c r="I1393">
        <v>0</v>
      </c>
      <c r="J1393" t="s">
        <v>62</v>
      </c>
      <c r="K1393" t="s">
        <v>2</v>
      </c>
      <c r="L1393" t="s">
        <v>3</v>
      </c>
      <c r="M1393">
        <v>32.93</v>
      </c>
      <c r="N1393">
        <v>0</v>
      </c>
      <c r="O1393">
        <v>0</v>
      </c>
      <c r="P1393" t="s">
        <v>3</v>
      </c>
      <c r="Q1393">
        <v>0</v>
      </c>
      <c r="R1393">
        <v>0</v>
      </c>
      <c r="S1393" t="s">
        <v>3</v>
      </c>
      <c r="T1393">
        <v>13507.67</v>
      </c>
      <c r="U1393" t="s">
        <v>3777</v>
      </c>
      <c r="V1393" t="s">
        <v>3778</v>
      </c>
      <c r="W1393">
        <v>0.16</v>
      </c>
    </row>
    <row r="1394" spans="1:23">
      <c r="A1394" t="str">
        <f>"300208"</f>
        <v>300208</v>
      </c>
      <c r="B1394" t="s">
        <v>3779</v>
      </c>
      <c r="C1394">
        <v>12.77</v>
      </c>
      <c r="D1394">
        <v>13.21</v>
      </c>
      <c r="E1394">
        <v>12.35</v>
      </c>
      <c r="F1394">
        <v>12.4</v>
      </c>
      <c r="G1394">
        <v>168921</v>
      </c>
      <c r="H1394">
        <v>213099344</v>
      </c>
      <c r="I1394">
        <v>1.1200000000000001</v>
      </c>
      <c r="J1394" t="s">
        <v>145</v>
      </c>
      <c r="K1394" t="s">
        <v>250</v>
      </c>
      <c r="L1394">
        <v>0.9</v>
      </c>
      <c r="M1394">
        <v>12.62</v>
      </c>
      <c r="N1394">
        <v>88941</v>
      </c>
      <c r="O1394">
        <v>79980</v>
      </c>
      <c r="P1394">
        <v>1.1100000000000001</v>
      </c>
      <c r="Q1394">
        <v>147</v>
      </c>
      <c r="R1394">
        <v>91</v>
      </c>
      <c r="S1394" t="s">
        <v>3</v>
      </c>
      <c r="T1394">
        <v>19052</v>
      </c>
      <c r="U1394" t="s">
        <v>2585</v>
      </c>
      <c r="V1394" t="s">
        <v>1829</v>
      </c>
      <c r="W1394">
        <v>1.05</v>
      </c>
    </row>
    <row r="1395" spans="1:23">
      <c r="A1395" t="str">
        <f>"300209"</f>
        <v>300209</v>
      </c>
      <c r="B1395" t="s">
        <v>3780</v>
      </c>
      <c r="C1395">
        <v>19.079999999999998</v>
      </c>
      <c r="D1395">
        <v>19.350000000000001</v>
      </c>
      <c r="E1395">
        <v>19</v>
      </c>
      <c r="F1395">
        <v>19.260000000000002</v>
      </c>
      <c r="G1395">
        <v>15470</v>
      </c>
      <c r="H1395">
        <v>29689608</v>
      </c>
      <c r="I1395">
        <v>0.6</v>
      </c>
      <c r="J1395" t="s">
        <v>758</v>
      </c>
      <c r="K1395" t="s">
        <v>244</v>
      </c>
      <c r="L1395">
        <v>0.31</v>
      </c>
      <c r="M1395">
        <v>19.190000000000001</v>
      </c>
      <c r="N1395">
        <v>8153</v>
      </c>
      <c r="O1395">
        <v>7316</v>
      </c>
      <c r="P1395">
        <v>1.1100000000000001</v>
      </c>
      <c r="Q1395">
        <v>67</v>
      </c>
      <c r="R1395">
        <v>56</v>
      </c>
      <c r="S1395" t="s">
        <v>3</v>
      </c>
      <c r="T1395">
        <v>16000</v>
      </c>
      <c r="U1395" t="s">
        <v>3781</v>
      </c>
      <c r="V1395" t="s">
        <v>3781</v>
      </c>
      <c r="W1395">
        <v>0.47</v>
      </c>
    </row>
    <row r="1396" spans="1:23">
      <c r="A1396" t="str">
        <f>"300210"</f>
        <v>300210</v>
      </c>
      <c r="B1396" t="s">
        <v>3782</v>
      </c>
      <c r="C1396">
        <v>15.55</v>
      </c>
      <c r="D1396">
        <v>15.76</v>
      </c>
      <c r="E1396">
        <v>15.11</v>
      </c>
      <c r="F1396">
        <v>15.38</v>
      </c>
      <c r="G1396">
        <v>19465</v>
      </c>
      <c r="H1396">
        <v>30121016</v>
      </c>
      <c r="I1396">
        <v>0.74</v>
      </c>
      <c r="J1396" t="s">
        <v>269</v>
      </c>
      <c r="K1396" t="s">
        <v>162</v>
      </c>
      <c r="L1396">
        <v>-2.16</v>
      </c>
      <c r="M1396">
        <v>15.47</v>
      </c>
      <c r="N1396">
        <v>8914</v>
      </c>
      <c r="O1396">
        <v>10551</v>
      </c>
      <c r="P1396">
        <v>0.84</v>
      </c>
      <c r="Q1396">
        <v>14</v>
      </c>
      <c r="R1396">
        <v>10</v>
      </c>
      <c r="S1396" t="s">
        <v>3</v>
      </c>
      <c r="T1396">
        <v>10989.19</v>
      </c>
      <c r="U1396" t="s">
        <v>528</v>
      </c>
      <c r="V1396" t="s">
        <v>3783</v>
      </c>
      <c r="W1396">
        <v>-2</v>
      </c>
    </row>
    <row r="1397" spans="1:23">
      <c r="A1397" t="str">
        <f>"300211"</f>
        <v>300211</v>
      </c>
      <c r="B1397" t="s">
        <v>3784</v>
      </c>
      <c r="C1397" t="s">
        <v>3</v>
      </c>
      <c r="D1397" t="s">
        <v>3</v>
      </c>
      <c r="E1397" t="s">
        <v>3</v>
      </c>
      <c r="F1397">
        <v>0</v>
      </c>
      <c r="G1397">
        <v>0</v>
      </c>
      <c r="H1397">
        <v>0</v>
      </c>
      <c r="I1397">
        <v>0</v>
      </c>
      <c r="J1397" t="s">
        <v>112</v>
      </c>
      <c r="K1397" t="s">
        <v>244</v>
      </c>
      <c r="L1397" t="s">
        <v>3</v>
      </c>
      <c r="M1397">
        <v>22.28</v>
      </c>
      <c r="N1397">
        <v>0</v>
      </c>
      <c r="O1397">
        <v>0</v>
      </c>
      <c r="P1397" t="s">
        <v>3</v>
      </c>
      <c r="Q1397">
        <v>0</v>
      </c>
      <c r="R1397">
        <v>0</v>
      </c>
      <c r="S1397" t="s">
        <v>3</v>
      </c>
      <c r="T1397">
        <v>4739.5200000000004</v>
      </c>
      <c r="U1397" t="s">
        <v>3785</v>
      </c>
      <c r="V1397" t="s">
        <v>3786</v>
      </c>
      <c r="W1397">
        <v>0.16</v>
      </c>
    </row>
    <row r="1398" spans="1:23">
      <c r="A1398" t="str">
        <f>"300212"</f>
        <v>300212</v>
      </c>
      <c r="B1398" t="s">
        <v>3787</v>
      </c>
      <c r="C1398" t="s">
        <v>3</v>
      </c>
      <c r="D1398" t="s">
        <v>3</v>
      </c>
      <c r="E1398" t="s">
        <v>3</v>
      </c>
      <c r="F1398">
        <v>0</v>
      </c>
      <c r="G1398">
        <v>0</v>
      </c>
      <c r="H1398">
        <v>0</v>
      </c>
      <c r="I1398">
        <v>0</v>
      </c>
      <c r="J1398" t="s">
        <v>758</v>
      </c>
      <c r="K1398" t="s">
        <v>34</v>
      </c>
      <c r="L1398" t="s">
        <v>3</v>
      </c>
      <c r="M1398">
        <v>35.22</v>
      </c>
      <c r="N1398">
        <v>0</v>
      </c>
      <c r="O1398">
        <v>0</v>
      </c>
      <c r="P1398" t="s">
        <v>3</v>
      </c>
      <c r="Q1398">
        <v>0</v>
      </c>
      <c r="R1398">
        <v>0</v>
      </c>
      <c r="S1398" t="s">
        <v>3</v>
      </c>
      <c r="T1398">
        <v>29710.77</v>
      </c>
      <c r="U1398" t="s">
        <v>3788</v>
      </c>
      <c r="V1398" t="s">
        <v>3789</v>
      </c>
      <c r="W1398">
        <v>0.16</v>
      </c>
    </row>
    <row r="1399" spans="1:23">
      <c r="A1399" t="str">
        <f>"300213"</f>
        <v>300213</v>
      </c>
      <c r="B1399" t="s">
        <v>3790</v>
      </c>
      <c r="C1399" t="s">
        <v>3</v>
      </c>
      <c r="D1399" t="s">
        <v>3</v>
      </c>
      <c r="E1399" t="s">
        <v>3</v>
      </c>
      <c r="F1399">
        <v>0</v>
      </c>
      <c r="G1399">
        <v>0</v>
      </c>
      <c r="H1399">
        <v>0</v>
      </c>
      <c r="I1399">
        <v>0</v>
      </c>
      <c r="J1399" t="s">
        <v>112</v>
      </c>
      <c r="K1399" t="s">
        <v>34</v>
      </c>
      <c r="L1399" t="s">
        <v>3</v>
      </c>
      <c r="M1399">
        <v>16.43</v>
      </c>
      <c r="N1399">
        <v>0</v>
      </c>
      <c r="O1399">
        <v>0</v>
      </c>
      <c r="P1399" t="s">
        <v>3</v>
      </c>
      <c r="Q1399">
        <v>0</v>
      </c>
      <c r="R1399">
        <v>0</v>
      </c>
      <c r="S1399" t="s">
        <v>3</v>
      </c>
      <c r="T1399">
        <v>12031.41</v>
      </c>
      <c r="U1399" t="s">
        <v>562</v>
      </c>
      <c r="V1399" t="s">
        <v>3791</v>
      </c>
      <c r="W1399">
        <v>0.16</v>
      </c>
    </row>
    <row r="1400" spans="1:23">
      <c r="A1400" t="str">
        <f>"300214"</f>
        <v>300214</v>
      </c>
      <c r="B1400" t="s">
        <v>3792</v>
      </c>
      <c r="C1400">
        <v>5.82</v>
      </c>
      <c r="D1400">
        <v>6.35</v>
      </c>
      <c r="E1400">
        <v>5.8</v>
      </c>
      <c r="F1400">
        <v>6.18</v>
      </c>
      <c r="G1400">
        <v>337492</v>
      </c>
      <c r="H1400">
        <v>206546528</v>
      </c>
      <c r="I1400">
        <v>2.42</v>
      </c>
      <c r="J1400" t="s">
        <v>376</v>
      </c>
      <c r="K1400" t="s">
        <v>250</v>
      </c>
      <c r="L1400">
        <v>6</v>
      </c>
      <c r="M1400">
        <v>6.12</v>
      </c>
      <c r="N1400">
        <v>157376</v>
      </c>
      <c r="O1400">
        <v>180116</v>
      </c>
      <c r="P1400">
        <v>0.87</v>
      </c>
      <c r="Q1400">
        <v>2202</v>
      </c>
      <c r="R1400">
        <v>303</v>
      </c>
      <c r="S1400" t="s">
        <v>3</v>
      </c>
      <c r="T1400">
        <v>26865.84</v>
      </c>
      <c r="U1400" t="s">
        <v>3793</v>
      </c>
      <c r="V1400" t="s">
        <v>3794</v>
      </c>
      <c r="W1400">
        <v>6.16</v>
      </c>
    </row>
    <row r="1401" spans="1:23">
      <c r="A1401" t="str">
        <f>"300215"</f>
        <v>300215</v>
      </c>
      <c r="B1401" t="s">
        <v>3795</v>
      </c>
      <c r="C1401">
        <v>9.1</v>
      </c>
      <c r="D1401">
        <v>9.1</v>
      </c>
      <c r="E1401">
        <v>9.02</v>
      </c>
      <c r="F1401">
        <v>9.0500000000000007</v>
      </c>
      <c r="G1401">
        <v>64500</v>
      </c>
      <c r="H1401">
        <v>58447356</v>
      </c>
      <c r="I1401">
        <v>0.62</v>
      </c>
      <c r="J1401" t="s">
        <v>145</v>
      </c>
      <c r="K1401" t="s">
        <v>244</v>
      </c>
      <c r="L1401">
        <v>-0.55000000000000004</v>
      </c>
      <c r="M1401">
        <v>9.06</v>
      </c>
      <c r="N1401">
        <v>39602</v>
      </c>
      <c r="O1401">
        <v>24898</v>
      </c>
      <c r="P1401">
        <v>1.59</v>
      </c>
      <c r="Q1401">
        <v>1899</v>
      </c>
      <c r="R1401">
        <v>1468</v>
      </c>
      <c r="S1401" t="s">
        <v>3</v>
      </c>
      <c r="T1401">
        <v>47999.85</v>
      </c>
      <c r="U1401" t="s">
        <v>3796</v>
      </c>
      <c r="V1401" t="s">
        <v>3797</v>
      </c>
      <c r="W1401">
        <v>-0.39</v>
      </c>
    </row>
    <row r="1402" spans="1:23">
      <c r="A1402" t="str">
        <f>"300216"</f>
        <v>300216</v>
      </c>
      <c r="B1402" t="s">
        <v>3798</v>
      </c>
      <c r="C1402">
        <v>33</v>
      </c>
      <c r="D1402">
        <v>34.299999999999997</v>
      </c>
      <c r="E1402">
        <v>32.6</v>
      </c>
      <c r="F1402">
        <v>33.58</v>
      </c>
      <c r="G1402">
        <v>83031</v>
      </c>
      <c r="H1402">
        <v>277932512</v>
      </c>
      <c r="I1402">
        <v>0.88</v>
      </c>
      <c r="J1402" t="s">
        <v>1971</v>
      </c>
      <c r="K1402" t="s">
        <v>234</v>
      </c>
      <c r="L1402">
        <v>2.6</v>
      </c>
      <c r="M1402">
        <v>33.47</v>
      </c>
      <c r="N1402">
        <v>40532</v>
      </c>
      <c r="O1402">
        <v>42498</v>
      </c>
      <c r="P1402">
        <v>0.95</v>
      </c>
      <c r="Q1402">
        <v>213</v>
      </c>
      <c r="R1402">
        <v>159</v>
      </c>
      <c r="S1402" t="s">
        <v>3</v>
      </c>
      <c r="T1402">
        <v>12047.29</v>
      </c>
      <c r="U1402" t="s">
        <v>3799</v>
      </c>
      <c r="V1402" t="s">
        <v>2829</v>
      </c>
      <c r="W1402">
        <v>2.76</v>
      </c>
    </row>
    <row r="1403" spans="1:23">
      <c r="A1403" t="str">
        <f>"300217"</f>
        <v>300217</v>
      </c>
      <c r="B1403" t="s">
        <v>3800</v>
      </c>
      <c r="C1403">
        <v>20.149999999999999</v>
      </c>
      <c r="D1403">
        <v>20.66</v>
      </c>
      <c r="E1403">
        <v>20</v>
      </c>
      <c r="F1403">
        <v>20.55</v>
      </c>
      <c r="G1403">
        <v>42570</v>
      </c>
      <c r="H1403">
        <v>87004864</v>
      </c>
      <c r="I1403">
        <v>1.26</v>
      </c>
      <c r="J1403" t="s">
        <v>617</v>
      </c>
      <c r="K1403" t="s">
        <v>244</v>
      </c>
      <c r="L1403">
        <v>2.54</v>
      </c>
      <c r="M1403">
        <v>20.440000000000001</v>
      </c>
      <c r="N1403">
        <v>17350</v>
      </c>
      <c r="O1403">
        <v>25220</v>
      </c>
      <c r="P1403">
        <v>0.69</v>
      </c>
      <c r="Q1403">
        <v>123</v>
      </c>
      <c r="R1403">
        <v>312</v>
      </c>
      <c r="S1403" t="s">
        <v>3</v>
      </c>
      <c r="T1403">
        <v>7782.83</v>
      </c>
      <c r="U1403" t="s">
        <v>3801</v>
      </c>
      <c r="V1403" t="s">
        <v>2800</v>
      </c>
      <c r="W1403">
        <v>2.7</v>
      </c>
    </row>
    <row r="1404" spans="1:23">
      <c r="A1404" t="str">
        <f>"300218"</f>
        <v>300218</v>
      </c>
      <c r="B1404" t="s">
        <v>3802</v>
      </c>
      <c r="C1404">
        <v>12.31</v>
      </c>
      <c r="D1404">
        <v>12.31</v>
      </c>
      <c r="E1404">
        <v>11.91</v>
      </c>
      <c r="F1404">
        <v>12</v>
      </c>
      <c r="G1404">
        <v>25760</v>
      </c>
      <c r="H1404">
        <v>31055252</v>
      </c>
      <c r="I1404">
        <v>0.84</v>
      </c>
      <c r="J1404" t="s">
        <v>273</v>
      </c>
      <c r="K1404" t="s">
        <v>220</v>
      </c>
      <c r="L1404">
        <v>-0.91</v>
      </c>
      <c r="M1404">
        <v>12.06</v>
      </c>
      <c r="N1404">
        <v>14121</v>
      </c>
      <c r="O1404">
        <v>11638</v>
      </c>
      <c r="P1404">
        <v>1.21</v>
      </c>
      <c r="Q1404">
        <v>77</v>
      </c>
      <c r="R1404">
        <v>123</v>
      </c>
      <c r="S1404" t="s">
        <v>3</v>
      </c>
      <c r="T1404">
        <v>16368</v>
      </c>
      <c r="U1404" t="s">
        <v>2859</v>
      </c>
      <c r="V1404" t="s">
        <v>3654</v>
      </c>
      <c r="W1404">
        <v>-0.75</v>
      </c>
    </row>
    <row r="1405" spans="1:23">
      <c r="A1405" t="str">
        <f>"300219"</f>
        <v>300219</v>
      </c>
      <c r="B1405" t="s">
        <v>3803</v>
      </c>
      <c r="C1405">
        <v>13.95</v>
      </c>
      <c r="D1405">
        <v>14.1</v>
      </c>
      <c r="E1405">
        <v>13.78</v>
      </c>
      <c r="F1405">
        <v>13.9</v>
      </c>
      <c r="G1405">
        <v>141690</v>
      </c>
      <c r="H1405">
        <v>197463152</v>
      </c>
      <c r="I1405">
        <v>1.01</v>
      </c>
      <c r="J1405" t="s">
        <v>62</v>
      </c>
      <c r="K1405" t="s">
        <v>211</v>
      </c>
      <c r="L1405">
        <v>1.61</v>
      </c>
      <c r="M1405">
        <v>13.94</v>
      </c>
      <c r="N1405">
        <v>74253</v>
      </c>
      <c r="O1405">
        <v>67437</v>
      </c>
      <c r="P1405">
        <v>1.1000000000000001</v>
      </c>
      <c r="Q1405">
        <v>523</v>
      </c>
      <c r="R1405">
        <v>685</v>
      </c>
      <c r="S1405" t="s">
        <v>3</v>
      </c>
      <c r="T1405">
        <v>10650.16</v>
      </c>
      <c r="U1405" t="s">
        <v>1022</v>
      </c>
      <c r="V1405" t="s">
        <v>1307</v>
      </c>
      <c r="W1405">
        <v>1.77</v>
      </c>
    </row>
    <row r="1406" spans="1:23">
      <c r="A1406" t="str">
        <f>"300220"</f>
        <v>300220</v>
      </c>
      <c r="B1406" t="s">
        <v>3804</v>
      </c>
      <c r="C1406">
        <v>50.39</v>
      </c>
      <c r="D1406">
        <v>50.68</v>
      </c>
      <c r="E1406">
        <v>47.7</v>
      </c>
      <c r="F1406">
        <v>48.6</v>
      </c>
      <c r="G1406">
        <v>35552</v>
      </c>
      <c r="H1406">
        <v>172430896</v>
      </c>
      <c r="I1406">
        <v>1.35</v>
      </c>
      <c r="J1406" t="s">
        <v>62</v>
      </c>
      <c r="K1406" t="s">
        <v>317</v>
      </c>
      <c r="L1406">
        <v>-2.8</v>
      </c>
      <c r="M1406">
        <v>48.5</v>
      </c>
      <c r="N1406">
        <v>19679</v>
      </c>
      <c r="O1406">
        <v>15873</v>
      </c>
      <c r="P1406">
        <v>1.24</v>
      </c>
      <c r="Q1406">
        <v>18</v>
      </c>
      <c r="R1406">
        <v>1</v>
      </c>
      <c r="S1406" t="s">
        <v>3</v>
      </c>
      <c r="T1406">
        <v>3626.29</v>
      </c>
      <c r="U1406" t="s">
        <v>3805</v>
      </c>
      <c r="V1406" t="s">
        <v>3806</v>
      </c>
      <c r="W1406">
        <v>-2.64</v>
      </c>
    </row>
    <row r="1407" spans="1:23">
      <c r="A1407" t="str">
        <f>"300221"</f>
        <v>300221</v>
      </c>
      <c r="B1407" t="s">
        <v>3807</v>
      </c>
      <c r="C1407">
        <v>12.15</v>
      </c>
      <c r="D1407">
        <v>13.42</v>
      </c>
      <c r="E1407">
        <v>11.95</v>
      </c>
      <c r="F1407">
        <v>12.9</v>
      </c>
      <c r="G1407">
        <v>135534</v>
      </c>
      <c r="H1407">
        <v>174669792</v>
      </c>
      <c r="I1407">
        <v>1.5</v>
      </c>
      <c r="J1407" t="s">
        <v>273</v>
      </c>
      <c r="K1407" t="s">
        <v>211</v>
      </c>
      <c r="L1407">
        <v>5.74</v>
      </c>
      <c r="M1407">
        <v>12.89</v>
      </c>
      <c r="N1407">
        <v>58101</v>
      </c>
      <c r="O1407">
        <v>77432</v>
      </c>
      <c r="P1407">
        <v>0.75</v>
      </c>
      <c r="Q1407">
        <v>186</v>
      </c>
      <c r="R1407">
        <v>105</v>
      </c>
      <c r="S1407" t="s">
        <v>3</v>
      </c>
      <c r="T1407">
        <v>12437.5</v>
      </c>
      <c r="U1407" t="s">
        <v>3808</v>
      </c>
      <c r="V1407" t="s">
        <v>3809</v>
      </c>
      <c r="W1407">
        <v>5.9</v>
      </c>
    </row>
    <row r="1408" spans="1:23">
      <c r="A1408" t="str">
        <f>"300222"</f>
        <v>300222</v>
      </c>
      <c r="B1408" t="s">
        <v>3810</v>
      </c>
      <c r="C1408">
        <v>25.15</v>
      </c>
      <c r="D1408">
        <v>25.69</v>
      </c>
      <c r="E1408">
        <v>24.71</v>
      </c>
      <c r="F1408">
        <v>25.69</v>
      </c>
      <c r="G1408">
        <v>15520</v>
      </c>
      <c r="H1408">
        <v>39367304</v>
      </c>
      <c r="I1408">
        <v>1.08</v>
      </c>
      <c r="J1408" t="s">
        <v>145</v>
      </c>
      <c r="K1408" t="s">
        <v>727</v>
      </c>
      <c r="L1408">
        <v>2.19</v>
      </c>
      <c r="M1408">
        <v>25.36</v>
      </c>
      <c r="N1408">
        <v>5104</v>
      </c>
      <c r="O1408">
        <v>10416</v>
      </c>
      <c r="P1408">
        <v>0.49</v>
      </c>
      <c r="Q1408">
        <v>176</v>
      </c>
      <c r="R1408">
        <v>36</v>
      </c>
      <c r="S1408" t="s">
        <v>3</v>
      </c>
      <c r="T1408">
        <v>7896.02</v>
      </c>
      <c r="U1408" t="s">
        <v>3146</v>
      </c>
      <c r="V1408" t="s">
        <v>2310</v>
      </c>
      <c r="W1408">
        <v>2.35</v>
      </c>
    </row>
    <row r="1409" spans="1:23">
      <c r="A1409" t="str">
        <f>"300223"</f>
        <v>300223</v>
      </c>
      <c r="B1409" t="s">
        <v>3811</v>
      </c>
      <c r="C1409">
        <v>32.25</v>
      </c>
      <c r="D1409">
        <v>32.25</v>
      </c>
      <c r="E1409">
        <v>31.62</v>
      </c>
      <c r="F1409">
        <v>31.82</v>
      </c>
      <c r="G1409">
        <v>24253</v>
      </c>
      <c r="H1409">
        <v>77131976</v>
      </c>
      <c r="I1409">
        <v>0.89</v>
      </c>
      <c r="J1409" t="s">
        <v>1581</v>
      </c>
      <c r="K1409" t="s">
        <v>34</v>
      </c>
      <c r="L1409">
        <v>-1.06</v>
      </c>
      <c r="M1409">
        <v>31.8</v>
      </c>
      <c r="N1409">
        <v>14673</v>
      </c>
      <c r="O1409">
        <v>9579</v>
      </c>
      <c r="P1409">
        <v>1.53</v>
      </c>
      <c r="Q1409">
        <v>54</v>
      </c>
      <c r="R1409">
        <v>8</v>
      </c>
      <c r="S1409" t="s">
        <v>3</v>
      </c>
      <c r="T1409">
        <v>5711.58</v>
      </c>
      <c r="U1409" t="s">
        <v>3812</v>
      </c>
      <c r="V1409" t="s">
        <v>3813</v>
      </c>
      <c r="W1409">
        <v>-0.9</v>
      </c>
    </row>
    <row r="1410" spans="1:23">
      <c r="A1410" t="str">
        <f>"300224"</f>
        <v>300224</v>
      </c>
      <c r="B1410" t="s">
        <v>3814</v>
      </c>
      <c r="C1410" t="s">
        <v>3</v>
      </c>
      <c r="D1410" t="s">
        <v>3</v>
      </c>
      <c r="E1410" t="s">
        <v>3</v>
      </c>
      <c r="F1410">
        <v>0</v>
      </c>
      <c r="G1410">
        <v>0</v>
      </c>
      <c r="H1410">
        <v>0</v>
      </c>
      <c r="I1410">
        <v>0</v>
      </c>
      <c r="J1410" t="s">
        <v>62</v>
      </c>
      <c r="K1410" t="s">
        <v>250</v>
      </c>
      <c r="L1410" t="s">
        <v>3</v>
      </c>
      <c r="M1410">
        <v>25</v>
      </c>
      <c r="N1410">
        <v>0</v>
      </c>
      <c r="O1410">
        <v>0</v>
      </c>
      <c r="P1410" t="s">
        <v>3</v>
      </c>
      <c r="Q1410">
        <v>0</v>
      </c>
      <c r="R1410">
        <v>0</v>
      </c>
      <c r="S1410" t="s">
        <v>3</v>
      </c>
      <c r="T1410">
        <v>24000</v>
      </c>
      <c r="U1410" t="s">
        <v>3815</v>
      </c>
      <c r="V1410" t="s">
        <v>3815</v>
      </c>
      <c r="W1410">
        <v>0.16</v>
      </c>
    </row>
    <row r="1411" spans="1:23">
      <c r="A1411" t="str">
        <f>"300225"</f>
        <v>300225</v>
      </c>
      <c r="B1411" t="s">
        <v>3816</v>
      </c>
      <c r="C1411">
        <v>9.27</v>
      </c>
      <c r="D1411">
        <v>9.39</v>
      </c>
      <c r="E1411">
        <v>9.18</v>
      </c>
      <c r="F1411">
        <v>9.3000000000000007</v>
      </c>
      <c r="G1411">
        <v>51156</v>
      </c>
      <c r="H1411">
        <v>47375476</v>
      </c>
      <c r="I1411">
        <v>0.86</v>
      </c>
      <c r="J1411" t="s">
        <v>522</v>
      </c>
      <c r="K1411" t="s">
        <v>727</v>
      </c>
      <c r="L1411">
        <v>0.32</v>
      </c>
      <c r="M1411">
        <v>9.26</v>
      </c>
      <c r="N1411">
        <v>25943</v>
      </c>
      <c r="O1411">
        <v>25212</v>
      </c>
      <c r="P1411">
        <v>1.03</v>
      </c>
      <c r="Q1411">
        <v>727</v>
      </c>
      <c r="R1411">
        <v>647</v>
      </c>
      <c r="S1411" t="s">
        <v>3</v>
      </c>
      <c r="T1411">
        <v>17954.080000000002</v>
      </c>
      <c r="U1411" t="s">
        <v>2955</v>
      </c>
      <c r="V1411" t="s">
        <v>908</v>
      </c>
      <c r="W1411">
        <v>0.48</v>
      </c>
    </row>
    <row r="1412" spans="1:23">
      <c r="A1412" t="str">
        <f>"300226"</f>
        <v>300226</v>
      </c>
      <c r="B1412" t="s">
        <v>3817</v>
      </c>
      <c r="C1412">
        <v>48.89</v>
      </c>
      <c r="D1412">
        <v>49.9</v>
      </c>
      <c r="E1412">
        <v>47.5</v>
      </c>
      <c r="F1412">
        <v>48.58</v>
      </c>
      <c r="G1412">
        <v>39282</v>
      </c>
      <c r="H1412">
        <v>191458288</v>
      </c>
      <c r="I1412">
        <v>1.08</v>
      </c>
      <c r="J1412" t="s">
        <v>355</v>
      </c>
      <c r="K1412" t="s">
        <v>727</v>
      </c>
      <c r="L1412">
        <v>2.36</v>
      </c>
      <c r="M1412">
        <v>48.74</v>
      </c>
      <c r="N1412">
        <v>19480</v>
      </c>
      <c r="O1412">
        <v>19801</v>
      </c>
      <c r="P1412">
        <v>0.98</v>
      </c>
      <c r="Q1412">
        <v>30</v>
      </c>
      <c r="R1412">
        <v>252</v>
      </c>
      <c r="S1412" t="s">
        <v>3</v>
      </c>
      <c r="T1412">
        <v>13383.24</v>
      </c>
      <c r="U1412" t="s">
        <v>3818</v>
      </c>
      <c r="V1412" t="s">
        <v>3819</v>
      </c>
      <c r="W1412">
        <v>2.52</v>
      </c>
    </row>
    <row r="1413" spans="1:23">
      <c r="A1413" t="str">
        <f>"300227"</f>
        <v>300227</v>
      </c>
      <c r="B1413" t="s">
        <v>3820</v>
      </c>
      <c r="C1413">
        <v>18.3</v>
      </c>
      <c r="D1413">
        <v>18.760000000000002</v>
      </c>
      <c r="E1413">
        <v>18.2</v>
      </c>
      <c r="F1413">
        <v>18.62</v>
      </c>
      <c r="G1413">
        <v>44789</v>
      </c>
      <c r="H1413">
        <v>82957544</v>
      </c>
      <c r="I1413">
        <v>0.56000000000000005</v>
      </c>
      <c r="J1413" t="s">
        <v>62</v>
      </c>
      <c r="K1413" t="s">
        <v>2</v>
      </c>
      <c r="L1413">
        <v>0.76</v>
      </c>
      <c r="M1413">
        <v>18.52</v>
      </c>
      <c r="N1413">
        <v>23123</v>
      </c>
      <c r="O1413">
        <v>21666</v>
      </c>
      <c r="P1413">
        <v>1.07</v>
      </c>
      <c r="Q1413">
        <v>212</v>
      </c>
      <c r="R1413">
        <v>29</v>
      </c>
      <c r="S1413" t="s">
        <v>3</v>
      </c>
      <c r="T1413">
        <v>13400</v>
      </c>
      <c r="U1413" t="s">
        <v>2837</v>
      </c>
      <c r="V1413" t="s">
        <v>365</v>
      </c>
      <c r="W1413">
        <v>0.92</v>
      </c>
    </row>
    <row r="1414" spans="1:23">
      <c r="A1414" t="str">
        <f>"300228"</f>
        <v>300228</v>
      </c>
      <c r="B1414" t="s">
        <v>3821</v>
      </c>
      <c r="C1414">
        <v>52.35</v>
      </c>
      <c r="D1414">
        <v>53.87</v>
      </c>
      <c r="E1414">
        <v>51.84</v>
      </c>
      <c r="F1414">
        <v>53.7</v>
      </c>
      <c r="G1414">
        <v>72824</v>
      </c>
      <c r="H1414">
        <v>386034688</v>
      </c>
      <c r="I1414">
        <v>1.74</v>
      </c>
      <c r="J1414" t="s">
        <v>1082</v>
      </c>
      <c r="K1414" t="s">
        <v>244</v>
      </c>
      <c r="L1414">
        <v>2.54</v>
      </c>
      <c r="M1414">
        <v>53.01</v>
      </c>
      <c r="N1414">
        <v>33287</v>
      </c>
      <c r="O1414">
        <v>39537</v>
      </c>
      <c r="P1414">
        <v>0.84</v>
      </c>
      <c r="Q1414">
        <v>133</v>
      </c>
      <c r="R1414">
        <v>59</v>
      </c>
      <c r="S1414" t="s">
        <v>3</v>
      </c>
      <c r="T1414">
        <v>9991.25</v>
      </c>
      <c r="U1414" t="s">
        <v>3822</v>
      </c>
      <c r="V1414" t="s">
        <v>3823</v>
      </c>
      <c r="W1414">
        <v>2.7</v>
      </c>
    </row>
    <row r="1415" spans="1:23">
      <c r="A1415" t="str">
        <f>"300229"</f>
        <v>300229</v>
      </c>
      <c r="B1415" t="s">
        <v>3824</v>
      </c>
      <c r="C1415">
        <v>26.1</v>
      </c>
      <c r="D1415">
        <v>26.27</v>
      </c>
      <c r="E1415">
        <v>25.38</v>
      </c>
      <c r="F1415">
        <v>25.6</v>
      </c>
      <c r="G1415">
        <v>34126</v>
      </c>
      <c r="H1415">
        <v>87754368</v>
      </c>
      <c r="I1415">
        <v>0.78</v>
      </c>
      <c r="J1415" t="s">
        <v>758</v>
      </c>
      <c r="K1415" t="s">
        <v>34</v>
      </c>
      <c r="L1415">
        <v>-2.74</v>
      </c>
      <c r="M1415">
        <v>25.72</v>
      </c>
      <c r="N1415">
        <v>21036</v>
      </c>
      <c r="O1415">
        <v>13089</v>
      </c>
      <c r="P1415">
        <v>1.61</v>
      </c>
      <c r="Q1415">
        <v>247</v>
      </c>
      <c r="R1415">
        <v>18</v>
      </c>
      <c r="S1415" t="s">
        <v>3</v>
      </c>
      <c r="T1415">
        <v>20488.22</v>
      </c>
      <c r="U1415" t="s">
        <v>330</v>
      </c>
      <c r="V1415" t="s">
        <v>3825</v>
      </c>
      <c r="W1415">
        <v>-2.58</v>
      </c>
    </row>
    <row r="1416" spans="1:23">
      <c r="A1416" t="str">
        <f>"300230"</f>
        <v>300230</v>
      </c>
      <c r="B1416" t="s">
        <v>3826</v>
      </c>
      <c r="C1416" t="s">
        <v>3</v>
      </c>
      <c r="D1416" t="s">
        <v>3</v>
      </c>
      <c r="E1416" t="s">
        <v>3</v>
      </c>
      <c r="F1416">
        <v>0</v>
      </c>
      <c r="G1416">
        <v>0</v>
      </c>
      <c r="H1416">
        <v>0</v>
      </c>
      <c r="I1416">
        <v>0</v>
      </c>
      <c r="J1416" t="s">
        <v>273</v>
      </c>
      <c r="K1416" t="s">
        <v>727</v>
      </c>
      <c r="L1416" t="s">
        <v>3</v>
      </c>
      <c r="M1416">
        <v>9.6300000000000008</v>
      </c>
      <c r="N1416">
        <v>0</v>
      </c>
      <c r="O1416">
        <v>0</v>
      </c>
      <c r="P1416" t="s">
        <v>3</v>
      </c>
      <c r="Q1416">
        <v>0</v>
      </c>
      <c r="R1416">
        <v>0</v>
      </c>
      <c r="S1416" t="s">
        <v>3</v>
      </c>
      <c r="T1416">
        <v>10127.07</v>
      </c>
      <c r="U1416" t="s">
        <v>3827</v>
      </c>
      <c r="V1416" t="s">
        <v>3828</v>
      </c>
      <c r="W1416">
        <v>0.16</v>
      </c>
    </row>
    <row r="1417" spans="1:23">
      <c r="A1417" t="str">
        <f>"300231"</f>
        <v>300231</v>
      </c>
      <c r="B1417" t="s">
        <v>3829</v>
      </c>
      <c r="C1417">
        <v>12.18</v>
      </c>
      <c r="D1417">
        <v>12.57</v>
      </c>
      <c r="E1417">
        <v>12.03</v>
      </c>
      <c r="F1417">
        <v>12.46</v>
      </c>
      <c r="G1417">
        <v>100355</v>
      </c>
      <c r="H1417">
        <v>123643600</v>
      </c>
      <c r="I1417">
        <v>0.97</v>
      </c>
      <c r="J1417" t="s">
        <v>758</v>
      </c>
      <c r="K1417" t="s">
        <v>34</v>
      </c>
      <c r="L1417">
        <v>1.96</v>
      </c>
      <c r="M1417">
        <v>12.32</v>
      </c>
      <c r="N1417">
        <v>46014</v>
      </c>
      <c r="O1417">
        <v>54340</v>
      </c>
      <c r="P1417">
        <v>0.85</v>
      </c>
      <c r="Q1417">
        <v>1232</v>
      </c>
      <c r="R1417">
        <v>119</v>
      </c>
      <c r="S1417" t="s">
        <v>3</v>
      </c>
      <c r="T1417">
        <v>15562.79</v>
      </c>
      <c r="U1417" t="s">
        <v>3830</v>
      </c>
      <c r="V1417" t="s">
        <v>2446</v>
      </c>
      <c r="W1417">
        <v>2.12</v>
      </c>
    </row>
    <row r="1418" spans="1:23">
      <c r="A1418" t="str">
        <f>"300232"</f>
        <v>300232</v>
      </c>
      <c r="B1418" t="s">
        <v>3831</v>
      </c>
      <c r="C1418">
        <v>33.11</v>
      </c>
      <c r="D1418">
        <v>33.47</v>
      </c>
      <c r="E1418">
        <v>32.93</v>
      </c>
      <c r="F1418">
        <v>33.229999999999997</v>
      </c>
      <c r="G1418">
        <v>17736</v>
      </c>
      <c r="H1418">
        <v>58843756</v>
      </c>
      <c r="I1418">
        <v>0.76</v>
      </c>
      <c r="J1418" t="s">
        <v>1581</v>
      </c>
      <c r="K1418" t="s">
        <v>2</v>
      </c>
      <c r="L1418">
        <v>-0.36</v>
      </c>
      <c r="M1418">
        <v>33.18</v>
      </c>
      <c r="N1418">
        <v>8035</v>
      </c>
      <c r="O1418">
        <v>9701</v>
      </c>
      <c r="P1418">
        <v>0.83</v>
      </c>
      <c r="Q1418">
        <v>9</v>
      </c>
      <c r="R1418">
        <v>34</v>
      </c>
      <c r="S1418" t="s">
        <v>3</v>
      </c>
      <c r="T1418">
        <v>5990.27</v>
      </c>
      <c r="U1418" t="s">
        <v>3501</v>
      </c>
      <c r="V1418" t="s">
        <v>3832</v>
      </c>
      <c r="W1418">
        <v>-0.2</v>
      </c>
    </row>
    <row r="1419" spans="1:23">
      <c r="A1419" t="str">
        <f>"300233"</f>
        <v>300233</v>
      </c>
      <c r="B1419" t="s">
        <v>3833</v>
      </c>
      <c r="C1419">
        <v>31.53</v>
      </c>
      <c r="D1419">
        <v>31.7</v>
      </c>
      <c r="E1419">
        <v>31</v>
      </c>
      <c r="F1419">
        <v>31.54</v>
      </c>
      <c r="G1419">
        <v>13429</v>
      </c>
      <c r="H1419">
        <v>42022472</v>
      </c>
      <c r="I1419">
        <v>0.74</v>
      </c>
      <c r="J1419" t="s">
        <v>219</v>
      </c>
      <c r="K1419" t="s">
        <v>250</v>
      </c>
      <c r="L1419">
        <v>-0.03</v>
      </c>
      <c r="M1419">
        <v>31.29</v>
      </c>
      <c r="N1419">
        <v>7805</v>
      </c>
      <c r="O1419">
        <v>5624</v>
      </c>
      <c r="P1419">
        <v>1.39</v>
      </c>
      <c r="Q1419">
        <v>54</v>
      </c>
      <c r="R1419">
        <v>4</v>
      </c>
      <c r="S1419" t="s">
        <v>3</v>
      </c>
      <c r="T1419">
        <v>12100</v>
      </c>
      <c r="U1419" t="s">
        <v>3834</v>
      </c>
      <c r="V1419" t="s">
        <v>3467</v>
      </c>
      <c r="W1419">
        <v>0.13</v>
      </c>
    </row>
    <row r="1420" spans="1:23">
      <c r="A1420" t="str">
        <f>"300234"</f>
        <v>300234</v>
      </c>
      <c r="B1420" t="s">
        <v>3835</v>
      </c>
      <c r="C1420">
        <v>15.9</v>
      </c>
      <c r="D1420">
        <v>15.91</v>
      </c>
      <c r="E1420">
        <v>15.62</v>
      </c>
      <c r="F1420">
        <v>15.83</v>
      </c>
      <c r="G1420">
        <v>36992</v>
      </c>
      <c r="H1420">
        <v>58290516</v>
      </c>
      <c r="I1420">
        <v>0.54</v>
      </c>
      <c r="J1420" t="s">
        <v>1643</v>
      </c>
      <c r="K1420" t="s">
        <v>229</v>
      </c>
      <c r="L1420">
        <v>-0.38</v>
      </c>
      <c r="M1420">
        <v>15.76</v>
      </c>
      <c r="N1420">
        <v>21272</v>
      </c>
      <c r="O1420">
        <v>15719</v>
      </c>
      <c r="P1420">
        <v>1.35</v>
      </c>
      <c r="Q1420">
        <v>10</v>
      </c>
      <c r="R1420">
        <v>357</v>
      </c>
      <c r="S1420" t="s">
        <v>3</v>
      </c>
      <c r="T1420">
        <v>13487.91</v>
      </c>
      <c r="U1420" t="s">
        <v>3836</v>
      </c>
      <c r="V1420" t="s">
        <v>3837</v>
      </c>
      <c r="W1420">
        <v>-0.22</v>
      </c>
    </row>
    <row r="1421" spans="1:23">
      <c r="A1421" t="str">
        <f>"300235"</f>
        <v>300235</v>
      </c>
      <c r="B1421" t="s">
        <v>3838</v>
      </c>
      <c r="C1421">
        <v>21.1</v>
      </c>
      <c r="D1421">
        <v>21.4</v>
      </c>
      <c r="E1421">
        <v>20.86</v>
      </c>
      <c r="F1421">
        <v>21.13</v>
      </c>
      <c r="G1421">
        <v>53865</v>
      </c>
      <c r="H1421">
        <v>113724632</v>
      </c>
      <c r="I1421">
        <v>0.65</v>
      </c>
      <c r="J1421" t="s">
        <v>758</v>
      </c>
      <c r="K1421" t="s">
        <v>2</v>
      </c>
      <c r="L1421">
        <v>-0.42</v>
      </c>
      <c r="M1421">
        <v>21.11</v>
      </c>
      <c r="N1421">
        <v>27027</v>
      </c>
      <c r="O1421">
        <v>26838</v>
      </c>
      <c r="P1421">
        <v>1.01</v>
      </c>
      <c r="Q1421">
        <v>260</v>
      </c>
      <c r="R1421">
        <v>33</v>
      </c>
      <c r="S1421" t="s">
        <v>3</v>
      </c>
      <c r="T1421">
        <v>8879.73</v>
      </c>
      <c r="U1421" t="s">
        <v>3839</v>
      </c>
      <c r="V1421" t="s">
        <v>1803</v>
      </c>
      <c r="W1421">
        <v>-0.27</v>
      </c>
    </row>
    <row r="1422" spans="1:23">
      <c r="A1422" t="str">
        <f>"300236"</f>
        <v>300236</v>
      </c>
      <c r="B1422" t="s">
        <v>3840</v>
      </c>
      <c r="C1422">
        <v>40.11</v>
      </c>
      <c r="D1422">
        <v>40.85</v>
      </c>
      <c r="E1422">
        <v>39.5</v>
      </c>
      <c r="F1422">
        <v>40.68</v>
      </c>
      <c r="G1422">
        <v>10576</v>
      </c>
      <c r="H1422">
        <v>42462660</v>
      </c>
      <c r="I1422">
        <v>0.88</v>
      </c>
      <c r="J1422" t="s">
        <v>376</v>
      </c>
      <c r="K1422" t="s">
        <v>727</v>
      </c>
      <c r="L1422">
        <v>0</v>
      </c>
      <c r="M1422">
        <v>40.15</v>
      </c>
      <c r="N1422">
        <v>4664</v>
      </c>
      <c r="O1422">
        <v>5911</v>
      </c>
      <c r="P1422">
        <v>0.79</v>
      </c>
      <c r="Q1422">
        <v>3</v>
      </c>
      <c r="R1422">
        <v>46</v>
      </c>
      <c r="S1422" t="s">
        <v>3</v>
      </c>
      <c r="T1422">
        <v>8518</v>
      </c>
      <c r="U1422" t="s">
        <v>3449</v>
      </c>
      <c r="V1422" t="s">
        <v>2686</v>
      </c>
      <c r="W1422">
        <v>0.16</v>
      </c>
    </row>
    <row r="1423" spans="1:23">
      <c r="A1423" t="str">
        <f>"300237"</f>
        <v>300237</v>
      </c>
      <c r="B1423" t="s">
        <v>3841</v>
      </c>
      <c r="C1423">
        <v>23</v>
      </c>
      <c r="D1423">
        <v>24.08</v>
      </c>
      <c r="E1423">
        <v>22.8</v>
      </c>
      <c r="F1423">
        <v>23.71</v>
      </c>
      <c r="G1423">
        <v>35102</v>
      </c>
      <c r="H1423">
        <v>82356864</v>
      </c>
      <c r="I1423">
        <v>1.56</v>
      </c>
      <c r="J1423" t="s">
        <v>1137</v>
      </c>
      <c r="K1423" t="s">
        <v>250</v>
      </c>
      <c r="L1423">
        <v>3.63</v>
      </c>
      <c r="M1423">
        <v>23.46</v>
      </c>
      <c r="N1423">
        <v>16922</v>
      </c>
      <c r="O1423">
        <v>18179</v>
      </c>
      <c r="P1423">
        <v>0.93</v>
      </c>
      <c r="Q1423">
        <v>121</v>
      </c>
      <c r="R1423">
        <v>207</v>
      </c>
      <c r="S1423" t="s">
        <v>3</v>
      </c>
      <c r="T1423">
        <v>4223.6400000000003</v>
      </c>
      <c r="U1423" t="s">
        <v>3842</v>
      </c>
      <c r="V1423" t="s">
        <v>3843</v>
      </c>
      <c r="W1423">
        <v>3.79</v>
      </c>
    </row>
    <row r="1424" spans="1:23">
      <c r="A1424" t="str">
        <f>"300238"</f>
        <v>300238</v>
      </c>
      <c r="B1424" t="s">
        <v>3844</v>
      </c>
      <c r="C1424">
        <v>53.81</v>
      </c>
      <c r="D1424">
        <v>55.03</v>
      </c>
      <c r="E1424">
        <v>53.2</v>
      </c>
      <c r="F1424">
        <v>55.03</v>
      </c>
      <c r="G1424">
        <v>13403</v>
      </c>
      <c r="H1424">
        <v>72493784</v>
      </c>
      <c r="I1424">
        <v>0.64</v>
      </c>
      <c r="J1424" t="s">
        <v>1971</v>
      </c>
      <c r="K1424" t="s">
        <v>211</v>
      </c>
      <c r="L1424">
        <v>1.95</v>
      </c>
      <c r="M1424">
        <v>54.09</v>
      </c>
      <c r="N1424">
        <v>5744</v>
      </c>
      <c r="O1424">
        <v>7659</v>
      </c>
      <c r="P1424">
        <v>0.75</v>
      </c>
      <c r="Q1424">
        <v>84</v>
      </c>
      <c r="R1424">
        <v>1</v>
      </c>
      <c r="S1424" t="s">
        <v>3</v>
      </c>
      <c r="T1424">
        <v>8510.16</v>
      </c>
      <c r="U1424" t="s">
        <v>298</v>
      </c>
      <c r="V1424" t="s">
        <v>3845</v>
      </c>
      <c r="W1424">
        <v>2.1</v>
      </c>
    </row>
    <row r="1425" spans="1:23">
      <c r="A1425" t="str">
        <f>"300239"</f>
        <v>300239</v>
      </c>
      <c r="B1425" t="s">
        <v>3846</v>
      </c>
      <c r="C1425">
        <v>11.8</v>
      </c>
      <c r="D1425">
        <v>11.99</v>
      </c>
      <c r="E1425">
        <v>11.7</v>
      </c>
      <c r="F1425">
        <v>11.83</v>
      </c>
      <c r="G1425">
        <v>66351</v>
      </c>
      <c r="H1425">
        <v>78284992</v>
      </c>
      <c r="I1425">
        <v>0.6</v>
      </c>
      <c r="J1425" t="s">
        <v>11</v>
      </c>
      <c r="K1425" t="s">
        <v>329</v>
      </c>
      <c r="L1425">
        <v>-0.34</v>
      </c>
      <c r="M1425">
        <v>11.8</v>
      </c>
      <c r="N1425">
        <v>38689</v>
      </c>
      <c r="O1425">
        <v>27662</v>
      </c>
      <c r="P1425">
        <v>1.4</v>
      </c>
      <c r="Q1425">
        <v>235</v>
      </c>
      <c r="R1425">
        <v>116</v>
      </c>
      <c r="S1425" t="s">
        <v>3</v>
      </c>
      <c r="T1425">
        <v>12244.01</v>
      </c>
      <c r="U1425" t="s">
        <v>3847</v>
      </c>
      <c r="V1425" t="s">
        <v>3166</v>
      </c>
      <c r="W1425">
        <v>-0.18</v>
      </c>
    </row>
    <row r="1426" spans="1:23">
      <c r="A1426" t="str">
        <f>"300240"</f>
        <v>300240</v>
      </c>
      <c r="B1426" t="s">
        <v>3848</v>
      </c>
      <c r="C1426">
        <v>13.27</v>
      </c>
      <c r="D1426">
        <v>13.9</v>
      </c>
      <c r="E1426">
        <v>13.18</v>
      </c>
      <c r="F1426">
        <v>13.73</v>
      </c>
      <c r="G1426">
        <v>47542</v>
      </c>
      <c r="H1426">
        <v>64667312</v>
      </c>
      <c r="I1426">
        <v>1.66</v>
      </c>
      <c r="J1426" t="s">
        <v>1859</v>
      </c>
      <c r="K1426" t="s">
        <v>244</v>
      </c>
      <c r="L1426">
        <v>3.54</v>
      </c>
      <c r="M1426">
        <v>13.6</v>
      </c>
      <c r="N1426">
        <v>20230</v>
      </c>
      <c r="O1426">
        <v>27312</v>
      </c>
      <c r="P1426">
        <v>0.74</v>
      </c>
      <c r="Q1426">
        <v>55</v>
      </c>
      <c r="R1426">
        <v>366</v>
      </c>
      <c r="S1426" t="s">
        <v>3</v>
      </c>
      <c r="T1426">
        <v>16245</v>
      </c>
      <c r="U1426" t="s">
        <v>155</v>
      </c>
      <c r="V1426" t="s">
        <v>3849</v>
      </c>
      <c r="W1426">
        <v>3.7</v>
      </c>
    </row>
    <row r="1427" spans="1:23">
      <c r="A1427" t="str">
        <f>"300241"</f>
        <v>300241</v>
      </c>
      <c r="B1427" t="s">
        <v>3850</v>
      </c>
      <c r="C1427">
        <v>17.98</v>
      </c>
      <c r="D1427">
        <v>17.98</v>
      </c>
      <c r="E1427">
        <v>16.010000000000002</v>
      </c>
      <c r="F1427">
        <v>17.309999999999999</v>
      </c>
      <c r="G1427">
        <v>36050</v>
      </c>
      <c r="H1427">
        <v>62699668</v>
      </c>
      <c r="I1427">
        <v>1.01</v>
      </c>
      <c r="J1427" t="s">
        <v>1581</v>
      </c>
      <c r="K1427" t="s">
        <v>2</v>
      </c>
      <c r="L1427">
        <v>-2.7</v>
      </c>
      <c r="M1427">
        <v>17.39</v>
      </c>
      <c r="N1427">
        <v>23894</v>
      </c>
      <c r="O1427">
        <v>12155</v>
      </c>
      <c r="P1427">
        <v>1.97</v>
      </c>
      <c r="Q1427">
        <v>280</v>
      </c>
      <c r="R1427">
        <v>265</v>
      </c>
      <c r="S1427" t="s">
        <v>3</v>
      </c>
      <c r="T1427">
        <v>14761.82</v>
      </c>
      <c r="U1427" t="s">
        <v>3322</v>
      </c>
      <c r="V1427" t="s">
        <v>3851</v>
      </c>
      <c r="W1427">
        <v>-2.54</v>
      </c>
    </row>
    <row r="1428" spans="1:23">
      <c r="A1428" t="str">
        <f>"300242"</f>
        <v>300242</v>
      </c>
      <c r="B1428" t="s">
        <v>3852</v>
      </c>
      <c r="C1428">
        <v>22.78</v>
      </c>
      <c r="D1428">
        <v>22.78</v>
      </c>
      <c r="E1428">
        <v>22.78</v>
      </c>
      <c r="F1428">
        <v>22.78</v>
      </c>
      <c r="G1428">
        <v>146</v>
      </c>
      <c r="H1428">
        <v>332634</v>
      </c>
      <c r="I1428">
        <v>0.01</v>
      </c>
      <c r="J1428" t="s">
        <v>62</v>
      </c>
      <c r="K1428" t="s">
        <v>211</v>
      </c>
      <c r="L1428">
        <v>10</v>
      </c>
      <c r="M1428">
        <v>22.78</v>
      </c>
      <c r="N1428">
        <v>139</v>
      </c>
      <c r="O1428">
        <v>7</v>
      </c>
      <c r="P1428">
        <v>19.86</v>
      </c>
      <c r="Q1428">
        <v>17399</v>
      </c>
      <c r="R1428">
        <v>0</v>
      </c>
      <c r="S1428" t="s">
        <v>3</v>
      </c>
      <c r="T1428">
        <v>2686.18</v>
      </c>
      <c r="U1428" t="s">
        <v>3853</v>
      </c>
      <c r="V1428" t="s">
        <v>3854</v>
      </c>
      <c r="W1428">
        <v>10.15</v>
      </c>
    </row>
    <row r="1429" spans="1:23">
      <c r="A1429" t="str">
        <f>"300243"</f>
        <v>300243</v>
      </c>
      <c r="B1429" t="s">
        <v>3855</v>
      </c>
      <c r="C1429" t="s">
        <v>3</v>
      </c>
      <c r="D1429" t="s">
        <v>3</v>
      </c>
      <c r="E1429" t="s">
        <v>3</v>
      </c>
      <c r="F1429">
        <v>0</v>
      </c>
      <c r="G1429">
        <v>0</v>
      </c>
      <c r="H1429">
        <v>0</v>
      </c>
      <c r="I1429">
        <v>0</v>
      </c>
      <c r="J1429" t="s">
        <v>376</v>
      </c>
      <c r="K1429" t="s">
        <v>250</v>
      </c>
      <c r="L1429" t="s">
        <v>3</v>
      </c>
      <c r="M1429">
        <v>7.38</v>
      </c>
      <c r="N1429">
        <v>0</v>
      </c>
      <c r="O1429">
        <v>0</v>
      </c>
      <c r="P1429" t="s">
        <v>3</v>
      </c>
      <c r="Q1429">
        <v>0</v>
      </c>
      <c r="R1429">
        <v>0</v>
      </c>
      <c r="S1429" t="s">
        <v>3</v>
      </c>
      <c r="T1429">
        <v>13302.63</v>
      </c>
      <c r="U1429" t="s">
        <v>3856</v>
      </c>
      <c r="V1429" t="s">
        <v>3857</v>
      </c>
      <c r="W1429">
        <v>0.16</v>
      </c>
    </row>
    <row r="1430" spans="1:23">
      <c r="A1430" t="str">
        <f>"300244"</f>
        <v>300244</v>
      </c>
      <c r="B1430" t="s">
        <v>3858</v>
      </c>
      <c r="C1430">
        <v>43.32</v>
      </c>
      <c r="D1430">
        <v>43.32</v>
      </c>
      <c r="E1430">
        <v>42.7</v>
      </c>
      <c r="F1430">
        <v>42.84</v>
      </c>
      <c r="G1430">
        <v>10653</v>
      </c>
      <c r="H1430">
        <v>45701440</v>
      </c>
      <c r="I1430">
        <v>0.99</v>
      </c>
      <c r="J1430" t="s">
        <v>1971</v>
      </c>
      <c r="K1430" t="s">
        <v>229</v>
      </c>
      <c r="L1430">
        <v>-1.1499999999999999</v>
      </c>
      <c r="M1430">
        <v>42.9</v>
      </c>
      <c r="N1430">
        <v>6124</v>
      </c>
      <c r="O1430">
        <v>4529</v>
      </c>
      <c r="P1430">
        <v>1.35</v>
      </c>
      <c r="Q1430">
        <v>51</v>
      </c>
      <c r="R1430">
        <v>28</v>
      </c>
      <c r="S1430" t="s">
        <v>3</v>
      </c>
      <c r="T1430">
        <v>13692.08</v>
      </c>
      <c r="U1430" t="s">
        <v>3859</v>
      </c>
      <c r="V1430" t="s">
        <v>3860</v>
      </c>
      <c r="W1430">
        <v>-1</v>
      </c>
    </row>
    <row r="1431" spans="1:23">
      <c r="A1431" t="str">
        <f>"300245"</f>
        <v>300245</v>
      </c>
      <c r="B1431" t="s">
        <v>3861</v>
      </c>
      <c r="C1431">
        <v>28.66</v>
      </c>
      <c r="D1431">
        <v>29.95</v>
      </c>
      <c r="E1431">
        <v>28.66</v>
      </c>
      <c r="F1431">
        <v>29.73</v>
      </c>
      <c r="G1431">
        <v>50204</v>
      </c>
      <c r="H1431">
        <v>148191344</v>
      </c>
      <c r="I1431">
        <v>1.45</v>
      </c>
      <c r="J1431" t="s">
        <v>758</v>
      </c>
      <c r="K1431" t="s">
        <v>727</v>
      </c>
      <c r="L1431">
        <v>3.52</v>
      </c>
      <c r="M1431">
        <v>29.52</v>
      </c>
      <c r="N1431">
        <v>20214</v>
      </c>
      <c r="O1431">
        <v>29989</v>
      </c>
      <c r="P1431">
        <v>0.67</v>
      </c>
      <c r="Q1431">
        <v>6</v>
      </c>
      <c r="R1431">
        <v>436</v>
      </c>
      <c r="S1431" t="s">
        <v>3</v>
      </c>
      <c r="T1431">
        <v>10569.08</v>
      </c>
      <c r="U1431" t="s">
        <v>833</v>
      </c>
      <c r="V1431" t="s">
        <v>3862</v>
      </c>
      <c r="W1431">
        <v>3.68</v>
      </c>
    </row>
    <row r="1432" spans="1:23">
      <c r="A1432" t="str">
        <f>"300246"</f>
        <v>300246</v>
      </c>
      <c r="B1432" t="s">
        <v>3863</v>
      </c>
      <c r="C1432">
        <v>25.4</v>
      </c>
      <c r="D1432">
        <v>25.6</v>
      </c>
      <c r="E1432">
        <v>25</v>
      </c>
      <c r="F1432">
        <v>25.42</v>
      </c>
      <c r="G1432">
        <v>24922</v>
      </c>
      <c r="H1432">
        <v>62873720</v>
      </c>
      <c r="I1432">
        <v>0.47</v>
      </c>
      <c r="J1432" t="s">
        <v>1971</v>
      </c>
      <c r="K1432" t="s">
        <v>211</v>
      </c>
      <c r="L1432">
        <v>-0.12</v>
      </c>
      <c r="M1432">
        <v>25.23</v>
      </c>
      <c r="N1432">
        <v>13085</v>
      </c>
      <c r="O1432">
        <v>11837</v>
      </c>
      <c r="P1432">
        <v>1.1100000000000001</v>
      </c>
      <c r="Q1432">
        <v>26</v>
      </c>
      <c r="R1432">
        <v>16</v>
      </c>
      <c r="S1432" t="s">
        <v>3</v>
      </c>
      <c r="T1432">
        <v>10385.57</v>
      </c>
      <c r="U1432" t="s">
        <v>60</v>
      </c>
      <c r="V1432" t="s">
        <v>3864</v>
      </c>
      <c r="W1432">
        <v>0.04</v>
      </c>
    </row>
    <row r="1433" spans="1:23">
      <c r="A1433" t="str">
        <f>"300247"</f>
        <v>300247</v>
      </c>
      <c r="B1433" t="s">
        <v>3865</v>
      </c>
      <c r="C1433">
        <v>10.73</v>
      </c>
      <c r="D1433">
        <v>10.78</v>
      </c>
      <c r="E1433">
        <v>10.52</v>
      </c>
      <c r="F1433">
        <v>10.78</v>
      </c>
      <c r="G1433">
        <v>83370</v>
      </c>
      <c r="H1433">
        <v>88910728</v>
      </c>
      <c r="I1433">
        <v>0.64</v>
      </c>
      <c r="J1433" t="s">
        <v>1971</v>
      </c>
      <c r="K1433" t="s">
        <v>220</v>
      </c>
      <c r="L1433">
        <v>0.56000000000000005</v>
      </c>
      <c r="M1433">
        <v>10.66</v>
      </c>
      <c r="N1433">
        <v>44173</v>
      </c>
      <c r="O1433">
        <v>39197</v>
      </c>
      <c r="P1433">
        <v>1.1299999999999999</v>
      </c>
      <c r="Q1433">
        <v>2482</v>
      </c>
      <c r="R1433">
        <v>59</v>
      </c>
      <c r="S1433" t="s">
        <v>3</v>
      </c>
      <c r="T1433">
        <v>16564.310000000001</v>
      </c>
      <c r="U1433" t="s">
        <v>1703</v>
      </c>
      <c r="V1433" t="s">
        <v>3866</v>
      </c>
      <c r="W1433">
        <v>0.72</v>
      </c>
    </row>
    <row r="1434" spans="1:23">
      <c r="A1434" t="str">
        <f>"300248"</f>
        <v>300248</v>
      </c>
      <c r="B1434" t="s">
        <v>3867</v>
      </c>
      <c r="C1434">
        <v>24.83</v>
      </c>
      <c r="D1434">
        <v>26.18</v>
      </c>
      <c r="E1434">
        <v>24.3</v>
      </c>
      <c r="F1434">
        <v>25.39</v>
      </c>
      <c r="G1434">
        <v>97857</v>
      </c>
      <c r="H1434">
        <v>248112944</v>
      </c>
      <c r="I1434">
        <v>1.1200000000000001</v>
      </c>
      <c r="J1434" t="s">
        <v>758</v>
      </c>
      <c r="K1434" t="s">
        <v>254</v>
      </c>
      <c r="L1434">
        <v>2.0099999999999998</v>
      </c>
      <c r="M1434">
        <v>25.35</v>
      </c>
      <c r="N1434">
        <v>46471</v>
      </c>
      <c r="O1434">
        <v>51385</v>
      </c>
      <c r="P1434">
        <v>0.9</v>
      </c>
      <c r="Q1434">
        <v>70</v>
      </c>
      <c r="R1434">
        <v>23</v>
      </c>
      <c r="S1434" t="s">
        <v>3</v>
      </c>
      <c r="T1434">
        <v>8526.4</v>
      </c>
      <c r="U1434" t="s">
        <v>3868</v>
      </c>
      <c r="V1434" t="s">
        <v>2577</v>
      </c>
      <c r="W1434">
        <v>2.17</v>
      </c>
    </row>
    <row r="1435" spans="1:23">
      <c r="A1435" t="str">
        <f>"300249"</f>
        <v>300249</v>
      </c>
      <c r="B1435" t="s">
        <v>3869</v>
      </c>
      <c r="C1435">
        <v>12.9</v>
      </c>
      <c r="D1435">
        <v>13.57</v>
      </c>
      <c r="E1435">
        <v>12.9</v>
      </c>
      <c r="F1435">
        <v>13.15</v>
      </c>
      <c r="G1435">
        <v>47488</v>
      </c>
      <c r="H1435">
        <v>62895224</v>
      </c>
      <c r="I1435">
        <v>1.45</v>
      </c>
      <c r="J1435" t="s">
        <v>269</v>
      </c>
      <c r="K1435" t="s">
        <v>225</v>
      </c>
      <c r="L1435">
        <v>1.31</v>
      </c>
      <c r="M1435">
        <v>13.24</v>
      </c>
      <c r="N1435">
        <v>21725</v>
      </c>
      <c r="O1435">
        <v>25763</v>
      </c>
      <c r="P1435">
        <v>0.84</v>
      </c>
      <c r="Q1435">
        <v>278</v>
      </c>
      <c r="R1435">
        <v>10</v>
      </c>
      <c r="S1435" t="s">
        <v>3</v>
      </c>
      <c r="T1435">
        <v>9681.8799999999992</v>
      </c>
      <c r="U1435" t="s">
        <v>3870</v>
      </c>
      <c r="V1435" t="s">
        <v>3529</v>
      </c>
      <c r="W1435">
        <v>1.47</v>
      </c>
    </row>
    <row r="1436" spans="1:23">
      <c r="A1436" t="str">
        <f>"300250"</f>
        <v>300250</v>
      </c>
      <c r="B1436" t="s">
        <v>3871</v>
      </c>
      <c r="C1436">
        <v>31.21</v>
      </c>
      <c r="D1436">
        <v>31.88</v>
      </c>
      <c r="E1436">
        <v>31.01</v>
      </c>
      <c r="F1436">
        <v>31.19</v>
      </c>
      <c r="G1436">
        <v>12333</v>
      </c>
      <c r="H1436">
        <v>38820652</v>
      </c>
      <c r="I1436">
        <v>0.69</v>
      </c>
      <c r="J1436" t="s">
        <v>112</v>
      </c>
      <c r="K1436" t="s">
        <v>229</v>
      </c>
      <c r="L1436">
        <v>-0.19</v>
      </c>
      <c r="M1436">
        <v>31.48</v>
      </c>
      <c r="N1436">
        <v>5525</v>
      </c>
      <c r="O1436">
        <v>6808</v>
      </c>
      <c r="P1436">
        <v>0.81</v>
      </c>
      <c r="Q1436">
        <v>9</v>
      </c>
      <c r="R1436">
        <v>478</v>
      </c>
      <c r="S1436" t="s">
        <v>3</v>
      </c>
      <c r="T1436">
        <v>3168.32</v>
      </c>
      <c r="U1436" t="s">
        <v>3872</v>
      </c>
      <c r="V1436" t="s">
        <v>2837</v>
      </c>
      <c r="W1436">
        <v>-0.03</v>
      </c>
    </row>
    <row r="1437" spans="1:23">
      <c r="A1437" t="str">
        <f>"300251"</f>
        <v>300251</v>
      </c>
      <c r="B1437" t="s">
        <v>3873</v>
      </c>
      <c r="C1437">
        <v>21.15</v>
      </c>
      <c r="D1437">
        <v>21.24</v>
      </c>
      <c r="E1437">
        <v>20.72</v>
      </c>
      <c r="F1437">
        <v>20.98</v>
      </c>
      <c r="G1437">
        <v>112119</v>
      </c>
      <c r="H1437">
        <v>234739008</v>
      </c>
      <c r="I1437">
        <v>0.65</v>
      </c>
      <c r="J1437" t="s">
        <v>228</v>
      </c>
      <c r="K1437" t="s">
        <v>34</v>
      </c>
      <c r="L1437">
        <v>-0.56999999999999995</v>
      </c>
      <c r="M1437">
        <v>20.94</v>
      </c>
      <c r="N1437">
        <v>59644</v>
      </c>
      <c r="O1437">
        <v>52475</v>
      </c>
      <c r="P1437">
        <v>1.1399999999999999</v>
      </c>
      <c r="Q1437">
        <v>665</v>
      </c>
      <c r="R1437">
        <v>620</v>
      </c>
      <c r="S1437" t="s">
        <v>3</v>
      </c>
      <c r="T1437">
        <v>53120.28</v>
      </c>
      <c r="U1437" t="s">
        <v>3874</v>
      </c>
      <c r="V1437" t="s">
        <v>2498</v>
      </c>
      <c r="W1437">
        <v>-0.41</v>
      </c>
    </row>
    <row r="1438" spans="1:23">
      <c r="A1438" t="str">
        <f>"300252"</f>
        <v>300252</v>
      </c>
      <c r="B1438" t="s">
        <v>3875</v>
      </c>
      <c r="C1438">
        <v>29.69</v>
      </c>
      <c r="D1438">
        <v>31</v>
      </c>
      <c r="E1438">
        <v>29.25</v>
      </c>
      <c r="F1438">
        <v>29.66</v>
      </c>
      <c r="G1438">
        <v>78229</v>
      </c>
      <c r="H1438">
        <v>231658416</v>
      </c>
      <c r="I1438">
        <v>2.13</v>
      </c>
      <c r="J1438" t="s">
        <v>145</v>
      </c>
      <c r="K1438" t="s">
        <v>2</v>
      </c>
      <c r="L1438">
        <v>-1.1299999999999999</v>
      </c>
      <c r="M1438">
        <v>29.61</v>
      </c>
      <c r="N1438">
        <v>54786</v>
      </c>
      <c r="O1438">
        <v>23443</v>
      </c>
      <c r="P1438">
        <v>2.34</v>
      </c>
      <c r="Q1438">
        <v>190</v>
      </c>
      <c r="R1438">
        <v>16</v>
      </c>
      <c r="S1438" t="s">
        <v>3</v>
      </c>
      <c r="T1438">
        <v>8127.58</v>
      </c>
      <c r="U1438" t="s">
        <v>1807</v>
      </c>
      <c r="V1438" t="s">
        <v>3876</v>
      </c>
      <c r="W1438">
        <v>-0.97</v>
      </c>
    </row>
    <row r="1439" spans="1:23">
      <c r="A1439" t="str">
        <f>"300253"</f>
        <v>300253</v>
      </c>
      <c r="B1439" t="s">
        <v>3877</v>
      </c>
      <c r="C1439">
        <v>44.1</v>
      </c>
      <c r="D1439">
        <v>44.1</v>
      </c>
      <c r="E1439">
        <v>42.51</v>
      </c>
      <c r="F1439">
        <v>42.82</v>
      </c>
      <c r="G1439">
        <v>86236</v>
      </c>
      <c r="H1439">
        <v>370974304</v>
      </c>
      <c r="I1439">
        <v>1.56</v>
      </c>
      <c r="J1439" t="s">
        <v>758</v>
      </c>
      <c r="K1439" t="s">
        <v>727</v>
      </c>
      <c r="L1439">
        <v>-2.9</v>
      </c>
      <c r="M1439">
        <v>43.02</v>
      </c>
      <c r="N1439">
        <v>51126</v>
      </c>
      <c r="O1439">
        <v>35110</v>
      </c>
      <c r="P1439">
        <v>1.46</v>
      </c>
      <c r="Q1439">
        <v>1559</v>
      </c>
      <c r="R1439">
        <v>13</v>
      </c>
      <c r="S1439" t="s">
        <v>3</v>
      </c>
      <c r="T1439">
        <v>13971.26</v>
      </c>
      <c r="U1439" t="s">
        <v>131</v>
      </c>
      <c r="V1439" t="s">
        <v>3878</v>
      </c>
      <c r="W1439">
        <v>-2.74</v>
      </c>
    </row>
    <row r="1440" spans="1:23">
      <c r="A1440" t="str">
        <f>"300254"</f>
        <v>300254</v>
      </c>
      <c r="B1440" t="s">
        <v>3879</v>
      </c>
      <c r="C1440" t="s">
        <v>3</v>
      </c>
      <c r="D1440" t="s">
        <v>3</v>
      </c>
      <c r="E1440" t="s">
        <v>3</v>
      </c>
      <c r="F1440">
        <v>0</v>
      </c>
      <c r="G1440">
        <v>0</v>
      </c>
      <c r="H1440">
        <v>0</v>
      </c>
      <c r="I1440">
        <v>0</v>
      </c>
      <c r="J1440" t="s">
        <v>219</v>
      </c>
      <c r="K1440" t="s">
        <v>742</v>
      </c>
      <c r="L1440" t="s">
        <v>3</v>
      </c>
      <c r="M1440">
        <v>22.88</v>
      </c>
      <c r="N1440">
        <v>0</v>
      </c>
      <c r="O1440">
        <v>0</v>
      </c>
      <c r="P1440" t="s">
        <v>3</v>
      </c>
      <c r="Q1440">
        <v>0</v>
      </c>
      <c r="R1440">
        <v>0</v>
      </c>
      <c r="S1440" t="s">
        <v>3</v>
      </c>
      <c r="T1440">
        <v>8201</v>
      </c>
      <c r="U1440" t="s">
        <v>3839</v>
      </c>
      <c r="V1440" t="s">
        <v>1729</v>
      </c>
      <c r="W1440">
        <v>0.16</v>
      </c>
    </row>
    <row r="1441" spans="1:23">
      <c r="A1441" t="str">
        <f>"300255"</f>
        <v>300255</v>
      </c>
      <c r="B1441" t="s">
        <v>3880</v>
      </c>
      <c r="C1441">
        <v>26.08</v>
      </c>
      <c r="D1441">
        <v>26.76</v>
      </c>
      <c r="E1441">
        <v>25.91</v>
      </c>
      <c r="F1441">
        <v>26.59</v>
      </c>
      <c r="G1441">
        <v>27288</v>
      </c>
      <c r="H1441">
        <v>71891672</v>
      </c>
      <c r="I1441">
        <v>1.29</v>
      </c>
      <c r="J1441" t="s">
        <v>11</v>
      </c>
      <c r="K1441" t="s">
        <v>238</v>
      </c>
      <c r="L1441">
        <v>1.88</v>
      </c>
      <c r="M1441">
        <v>26.35</v>
      </c>
      <c r="N1441">
        <v>13429</v>
      </c>
      <c r="O1441">
        <v>13858</v>
      </c>
      <c r="P1441">
        <v>0.97</v>
      </c>
      <c r="Q1441">
        <v>2</v>
      </c>
      <c r="R1441">
        <v>45</v>
      </c>
      <c r="S1441" t="s">
        <v>3</v>
      </c>
      <c r="T1441">
        <v>12193.51</v>
      </c>
      <c r="U1441" t="s">
        <v>3881</v>
      </c>
      <c r="V1441" t="s">
        <v>3882</v>
      </c>
      <c r="W1441">
        <v>2.04</v>
      </c>
    </row>
    <row r="1442" spans="1:23">
      <c r="A1442" t="str">
        <f>"300256"</f>
        <v>300256</v>
      </c>
      <c r="B1442" t="s">
        <v>3883</v>
      </c>
      <c r="C1442">
        <v>16.71</v>
      </c>
      <c r="D1442">
        <v>16.899999999999999</v>
      </c>
      <c r="E1442">
        <v>16.61</v>
      </c>
      <c r="F1442">
        <v>16.829999999999998</v>
      </c>
      <c r="G1442">
        <v>15038</v>
      </c>
      <c r="H1442">
        <v>25191520</v>
      </c>
      <c r="I1442">
        <v>0.78</v>
      </c>
      <c r="J1442" t="s">
        <v>62</v>
      </c>
      <c r="K1442" t="s">
        <v>229</v>
      </c>
      <c r="L1442">
        <v>0.18</v>
      </c>
      <c r="M1442">
        <v>16.75</v>
      </c>
      <c r="N1442">
        <v>8653</v>
      </c>
      <c r="O1442">
        <v>6385</v>
      </c>
      <c r="P1442">
        <v>1.36</v>
      </c>
      <c r="Q1442">
        <v>500</v>
      </c>
      <c r="R1442">
        <v>109</v>
      </c>
      <c r="S1442" t="s">
        <v>3</v>
      </c>
      <c r="T1442">
        <v>10376.41</v>
      </c>
      <c r="U1442" t="s">
        <v>3884</v>
      </c>
      <c r="V1442" t="s">
        <v>3885</v>
      </c>
      <c r="W1442">
        <v>0.34</v>
      </c>
    </row>
    <row r="1443" spans="1:23">
      <c r="A1443" t="str">
        <f>"300257"</f>
        <v>300257</v>
      </c>
      <c r="B1443" t="s">
        <v>3886</v>
      </c>
      <c r="C1443">
        <v>39.71</v>
      </c>
      <c r="D1443">
        <v>39.799999999999997</v>
      </c>
      <c r="E1443">
        <v>38.96</v>
      </c>
      <c r="F1443">
        <v>39.6</v>
      </c>
      <c r="G1443">
        <v>17595</v>
      </c>
      <c r="H1443">
        <v>69406616</v>
      </c>
      <c r="I1443">
        <v>0.65</v>
      </c>
      <c r="J1443" t="s">
        <v>398</v>
      </c>
      <c r="K1443" t="s">
        <v>229</v>
      </c>
      <c r="L1443">
        <v>-0.28000000000000003</v>
      </c>
      <c r="M1443">
        <v>39.450000000000003</v>
      </c>
      <c r="N1443">
        <v>11293</v>
      </c>
      <c r="O1443">
        <v>6301</v>
      </c>
      <c r="P1443">
        <v>1.79</v>
      </c>
      <c r="Q1443">
        <v>6</v>
      </c>
      <c r="R1443">
        <v>10</v>
      </c>
      <c r="S1443" t="s">
        <v>3</v>
      </c>
      <c r="T1443">
        <v>40607.620000000003</v>
      </c>
      <c r="U1443" t="s">
        <v>3887</v>
      </c>
      <c r="V1443" t="s">
        <v>3888</v>
      </c>
      <c r="W1443">
        <v>-0.12</v>
      </c>
    </row>
    <row r="1444" spans="1:23">
      <c r="A1444" t="str">
        <f>"300258"</f>
        <v>300258</v>
      </c>
      <c r="B1444" t="s">
        <v>3889</v>
      </c>
      <c r="C1444">
        <v>17.670000000000002</v>
      </c>
      <c r="D1444">
        <v>18.28</v>
      </c>
      <c r="E1444">
        <v>17.579999999999998</v>
      </c>
      <c r="F1444">
        <v>17.8</v>
      </c>
      <c r="G1444">
        <v>9040</v>
      </c>
      <c r="H1444">
        <v>16076713</v>
      </c>
      <c r="I1444">
        <v>0.39</v>
      </c>
      <c r="J1444" t="s">
        <v>98</v>
      </c>
      <c r="K1444" t="s">
        <v>244</v>
      </c>
      <c r="L1444">
        <v>0.45</v>
      </c>
      <c r="M1444">
        <v>17.78</v>
      </c>
      <c r="N1444">
        <v>5998</v>
      </c>
      <c r="O1444">
        <v>3042</v>
      </c>
      <c r="P1444">
        <v>1.97</v>
      </c>
      <c r="Q1444">
        <v>78</v>
      </c>
      <c r="R1444">
        <v>10</v>
      </c>
      <c r="S1444" t="s">
        <v>3</v>
      </c>
      <c r="T1444">
        <v>16592.810000000001</v>
      </c>
      <c r="U1444" t="s">
        <v>2083</v>
      </c>
      <c r="V1444" t="s">
        <v>2382</v>
      </c>
      <c r="W1444">
        <v>0.61</v>
      </c>
    </row>
    <row r="1445" spans="1:23">
      <c r="A1445" t="str">
        <f>"300259"</f>
        <v>300259</v>
      </c>
      <c r="B1445" t="s">
        <v>3890</v>
      </c>
      <c r="C1445">
        <v>13.23</v>
      </c>
      <c r="D1445">
        <v>13.28</v>
      </c>
      <c r="E1445">
        <v>12.92</v>
      </c>
      <c r="F1445">
        <v>13.21</v>
      </c>
      <c r="G1445">
        <v>44151</v>
      </c>
      <c r="H1445">
        <v>58166216</v>
      </c>
      <c r="I1445">
        <v>1.03</v>
      </c>
      <c r="J1445" t="s">
        <v>617</v>
      </c>
      <c r="K1445" t="s">
        <v>254</v>
      </c>
      <c r="L1445">
        <v>0.38</v>
      </c>
      <c r="M1445">
        <v>13.17</v>
      </c>
      <c r="N1445">
        <v>23482</v>
      </c>
      <c r="O1445">
        <v>20669</v>
      </c>
      <c r="P1445">
        <v>1.1399999999999999</v>
      </c>
      <c r="Q1445">
        <v>66</v>
      </c>
      <c r="R1445">
        <v>55</v>
      </c>
      <c r="S1445" t="s">
        <v>3</v>
      </c>
      <c r="T1445">
        <v>14223.29</v>
      </c>
      <c r="U1445" t="s">
        <v>3891</v>
      </c>
      <c r="V1445" t="s">
        <v>3892</v>
      </c>
      <c r="W1445">
        <v>0.54</v>
      </c>
    </row>
    <row r="1446" spans="1:23">
      <c r="A1446" t="str">
        <f>"300260"</f>
        <v>300260</v>
      </c>
      <c r="B1446" t="s">
        <v>3893</v>
      </c>
      <c r="C1446">
        <v>18.440000000000001</v>
      </c>
      <c r="D1446">
        <v>19.170000000000002</v>
      </c>
      <c r="E1446">
        <v>18.309999999999999</v>
      </c>
      <c r="F1446">
        <v>18.850000000000001</v>
      </c>
      <c r="G1446">
        <v>17588</v>
      </c>
      <c r="H1446">
        <v>33159590</v>
      </c>
      <c r="I1446">
        <v>0.95</v>
      </c>
      <c r="J1446" t="s">
        <v>398</v>
      </c>
      <c r="K1446" t="s">
        <v>244</v>
      </c>
      <c r="L1446">
        <v>2.17</v>
      </c>
      <c r="M1446">
        <v>18.850000000000001</v>
      </c>
      <c r="N1446">
        <v>8317</v>
      </c>
      <c r="O1446">
        <v>9270</v>
      </c>
      <c r="P1446">
        <v>0.9</v>
      </c>
      <c r="Q1446">
        <v>1</v>
      </c>
      <c r="R1446">
        <v>88</v>
      </c>
      <c r="S1446" t="s">
        <v>3</v>
      </c>
      <c r="T1446">
        <v>2967.56</v>
      </c>
      <c r="U1446" t="s">
        <v>3894</v>
      </c>
      <c r="V1446" t="s">
        <v>1087</v>
      </c>
      <c r="W1446">
        <v>2.33</v>
      </c>
    </row>
    <row r="1447" spans="1:23">
      <c r="A1447" t="str">
        <f>"300261"</f>
        <v>300261</v>
      </c>
      <c r="B1447" t="s">
        <v>3895</v>
      </c>
      <c r="C1447">
        <v>14.04</v>
      </c>
      <c r="D1447">
        <v>14.1</v>
      </c>
      <c r="E1447">
        <v>13.8</v>
      </c>
      <c r="F1447">
        <v>14.07</v>
      </c>
      <c r="G1447">
        <v>14868</v>
      </c>
      <c r="H1447">
        <v>20815726</v>
      </c>
      <c r="I1447">
        <v>0.67</v>
      </c>
      <c r="J1447" t="s">
        <v>224</v>
      </c>
      <c r="K1447" t="s">
        <v>244</v>
      </c>
      <c r="L1447">
        <v>0.21</v>
      </c>
      <c r="M1447">
        <v>14</v>
      </c>
      <c r="N1447">
        <v>7784</v>
      </c>
      <c r="O1447">
        <v>7083</v>
      </c>
      <c r="P1447">
        <v>1.1000000000000001</v>
      </c>
      <c r="Q1447">
        <v>7</v>
      </c>
      <c r="R1447">
        <v>119</v>
      </c>
      <c r="S1447" t="s">
        <v>3</v>
      </c>
      <c r="T1447">
        <v>28487.67</v>
      </c>
      <c r="U1447" t="s">
        <v>3896</v>
      </c>
      <c r="V1447" t="s">
        <v>3897</v>
      </c>
      <c r="W1447">
        <v>0.37</v>
      </c>
    </row>
    <row r="1448" spans="1:23">
      <c r="A1448" t="str">
        <f>"300262"</f>
        <v>300262</v>
      </c>
      <c r="B1448" t="s">
        <v>3898</v>
      </c>
      <c r="C1448">
        <v>16.420000000000002</v>
      </c>
      <c r="D1448">
        <v>17</v>
      </c>
      <c r="E1448">
        <v>16.420000000000002</v>
      </c>
      <c r="F1448">
        <v>16.73</v>
      </c>
      <c r="G1448">
        <v>102712</v>
      </c>
      <c r="H1448">
        <v>172161840</v>
      </c>
      <c r="I1448">
        <v>1.39</v>
      </c>
      <c r="J1448" t="s">
        <v>462</v>
      </c>
      <c r="K1448" t="s">
        <v>727</v>
      </c>
      <c r="L1448">
        <v>2.2000000000000002</v>
      </c>
      <c r="M1448">
        <v>16.760000000000002</v>
      </c>
      <c r="N1448">
        <v>46069</v>
      </c>
      <c r="O1448">
        <v>56643</v>
      </c>
      <c r="P1448">
        <v>0.81</v>
      </c>
      <c r="Q1448">
        <v>232</v>
      </c>
      <c r="R1448">
        <v>44</v>
      </c>
      <c r="S1448" t="s">
        <v>3</v>
      </c>
      <c r="T1448">
        <v>12213.87</v>
      </c>
      <c r="U1448" t="s">
        <v>3589</v>
      </c>
      <c r="V1448" t="s">
        <v>3899</v>
      </c>
      <c r="W1448">
        <v>2.36</v>
      </c>
    </row>
    <row r="1449" spans="1:23">
      <c r="A1449" t="str">
        <f>"300263"</f>
        <v>300263</v>
      </c>
      <c r="B1449" t="s">
        <v>3900</v>
      </c>
      <c r="C1449">
        <v>16.21</v>
      </c>
      <c r="D1449">
        <v>16.489999999999998</v>
      </c>
      <c r="E1449">
        <v>16.02</v>
      </c>
      <c r="F1449">
        <v>16.12</v>
      </c>
      <c r="G1449">
        <v>72776</v>
      </c>
      <c r="H1449">
        <v>118068912</v>
      </c>
      <c r="I1449">
        <v>0.63</v>
      </c>
      <c r="J1449" t="s">
        <v>269</v>
      </c>
      <c r="K1449" t="s">
        <v>254</v>
      </c>
      <c r="L1449">
        <v>-1.89</v>
      </c>
      <c r="M1449">
        <v>16.22</v>
      </c>
      <c r="N1449">
        <v>38289</v>
      </c>
      <c r="O1449">
        <v>34487</v>
      </c>
      <c r="P1449">
        <v>1.1100000000000001</v>
      </c>
      <c r="Q1449">
        <v>298</v>
      </c>
      <c r="R1449">
        <v>2</v>
      </c>
      <c r="S1449" t="s">
        <v>3</v>
      </c>
      <c r="T1449">
        <v>11738.34</v>
      </c>
      <c r="U1449" t="s">
        <v>3658</v>
      </c>
      <c r="V1449" t="s">
        <v>3901</v>
      </c>
      <c r="W1449">
        <v>-1.73</v>
      </c>
    </row>
    <row r="1450" spans="1:23">
      <c r="A1450" t="str">
        <f>"300264"</f>
        <v>300264</v>
      </c>
      <c r="B1450" t="s">
        <v>3902</v>
      </c>
      <c r="C1450">
        <v>10.199999999999999</v>
      </c>
      <c r="D1450">
        <v>10.41</v>
      </c>
      <c r="E1450">
        <v>10.199999999999999</v>
      </c>
      <c r="F1450">
        <v>10.38</v>
      </c>
      <c r="G1450">
        <v>59569</v>
      </c>
      <c r="H1450">
        <v>61324764</v>
      </c>
      <c r="I1450">
        <v>0.74</v>
      </c>
      <c r="J1450" t="s">
        <v>112</v>
      </c>
      <c r="K1450" t="s">
        <v>2</v>
      </c>
      <c r="L1450">
        <v>0.87</v>
      </c>
      <c r="M1450">
        <v>10.29</v>
      </c>
      <c r="N1450">
        <v>27595</v>
      </c>
      <c r="O1450">
        <v>31973</v>
      </c>
      <c r="P1450">
        <v>0.86</v>
      </c>
      <c r="Q1450">
        <v>124</v>
      </c>
      <c r="R1450">
        <v>789</v>
      </c>
      <c r="S1450" t="s">
        <v>3</v>
      </c>
      <c r="T1450">
        <v>14109.45</v>
      </c>
      <c r="U1450" t="s">
        <v>3903</v>
      </c>
      <c r="V1450" t="s">
        <v>1929</v>
      </c>
      <c r="W1450">
        <v>1.03</v>
      </c>
    </row>
    <row r="1451" spans="1:23">
      <c r="A1451" t="str">
        <f>"300265"</f>
        <v>300265</v>
      </c>
      <c r="B1451" t="s">
        <v>3904</v>
      </c>
      <c r="C1451">
        <v>23.95</v>
      </c>
      <c r="D1451">
        <v>23.95</v>
      </c>
      <c r="E1451">
        <v>22.92</v>
      </c>
      <c r="F1451">
        <v>23.16</v>
      </c>
      <c r="G1451">
        <v>29882</v>
      </c>
      <c r="H1451">
        <v>69957312</v>
      </c>
      <c r="I1451">
        <v>0.72</v>
      </c>
      <c r="J1451" t="s">
        <v>145</v>
      </c>
      <c r="K1451" t="s">
        <v>244</v>
      </c>
      <c r="L1451">
        <v>-2.36</v>
      </c>
      <c r="M1451">
        <v>23.41</v>
      </c>
      <c r="N1451">
        <v>18118</v>
      </c>
      <c r="O1451">
        <v>11763</v>
      </c>
      <c r="P1451">
        <v>1.54</v>
      </c>
      <c r="Q1451">
        <v>537</v>
      </c>
      <c r="R1451">
        <v>36</v>
      </c>
      <c r="S1451" t="s">
        <v>3</v>
      </c>
      <c r="T1451">
        <v>3550</v>
      </c>
      <c r="U1451" t="s">
        <v>3905</v>
      </c>
      <c r="V1451" t="s">
        <v>3906</v>
      </c>
      <c r="W1451">
        <v>-2.2000000000000002</v>
      </c>
    </row>
    <row r="1452" spans="1:23">
      <c r="A1452" t="str">
        <f>"300266"</f>
        <v>300266</v>
      </c>
      <c r="B1452" t="s">
        <v>3907</v>
      </c>
      <c r="C1452">
        <v>32.090000000000003</v>
      </c>
      <c r="D1452">
        <v>32.479999999999997</v>
      </c>
      <c r="E1452">
        <v>31.63</v>
      </c>
      <c r="F1452">
        <v>31.98</v>
      </c>
      <c r="G1452">
        <v>27837</v>
      </c>
      <c r="H1452">
        <v>89102848</v>
      </c>
      <c r="I1452">
        <v>0.9</v>
      </c>
      <c r="J1452" t="s">
        <v>398</v>
      </c>
      <c r="K1452" t="s">
        <v>229</v>
      </c>
      <c r="L1452">
        <v>-0.34</v>
      </c>
      <c r="M1452">
        <v>32.01</v>
      </c>
      <c r="N1452">
        <v>15872</v>
      </c>
      <c r="O1452">
        <v>11964</v>
      </c>
      <c r="P1452">
        <v>1.33</v>
      </c>
      <c r="Q1452">
        <v>72</v>
      </c>
      <c r="R1452">
        <v>9</v>
      </c>
      <c r="S1452" t="s">
        <v>3</v>
      </c>
      <c r="T1452">
        <v>3203.19</v>
      </c>
      <c r="U1452" t="s">
        <v>3908</v>
      </c>
      <c r="V1452" t="s">
        <v>3909</v>
      </c>
      <c r="W1452">
        <v>-0.18</v>
      </c>
    </row>
    <row r="1453" spans="1:23">
      <c r="A1453" t="str">
        <f>"300267"</f>
        <v>300267</v>
      </c>
      <c r="B1453" t="s">
        <v>3910</v>
      </c>
      <c r="C1453">
        <v>35.14</v>
      </c>
      <c r="D1453">
        <v>35.49</v>
      </c>
      <c r="E1453">
        <v>34</v>
      </c>
      <c r="F1453">
        <v>35.1</v>
      </c>
      <c r="G1453">
        <v>11010</v>
      </c>
      <c r="H1453">
        <v>38415572</v>
      </c>
      <c r="I1453">
        <v>1</v>
      </c>
      <c r="J1453" t="s">
        <v>219</v>
      </c>
      <c r="K1453" t="s">
        <v>234</v>
      </c>
      <c r="L1453">
        <v>0</v>
      </c>
      <c r="M1453">
        <v>34.89</v>
      </c>
      <c r="N1453">
        <v>6827</v>
      </c>
      <c r="O1453">
        <v>4183</v>
      </c>
      <c r="P1453">
        <v>1.63</v>
      </c>
      <c r="Q1453">
        <v>45</v>
      </c>
      <c r="R1453">
        <v>294</v>
      </c>
      <c r="S1453" t="s">
        <v>3</v>
      </c>
      <c r="T1453">
        <v>14434.7</v>
      </c>
      <c r="U1453" t="s">
        <v>2811</v>
      </c>
      <c r="V1453" t="s">
        <v>3911</v>
      </c>
      <c r="W1453">
        <v>0.16</v>
      </c>
    </row>
    <row r="1454" spans="1:23">
      <c r="A1454" t="str">
        <f>"300268"</f>
        <v>300268</v>
      </c>
      <c r="B1454" t="s">
        <v>3912</v>
      </c>
      <c r="C1454" t="s">
        <v>3</v>
      </c>
      <c r="D1454" t="s">
        <v>3</v>
      </c>
      <c r="E1454" t="s">
        <v>3</v>
      </c>
      <c r="F1454">
        <v>0</v>
      </c>
      <c r="G1454">
        <v>0</v>
      </c>
      <c r="H1454">
        <v>0</v>
      </c>
      <c r="I1454">
        <v>0</v>
      </c>
      <c r="J1454" t="s">
        <v>169</v>
      </c>
      <c r="K1454" t="s">
        <v>234</v>
      </c>
      <c r="L1454" t="s">
        <v>3</v>
      </c>
      <c r="M1454">
        <v>5.65</v>
      </c>
      <c r="N1454">
        <v>0</v>
      </c>
      <c r="O1454">
        <v>0</v>
      </c>
      <c r="P1454" t="s">
        <v>3</v>
      </c>
      <c r="Q1454">
        <v>0</v>
      </c>
      <c r="R1454">
        <v>0</v>
      </c>
      <c r="S1454" t="s">
        <v>3</v>
      </c>
      <c r="T1454">
        <v>3400</v>
      </c>
      <c r="U1454" t="s">
        <v>3913</v>
      </c>
      <c r="V1454" t="s">
        <v>3914</v>
      </c>
      <c r="W1454">
        <v>0.16</v>
      </c>
    </row>
    <row r="1455" spans="1:23">
      <c r="A1455" t="str">
        <f>"300269"</f>
        <v>300269</v>
      </c>
      <c r="B1455" t="s">
        <v>3915</v>
      </c>
      <c r="C1455" t="s">
        <v>3</v>
      </c>
      <c r="D1455" t="s">
        <v>3</v>
      </c>
      <c r="E1455" t="s">
        <v>3</v>
      </c>
      <c r="F1455">
        <v>0</v>
      </c>
      <c r="G1455">
        <v>0</v>
      </c>
      <c r="H1455">
        <v>0</v>
      </c>
      <c r="I1455">
        <v>0</v>
      </c>
      <c r="J1455" t="s">
        <v>1581</v>
      </c>
      <c r="K1455" t="s">
        <v>2</v>
      </c>
      <c r="L1455" t="s">
        <v>3</v>
      </c>
      <c r="M1455">
        <v>31.75</v>
      </c>
      <c r="N1455">
        <v>0</v>
      </c>
      <c r="O1455">
        <v>0</v>
      </c>
      <c r="P1455" t="s">
        <v>3</v>
      </c>
      <c r="Q1455">
        <v>0</v>
      </c>
      <c r="R1455">
        <v>0</v>
      </c>
      <c r="S1455" t="s">
        <v>3</v>
      </c>
      <c r="T1455">
        <v>5823.81</v>
      </c>
      <c r="U1455" t="s">
        <v>3916</v>
      </c>
      <c r="V1455" t="s">
        <v>3917</v>
      </c>
      <c r="W1455">
        <v>0.16</v>
      </c>
    </row>
    <row r="1456" spans="1:23">
      <c r="A1456" t="str">
        <f>"300270"</f>
        <v>300270</v>
      </c>
      <c r="B1456" t="s">
        <v>3918</v>
      </c>
      <c r="C1456">
        <v>20.8</v>
      </c>
      <c r="D1456">
        <v>21.07</v>
      </c>
      <c r="E1456">
        <v>20.420000000000002</v>
      </c>
      <c r="F1456">
        <v>20.75</v>
      </c>
      <c r="G1456">
        <v>32064</v>
      </c>
      <c r="H1456">
        <v>66312132</v>
      </c>
      <c r="I1456">
        <v>0.47</v>
      </c>
      <c r="J1456" t="s">
        <v>112</v>
      </c>
      <c r="K1456" t="s">
        <v>229</v>
      </c>
      <c r="L1456">
        <v>-0.62</v>
      </c>
      <c r="M1456">
        <v>20.68</v>
      </c>
      <c r="N1456">
        <v>17819</v>
      </c>
      <c r="O1456">
        <v>14245</v>
      </c>
      <c r="P1456">
        <v>1.25</v>
      </c>
      <c r="Q1456">
        <v>433</v>
      </c>
      <c r="R1456">
        <v>101</v>
      </c>
      <c r="S1456" t="s">
        <v>3</v>
      </c>
      <c r="T1456">
        <v>4459.99</v>
      </c>
      <c r="U1456" t="s">
        <v>3919</v>
      </c>
      <c r="V1456" t="s">
        <v>3920</v>
      </c>
      <c r="W1456">
        <v>-0.46</v>
      </c>
    </row>
    <row r="1457" spans="1:23">
      <c r="A1457" t="str">
        <f>"300271"</f>
        <v>300271</v>
      </c>
      <c r="B1457" t="s">
        <v>3921</v>
      </c>
      <c r="C1457" t="s">
        <v>3</v>
      </c>
      <c r="D1457" t="s">
        <v>3</v>
      </c>
      <c r="E1457" t="s">
        <v>3</v>
      </c>
      <c r="F1457">
        <v>0</v>
      </c>
      <c r="G1457">
        <v>0</v>
      </c>
      <c r="H1457">
        <v>0</v>
      </c>
      <c r="I1457">
        <v>0</v>
      </c>
      <c r="J1457" t="s">
        <v>758</v>
      </c>
      <c r="K1457" t="s">
        <v>34</v>
      </c>
      <c r="L1457" t="s">
        <v>3</v>
      </c>
      <c r="M1457">
        <v>40.299999999999997</v>
      </c>
      <c r="N1457">
        <v>0</v>
      </c>
      <c r="O1457">
        <v>0</v>
      </c>
      <c r="P1457" t="s">
        <v>3</v>
      </c>
      <c r="Q1457">
        <v>0</v>
      </c>
      <c r="R1457">
        <v>0</v>
      </c>
      <c r="S1457" t="s">
        <v>3</v>
      </c>
      <c r="T1457">
        <v>9323.91</v>
      </c>
      <c r="U1457" t="s">
        <v>216</v>
      </c>
      <c r="V1457" t="s">
        <v>3922</v>
      </c>
      <c r="W1457">
        <v>0.16</v>
      </c>
    </row>
    <row r="1458" spans="1:23">
      <c r="A1458" t="str">
        <f>"300272"</f>
        <v>300272</v>
      </c>
      <c r="B1458" t="s">
        <v>3923</v>
      </c>
      <c r="C1458">
        <v>18.55</v>
      </c>
      <c r="D1458">
        <v>18.55</v>
      </c>
      <c r="E1458">
        <v>17.8</v>
      </c>
      <c r="F1458">
        <v>18.239999999999998</v>
      </c>
      <c r="G1458">
        <v>49240</v>
      </c>
      <c r="H1458">
        <v>89421520</v>
      </c>
      <c r="I1458">
        <v>0.91</v>
      </c>
      <c r="J1458" t="s">
        <v>269</v>
      </c>
      <c r="K1458" t="s">
        <v>727</v>
      </c>
      <c r="L1458">
        <v>-1.03</v>
      </c>
      <c r="M1458">
        <v>18.16</v>
      </c>
      <c r="N1458">
        <v>28507</v>
      </c>
      <c r="O1458">
        <v>20733</v>
      </c>
      <c r="P1458">
        <v>1.37</v>
      </c>
      <c r="Q1458">
        <v>89</v>
      </c>
      <c r="R1458">
        <v>133</v>
      </c>
      <c r="S1458" t="s">
        <v>3</v>
      </c>
      <c r="T1458">
        <v>11818.09</v>
      </c>
      <c r="U1458" t="s">
        <v>3924</v>
      </c>
      <c r="V1458" t="s">
        <v>3925</v>
      </c>
      <c r="W1458">
        <v>-0.87</v>
      </c>
    </row>
    <row r="1459" spans="1:23">
      <c r="A1459" t="str">
        <f>"300273"</f>
        <v>300273</v>
      </c>
      <c r="B1459" t="s">
        <v>3926</v>
      </c>
      <c r="C1459">
        <v>24.1</v>
      </c>
      <c r="D1459">
        <v>24.16</v>
      </c>
      <c r="E1459">
        <v>23.31</v>
      </c>
      <c r="F1459">
        <v>23.45</v>
      </c>
      <c r="G1459">
        <v>147999</v>
      </c>
      <c r="H1459">
        <v>348008928</v>
      </c>
      <c r="I1459">
        <v>1.68</v>
      </c>
      <c r="J1459" t="s">
        <v>1971</v>
      </c>
      <c r="K1459" t="s">
        <v>211</v>
      </c>
      <c r="L1459">
        <v>-2.9</v>
      </c>
      <c r="M1459">
        <v>23.51</v>
      </c>
      <c r="N1459">
        <v>88379</v>
      </c>
      <c r="O1459">
        <v>59619</v>
      </c>
      <c r="P1459">
        <v>1.48</v>
      </c>
      <c r="Q1459">
        <v>502</v>
      </c>
      <c r="R1459">
        <v>156</v>
      </c>
      <c r="S1459" t="s">
        <v>3</v>
      </c>
      <c r="T1459">
        <v>29938.83</v>
      </c>
      <c r="U1459" t="s">
        <v>3927</v>
      </c>
      <c r="V1459" t="s">
        <v>3928</v>
      </c>
      <c r="W1459">
        <v>-2.74</v>
      </c>
    </row>
    <row r="1460" spans="1:23">
      <c r="A1460" t="str">
        <f>"300274"</f>
        <v>300274</v>
      </c>
      <c r="B1460" t="s">
        <v>3929</v>
      </c>
      <c r="C1460">
        <v>19.93</v>
      </c>
      <c r="D1460">
        <v>20</v>
      </c>
      <c r="E1460">
        <v>19.010000000000002</v>
      </c>
      <c r="F1460">
        <v>19.36</v>
      </c>
      <c r="G1460">
        <v>127158</v>
      </c>
      <c r="H1460">
        <v>244614640</v>
      </c>
      <c r="I1460">
        <v>0.97</v>
      </c>
      <c r="J1460" t="s">
        <v>145</v>
      </c>
      <c r="K1460" t="s">
        <v>220</v>
      </c>
      <c r="L1460">
        <v>-2.37</v>
      </c>
      <c r="M1460">
        <v>19.239999999999998</v>
      </c>
      <c r="N1460">
        <v>71749</v>
      </c>
      <c r="O1460">
        <v>55409</v>
      </c>
      <c r="P1460">
        <v>1.29</v>
      </c>
      <c r="Q1460">
        <v>269</v>
      </c>
      <c r="R1460">
        <v>477</v>
      </c>
      <c r="S1460" t="s">
        <v>3</v>
      </c>
      <c r="T1460">
        <v>28503.3</v>
      </c>
      <c r="U1460" t="s">
        <v>3930</v>
      </c>
      <c r="V1460" t="s">
        <v>3931</v>
      </c>
      <c r="W1460">
        <v>-2.21</v>
      </c>
    </row>
    <row r="1461" spans="1:23">
      <c r="A1461" t="str">
        <f>"300275"</f>
        <v>300275</v>
      </c>
      <c r="B1461" t="s">
        <v>3932</v>
      </c>
      <c r="C1461">
        <v>18.25</v>
      </c>
      <c r="D1461">
        <v>18.25</v>
      </c>
      <c r="E1461">
        <v>17.600000000000001</v>
      </c>
      <c r="F1461">
        <v>18.02</v>
      </c>
      <c r="G1461">
        <v>56188</v>
      </c>
      <c r="H1461">
        <v>100432520</v>
      </c>
      <c r="I1461">
        <v>0.81</v>
      </c>
      <c r="J1461" t="s">
        <v>758</v>
      </c>
      <c r="K1461" t="s">
        <v>386</v>
      </c>
      <c r="L1461">
        <v>-1.1499999999999999</v>
      </c>
      <c r="M1461">
        <v>17.87</v>
      </c>
      <c r="N1461">
        <v>34895</v>
      </c>
      <c r="O1461">
        <v>21292</v>
      </c>
      <c r="P1461">
        <v>1.64</v>
      </c>
      <c r="Q1461">
        <v>752</v>
      </c>
      <c r="R1461">
        <v>238</v>
      </c>
      <c r="S1461" t="s">
        <v>3</v>
      </c>
      <c r="T1461">
        <v>8783.59</v>
      </c>
      <c r="U1461" t="s">
        <v>3933</v>
      </c>
      <c r="V1461" t="s">
        <v>3934</v>
      </c>
      <c r="W1461">
        <v>-0.99</v>
      </c>
    </row>
    <row r="1462" spans="1:23">
      <c r="A1462" t="str">
        <f>"300276"</f>
        <v>300276</v>
      </c>
      <c r="B1462" t="s">
        <v>3935</v>
      </c>
      <c r="C1462">
        <v>13.82</v>
      </c>
      <c r="D1462">
        <v>13.92</v>
      </c>
      <c r="E1462">
        <v>13.49</v>
      </c>
      <c r="F1462">
        <v>13.77</v>
      </c>
      <c r="G1462">
        <v>81727</v>
      </c>
      <c r="H1462">
        <v>111920424</v>
      </c>
      <c r="I1462">
        <v>0.77</v>
      </c>
      <c r="J1462" t="s">
        <v>269</v>
      </c>
      <c r="K1462" t="s">
        <v>317</v>
      </c>
      <c r="L1462">
        <v>-0.22</v>
      </c>
      <c r="M1462">
        <v>13.69</v>
      </c>
      <c r="N1462">
        <v>43107</v>
      </c>
      <c r="O1462">
        <v>38619</v>
      </c>
      <c r="P1462">
        <v>1.1200000000000001</v>
      </c>
      <c r="Q1462">
        <v>1270</v>
      </c>
      <c r="R1462">
        <v>448</v>
      </c>
      <c r="S1462" t="s">
        <v>3</v>
      </c>
      <c r="T1462">
        <v>9209.7000000000007</v>
      </c>
      <c r="U1462" t="s">
        <v>3662</v>
      </c>
      <c r="V1462" t="s">
        <v>755</v>
      </c>
      <c r="W1462">
        <v>-0.06</v>
      </c>
    </row>
    <row r="1463" spans="1:23">
      <c r="A1463" t="str">
        <f>"300277"</f>
        <v>300277</v>
      </c>
      <c r="B1463" t="s">
        <v>3936</v>
      </c>
      <c r="C1463">
        <v>14.75</v>
      </c>
      <c r="D1463">
        <v>14.81</v>
      </c>
      <c r="E1463">
        <v>14.5</v>
      </c>
      <c r="F1463">
        <v>14.7</v>
      </c>
      <c r="G1463">
        <v>8071</v>
      </c>
      <c r="H1463">
        <v>11849287</v>
      </c>
      <c r="I1463">
        <v>0.57999999999999996</v>
      </c>
      <c r="J1463" t="s">
        <v>758</v>
      </c>
      <c r="K1463" t="s">
        <v>2</v>
      </c>
      <c r="L1463">
        <v>-0.27</v>
      </c>
      <c r="M1463">
        <v>14.68</v>
      </c>
      <c r="N1463">
        <v>4100</v>
      </c>
      <c r="O1463">
        <v>3971</v>
      </c>
      <c r="P1463">
        <v>1.03</v>
      </c>
      <c r="Q1463">
        <v>46</v>
      </c>
      <c r="R1463">
        <v>31</v>
      </c>
      <c r="S1463" t="s">
        <v>3</v>
      </c>
      <c r="T1463">
        <v>4418.66</v>
      </c>
      <c r="U1463" t="s">
        <v>3937</v>
      </c>
      <c r="V1463" t="s">
        <v>659</v>
      </c>
      <c r="W1463">
        <v>-0.11</v>
      </c>
    </row>
    <row r="1464" spans="1:23">
      <c r="A1464" t="str">
        <f>"300278"</f>
        <v>300278</v>
      </c>
      <c r="B1464" t="s">
        <v>3938</v>
      </c>
      <c r="C1464">
        <v>16.989999999999998</v>
      </c>
      <c r="D1464">
        <v>17.03</v>
      </c>
      <c r="E1464">
        <v>16.25</v>
      </c>
      <c r="F1464">
        <v>16.86</v>
      </c>
      <c r="G1464">
        <v>37939</v>
      </c>
      <c r="H1464">
        <v>63650888</v>
      </c>
      <c r="I1464">
        <v>0.67</v>
      </c>
      <c r="J1464" t="s">
        <v>269</v>
      </c>
      <c r="K1464" t="s">
        <v>317</v>
      </c>
      <c r="L1464">
        <v>-1.17</v>
      </c>
      <c r="M1464">
        <v>16.78</v>
      </c>
      <c r="N1464">
        <v>22898</v>
      </c>
      <c r="O1464">
        <v>15040</v>
      </c>
      <c r="P1464">
        <v>1.52</v>
      </c>
      <c r="Q1464">
        <v>179</v>
      </c>
      <c r="R1464">
        <v>122</v>
      </c>
      <c r="S1464" t="s">
        <v>3</v>
      </c>
      <c r="T1464">
        <v>7862.5</v>
      </c>
      <c r="U1464" t="s">
        <v>3939</v>
      </c>
      <c r="V1464" t="s">
        <v>2063</v>
      </c>
      <c r="W1464">
        <v>-1.01</v>
      </c>
    </row>
    <row r="1465" spans="1:23">
      <c r="A1465" t="str">
        <f>"300279"</f>
        <v>300279</v>
      </c>
      <c r="B1465" t="s">
        <v>3940</v>
      </c>
      <c r="C1465">
        <v>17.829999999999998</v>
      </c>
      <c r="D1465">
        <v>17.829999999999998</v>
      </c>
      <c r="E1465">
        <v>17.55</v>
      </c>
      <c r="F1465">
        <v>17.739999999999998</v>
      </c>
      <c r="G1465">
        <v>28121</v>
      </c>
      <c r="H1465">
        <v>49660140</v>
      </c>
      <c r="I1465">
        <v>0.52</v>
      </c>
      <c r="J1465" t="s">
        <v>62</v>
      </c>
      <c r="K1465" t="s">
        <v>244</v>
      </c>
      <c r="L1465">
        <v>-0.45</v>
      </c>
      <c r="M1465">
        <v>17.66</v>
      </c>
      <c r="N1465">
        <v>16081</v>
      </c>
      <c r="O1465">
        <v>12040</v>
      </c>
      <c r="P1465">
        <v>1.34</v>
      </c>
      <c r="Q1465">
        <v>56</v>
      </c>
      <c r="R1465">
        <v>131</v>
      </c>
      <c r="S1465" t="s">
        <v>3</v>
      </c>
      <c r="T1465">
        <v>5679.6</v>
      </c>
      <c r="U1465" t="s">
        <v>3941</v>
      </c>
      <c r="V1465" t="s">
        <v>1862</v>
      </c>
      <c r="W1465">
        <v>-0.28999999999999998</v>
      </c>
    </row>
    <row r="1466" spans="1:23">
      <c r="A1466" t="str">
        <f>"300280"</f>
        <v>300280</v>
      </c>
      <c r="B1466" t="s">
        <v>3942</v>
      </c>
      <c r="C1466" t="s">
        <v>3</v>
      </c>
      <c r="D1466" t="s">
        <v>3</v>
      </c>
      <c r="E1466" t="s">
        <v>3</v>
      </c>
      <c r="F1466">
        <v>0</v>
      </c>
      <c r="G1466">
        <v>0</v>
      </c>
      <c r="H1466">
        <v>0</v>
      </c>
      <c r="I1466">
        <v>0</v>
      </c>
      <c r="J1466" t="s">
        <v>269</v>
      </c>
      <c r="K1466" t="s">
        <v>244</v>
      </c>
      <c r="L1466" t="s">
        <v>3</v>
      </c>
      <c r="M1466">
        <v>15.22</v>
      </c>
      <c r="N1466">
        <v>0</v>
      </c>
      <c r="O1466">
        <v>0</v>
      </c>
      <c r="P1466" t="s">
        <v>3</v>
      </c>
      <c r="Q1466">
        <v>0</v>
      </c>
      <c r="R1466">
        <v>0</v>
      </c>
      <c r="S1466" t="s">
        <v>3</v>
      </c>
      <c r="T1466">
        <v>4000</v>
      </c>
      <c r="U1466" t="s">
        <v>3943</v>
      </c>
      <c r="V1466" t="s">
        <v>3944</v>
      </c>
      <c r="W1466">
        <v>0.16</v>
      </c>
    </row>
    <row r="1467" spans="1:23">
      <c r="A1467" t="str">
        <f>"300281"</f>
        <v>300281</v>
      </c>
      <c r="B1467" t="s">
        <v>3945</v>
      </c>
      <c r="C1467">
        <v>20.170000000000002</v>
      </c>
      <c r="D1467">
        <v>20.77</v>
      </c>
      <c r="E1467">
        <v>19.66</v>
      </c>
      <c r="F1467">
        <v>20.260000000000002</v>
      </c>
      <c r="G1467">
        <v>19491</v>
      </c>
      <c r="H1467">
        <v>39484972</v>
      </c>
      <c r="I1467">
        <v>1.42</v>
      </c>
      <c r="J1467" t="s">
        <v>269</v>
      </c>
      <c r="K1467" t="s">
        <v>211</v>
      </c>
      <c r="L1467">
        <v>1.25</v>
      </c>
      <c r="M1467">
        <v>20.260000000000002</v>
      </c>
      <c r="N1467">
        <v>9021</v>
      </c>
      <c r="O1467">
        <v>10470</v>
      </c>
      <c r="P1467">
        <v>0.86</v>
      </c>
      <c r="Q1467">
        <v>28</v>
      </c>
      <c r="R1467">
        <v>30</v>
      </c>
      <c r="S1467" t="s">
        <v>3</v>
      </c>
      <c r="T1467">
        <v>5250</v>
      </c>
      <c r="U1467" t="s">
        <v>3946</v>
      </c>
      <c r="V1467" t="s">
        <v>2449</v>
      </c>
      <c r="W1467">
        <v>1.41</v>
      </c>
    </row>
    <row r="1468" spans="1:23">
      <c r="A1468" t="str">
        <f>"300282"</f>
        <v>300282</v>
      </c>
      <c r="B1468" t="s">
        <v>3947</v>
      </c>
      <c r="C1468">
        <v>25.67</v>
      </c>
      <c r="D1468">
        <v>25.96</v>
      </c>
      <c r="E1468">
        <v>25.25</v>
      </c>
      <c r="F1468">
        <v>25.74</v>
      </c>
      <c r="G1468">
        <v>5331</v>
      </c>
      <c r="H1468">
        <v>13639378</v>
      </c>
      <c r="I1468">
        <v>0.72</v>
      </c>
      <c r="J1468" t="s">
        <v>66</v>
      </c>
      <c r="K1468" t="s">
        <v>34</v>
      </c>
      <c r="L1468">
        <v>0.55000000000000004</v>
      </c>
      <c r="M1468">
        <v>25.59</v>
      </c>
      <c r="N1468">
        <v>2301</v>
      </c>
      <c r="O1468">
        <v>3029</v>
      </c>
      <c r="P1468">
        <v>0.76</v>
      </c>
      <c r="Q1468">
        <v>8</v>
      </c>
      <c r="R1468">
        <v>6</v>
      </c>
      <c r="S1468" t="s">
        <v>3</v>
      </c>
      <c r="T1468">
        <v>2361.06</v>
      </c>
      <c r="U1468" t="s">
        <v>3145</v>
      </c>
      <c r="V1468" t="s">
        <v>415</v>
      </c>
      <c r="W1468">
        <v>0.71</v>
      </c>
    </row>
    <row r="1469" spans="1:23">
      <c r="A1469" t="str">
        <f>"300283"</f>
        <v>300283</v>
      </c>
      <c r="B1469" t="s">
        <v>3948</v>
      </c>
      <c r="C1469">
        <v>14.18</v>
      </c>
      <c r="D1469">
        <v>14.3</v>
      </c>
      <c r="E1469">
        <v>14</v>
      </c>
      <c r="F1469">
        <v>14.23</v>
      </c>
      <c r="G1469">
        <v>16767</v>
      </c>
      <c r="H1469">
        <v>23736694</v>
      </c>
      <c r="I1469">
        <v>1.04</v>
      </c>
      <c r="J1469" t="s">
        <v>145</v>
      </c>
      <c r="K1469" t="s">
        <v>229</v>
      </c>
      <c r="L1469">
        <v>0.71</v>
      </c>
      <c r="M1469">
        <v>14.16</v>
      </c>
      <c r="N1469">
        <v>7326</v>
      </c>
      <c r="O1469">
        <v>9440</v>
      </c>
      <c r="P1469">
        <v>0.78</v>
      </c>
      <c r="Q1469">
        <v>10</v>
      </c>
      <c r="R1469">
        <v>30</v>
      </c>
      <c r="S1469" t="s">
        <v>3</v>
      </c>
      <c r="T1469">
        <v>4177.1000000000004</v>
      </c>
      <c r="U1469" t="s">
        <v>3949</v>
      </c>
      <c r="V1469" t="s">
        <v>806</v>
      </c>
      <c r="W1469">
        <v>0.87</v>
      </c>
    </row>
    <row r="1470" spans="1:23">
      <c r="A1470" t="str">
        <f>"300284"</f>
        <v>300284</v>
      </c>
      <c r="B1470" t="s">
        <v>3950</v>
      </c>
      <c r="C1470" t="s">
        <v>3</v>
      </c>
      <c r="D1470" t="s">
        <v>3</v>
      </c>
      <c r="E1470" t="s">
        <v>3</v>
      </c>
      <c r="F1470">
        <v>0</v>
      </c>
      <c r="G1470">
        <v>0</v>
      </c>
      <c r="H1470">
        <v>0</v>
      </c>
      <c r="I1470">
        <v>0</v>
      </c>
      <c r="J1470" t="s">
        <v>33</v>
      </c>
      <c r="K1470" t="s">
        <v>244</v>
      </c>
      <c r="L1470" t="s">
        <v>3</v>
      </c>
      <c r="M1470">
        <v>9.4</v>
      </c>
      <c r="N1470">
        <v>0</v>
      </c>
      <c r="O1470">
        <v>0</v>
      </c>
      <c r="P1470" t="s">
        <v>3</v>
      </c>
      <c r="Q1470">
        <v>0</v>
      </c>
      <c r="R1470">
        <v>0</v>
      </c>
      <c r="S1470" t="s">
        <v>3</v>
      </c>
      <c r="T1470">
        <v>27328.85</v>
      </c>
      <c r="U1470" t="s">
        <v>3951</v>
      </c>
      <c r="V1470" t="s">
        <v>3952</v>
      </c>
      <c r="W1470">
        <v>0.16</v>
      </c>
    </row>
    <row r="1471" spans="1:23">
      <c r="A1471" t="str">
        <f>"300285"</f>
        <v>300285</v>
      </c>
      <c r="B1471" t="s">
        <v>3953</v>
      </c>
      <c r="C1471">
        <v>36.72</v>
      </c>
      <c r="D1471">
        <v>36.799999999999997</v>
      </c>
      <c r="E1471">
        <v>35.82</v>
      </c>
      <c r="F1471">
        <v>36.36</v>
      </c>
      <c r="G1471">
        <v>6568</v>
      </c>
      <c r="H1471">
        <v>23824584</v>
      </c>
      <c r="I1471">
        <v>0.91</v>
      </c>
      <c r="J1471" t="s">
        <v>376</v>
      </c>
      <c r="K1471" t="s">
        <v>250</v>
      </c>
      <c r="L1471">
        <v>-0.11</v>
      </c>
      <c r="M1471">
        <v>36.270000000000003</v>
      </c>
      <c r="N1471">
        <v>3247</v>
      </c>
      <c r="O1471">
        <v>3321</v>
      </c>
      <c r="P1471">
        <v>0.98</v>
      </c>
      <c r="Q1471">
        <v>505</v>
      </c>
      <c r="R1471">
        <v>8</v>
      </c>
      <c r="S1471" t="s">
        <v>3</v>
      </c>
      <c r="T1471">
        <v>3226.39</v>
      </c>
      <c r="U1471" t="s">
        <v>3954</v>
      </c>
      <c r="V1471" t="s">
        <v>3955</v>
      </c>
      <c r="W1471">
        <v>0.05</v>
      </c>
    </row>
    <row r="1472" spans="1:23">
      <c r="A1472" t="str">
        <f>"300286"</f>
        <v>300286</v>
      </c>
      <c r="B1472" t="s">
        <v>3956</v>
      </c>
      <c r="C1472">
        <v>26.79</v>
      </c>
      <c r="D1472">
        <v>26.9</v>
      </c>
      <c r="E1472">
        <v>26.26</v>
      </c>
      <c r="F1472">
        <v>26.67</v>
      </c>
      <c r="G1472">
        <v>18443</v>
      </c>
      <c r="H1472">
        <v>49087976</v>
      </c>
      <c r="I1472">
        <v>0.78</v>
      </c>
      <c r="J1472" t="s">
        <v>617</v>
      </c>
      <c r="K1472" t="s">
        <v>727</v>
      </c>
      <c r="L1472">
        <v>-0.45</v>
      </c>
      <c r="M1472">
        <v>26.62</v>
      </c>
      <c r="N1472">
        <v>9899</v>
      </c>
      <c r="O1472">
        <v>8543</v>
      </c>
      <c r="P1472">
        <v>1.1599999999999999</v>
      </c>
      <c r="Q1472">
        <v>19</v>
      </c>
      <c r="R1472">
        <v>109</v>
      </c>
      <c r="S1472" t="s">
        <v>3</v>
      </c>
      <c r="T1472">
        <v>3526.8</v>
      </c>
      <c r="U1472" t="s">
        <v>3957</v>
      </c>
      <c r="V1472" t="s">
        <v>3958</v>
      </c>
      <c r="W1472">
        <v>-0.28999999999999998</v>
      </c>
    </row>
    <row r="1473" spans="1:23">
      <c r="A1473" t="str">
        <f>"300287"</f>
        <v>300287</v>
      </c>
      <c r="B1473" t="s">
        <v>3959</v>
      </c>
      <c r="C1473" t="s">
        <v>3</v>
      </c>
      <c r="D1473" t="s">
        <v>3</v>
      </c>
      <c r="E1473" t="s">
        <v>3</v>
      </c>
      <c r="F1473">
        <v>0</v>
      </c>
      <c r="G1473">
        <v>0</v>
      </c>
      <c r="H1473">
        <v>0</v>
      </c>
      <c r="I1473">
        <v>0</v>
      </c>
      <c r="J1473" t="s">
        <v>758</v>
      </c>
      <c r="K1473" t="s">
        <v>34</v>
      </c>
      <c r="L1473" t="s">
        <v>3</v>
      </c>
      <c r="M1473">
        <v>23.91</v>
      </c>
      <c r="N1473">
        <v>0</v>
      </c>
      <c r="O1473">
        <v>0</v>
      </c>
      <c r="P1473" t="s">
        <v>3</v>
      </c>
      <c r="Q1473">
        <v>0</v>
      </c>
      <c r="R1473">
        <v>0</v>
      </c>
      <c r="S1473" t="s">
        <v>3</v>
      </c>
      <c r="T1473">
        <v>11719.5</v>
      </c>
      <c r="U1473" t="s">
        <v>3960</v>
      </c>
      <c r="V1473" t="s">
        <v>3961</v>
      </c>
      <c r="W1473">
        <v>0.16</v>
      </c>
    </row>
    <row r="1474" spans="1:23">
      <c r="A1474" t="str">
        <f>"300288"</f>
        <v>300288</v>
      </c>
      <c r="B1474" t="s">
        <v>3962</v>
      </c>
      <c r="C1474">
        <v>90.6</v>
      </c>
      <c r="D1474">
        <v>92.91</v>
      </c>
      <c r="E1474">
        <v>88.2</v>
      </c>
      <c r="F1474">
        <v>92.39</v>
      </c>
      <c r="G1474">
        <v>4745</v>
      </c>
      <c r="H1474">
        <v>43283364</v>
      </c>
      <c r="I1474">
        <v>0.79</v>
      </c>
      <c r="J1474" t="s">
        <v>758</v>
      </c>
      <c r="K1474" t="s">
        <v>452</v>
      </c>
      <c r="L1474">
        <v>2.08</v>
      </c>
      <c r="M1474">
        <v>91.22</v>
      </c>
      <c r="N1474">
        <v>1888</v>
      </c>
      <c r="O1474">
        <v>2856</v>
      </c>
      <c r="P1474">
        <v>0.66</v>
      </c>
      <c r="Q1474">
        <v>102</v>
      </c>
      <c r="R1474">
        <v>35</v>
      </c>
      <c r="S1474" t="s">
        <v>3</v>
      </c>
      <c r="T1474">
        <v>2680</v>
      </c>
      <c r="U1474" t="s">
        <v>16</v>
      </c>
      <c r="V1474" t="s">
        <v>3963</v>
      </c>
      <c r="W1474">
        <v>2.2400000000000002</v>
      </c>
    </row>
    <row r="1475" spans="1:23">
      <c r="A1475" t="str">
        <f>"300289"</f>
        <v>300289</v>
      </c>
      <c r="B1475" t="s">
        <v>3964</v>
      </c>
      <c r="C1475" t="s">
        <v>3</v>
      </c>
      <c r="D1475" t="s">
        <v>3</v>
      </c>
      <c r="E1475" t="s">
        <v>3</v>
      </c>
      <c r="F1475">
        <v>0</v>
      </c>
      <c r="G1475">
        <v>0</v>
      </c>
      <c r="H1475">
        <v>0</v>
      </c>
      <c r="I1475">
        <v>0</v>
      </c>
      <c r="J1475" t="s">
        <v>11</v>
      </c>
      <c r="K1475" t="s">
        <v>34</v>
      </c>
      <c r="L1475" t="s">
        <v>3</v>
      </c>
      <c r="M1475">
        <v>28.07</v>
      </c>
      <c r="N1475">
        <v>0</v>
      </c>
      <c r="O1475">
        <v>0</v>
      </c>
      <c r="P1475" t="s">
        <v>3</v>
      </c>
      <c r="Q1475">
        <v>0</v>
      </c>
      <c r="R1475">
        <v>0</v>
      </c>
      <c r="S1475" t="s">
        <v>3</v>
      </c>
      <c r="T1475">
        <v>5572.68</v>
      </c>
      <c r="U1475" t="s">
        <v>3965</v>
      </c>
      <c r="V1475" t="s">
        <v>3966</v>
      </c>
      <c r="W1475">
        <v>0.16</v>
      </c>
    </row>
    <row r="1476" spans="1:23">
      <c r="A1476" t="str">
        <f>"300290"</f>
        <v>300290</v>
      </c>
      <c r="B1476" t="s">
        <v>3967</v>
      </c>
      <c r="C1476" t="s">
        <v>3</v>
      </c>
      <c r="D1476" t="s">
        <v>3</v>
      </c>
      <c r="E1476" t="s">
        <v>3</v>
      </c>
      <c r="F1476">
        <v>0</v>
      </c>
      <c r="G1476">
        <v>0</v>
      </c>
      <c r="H1476">
        <v>0</v>
      </c>
      <c r="I1476">
        <v>0</v>
      </c>
      <c r="J1476" t="s">
        <v>758</v>
      </c>
      <c r="K1476" t="s">
        <v>162</v>
      </c>
      <c r="L1476" t="s">
        <v>3</v>
      </c>
      <c r="M1476">
        <v>20.02</v>
      </c>
      <c r="N1476">
        <v>0</v>
      </c>
      <c r="O1476">
        <v>0</v>
      </c>
      <c r="P1476" t="s">
        <v>3</v>
      </c>
      <c r="Q1476">
        <v>0</v>
      </c>
      <c r="R1476">
        <v>0</v>
      </c>
      <c r="S1476" t="s">
        <v>3</v>
      </c>
      <c r="T1476">
        <v>5698.75</v>
      </c>
      <c r="U1476" t="s">
        <v>3968</v>
      </c>
      <c r="V1476" t="s">
        <v>3969</v>
      </c>
      <c r="W1476">
        <v>0.16</v>
      </c>
    </row>
    <row r="1477" spans="1:23">
      <c r="A1477" t="str">
        <f>"300291"</f>
        <v>300291</v>
      </c>
      <c r="B1477" t="s">
        <v>3970</v>
      </c>
      <c r="C1477">
        <v>34.99</v>
      </c>
      <c r="D1477">
        <v>36.1</v>
      </c>
      <c r="E1477">
        <v>34.56</v>
      </c>
      <c r="F1477">
        <v>35.630000000000003</v>
      </c>
      <c r="G1477">
        <v>39856</v>
      </c>
      <c r="H1477">
        <v>141317184</v>
      </c>
      <c r="I1477">
        <v>0.69</v>
      </c>
      <c r="J1477" t="s">
        <v>228</v>
      </c>
      <c r="K1477" t="s">
        <v>34</v>
      </c>
      <c r="L1477">
        <v>1.51</v>
      </c>
      <c r="M1477">
        <v>35.46</v>
      </c>
      <c r="N1477">
        <v>20464</v>
      </c>
      <c r="O1477">
        <v>19392</v>
      </c>
      <c r="P1477">
        <v>1.06</v>
      </c>
      <c r="Q1477">
        <v>34</v>
      </c>
      <c r="R1477">
        <v>35</v>
      </c>
      <c r="S1477" t="s">
        <v>3</v>
      </c>
      <c r="T1477">
        <v>14520</v>
      </c>
      <c r="U1477" t="s">
        <v>3971</v>
      </c>
      <c r="V1477" t="s">
        <v>3972</v>
      </c>
      <c r="W1477">
        <v>1.67</v>
      </c>
    </row>
    <row r="1478" spans="1:23">
      <c r="A1478" t="str">
        <f>"300292"</f>
        <v>300292</v>
      </c>
      <c r="B1478" t="s">
        <v>3973</v>
      </c>
      <c r="C1478">
        <v>17.100000000000001</v>
      </c>
      <c r="D1478">
        <v>17.11</v>
      </c>
      <c r="E1478">
        <v>16.77</v>
      </c>
      <c r="F1478">
        <v>17</v>
      </c>
      <c r="G1478">
        <v>20305</v>
      </c>
      <c r="H1478">
        <v>34283076</v>
      </c>
      <c r="I1478">
        <v>0.79</v>
      </c>
      <c r="J1478" t="s">
        <v>112</v>
      </c>
      <c r="K1478" t="s">
        <v>244</v>
      </c>
      <c r="L1478">
        <v>-0.35</v>
      </c>
      <c r="M1478">
        <v>16.88</v>
      </c>
      <c r="N1478">
        <v>11331</v>
      </c>
      <c r="O1478">
        <v>8973</v>
      </c>
      <c r="P1478">
        <v>1.26</v>
      </c>
      <c r="Q1478">
        <v>263</v>
      </c>
      <c r="R1478">
        <v>129</v>
      </c>
      <c r="S1478" t="s">
        <v>3</v>
      </c>
      <c r="T1478">
        <v>6497.7</v>
      </c>
      <c r="U1478" t="s">
        <v>3974</v>
      </c>
      <c r="V1478" t="s">
        <v>3975</v>
      </c>
      <c r="W1478">
        <v>-0.19</v>
      </c>
    </row>
    <row r="1479" spans="1:23">
      <c r="A1479" t="str">
        <f>"300293"</f>
        <v>300293</v>
      </c>
      <c r="B1479" t="s">
        <v>3976</v>
      </c>
      <c r="C1479">
        <v>16.12</v>
      </c>
      <c r="D1479">
        <v>16.489999999999998</v>
      </c>
      <c r="E1479">
        <v>15.83</v>
      </c>
      <c r="F1479">
        <v>15.92</v>
      </c>
      <c r="G1479">
        <v>72866</v>
      </c>
      <c r="H1479">
        <v>117106824</v>
      </c>
      <c r="I1479">
        <v>0.74</v>
      </c>
      <c r="J1479" t="s">
        <v>269</v>
      </c>
      <c r="K1479" t="s">
        <v>162</v>
      </c>
      <c r="L1479">
        <v>-1</v>
      </c>
      <c r="M1479">
        <v>16.07</v>
      </c>
      <c r="N1479">
        <v>41720</v>
      </c>
      <c r="O1479">
        <v>31145</v>
      </c>
      <c r="P1479">
        <v>1.34</v>
      </c>
      <c r="Q1479">
        <v>253</v>
      </c>
      <c r="R1479">
        <v>383</v>
      </c>
      <c r="S1479" t="s">
        <v>3</v>
      </c>
      <c r="T1479">
        <v>6750</v>
      </c>
      <c r="U1479" t="s">
        <v>3977</v>
      </c>
      <c r="V1479" t="s">
        <v>3978</v>
      </c>
      <c r="W1479">
        <v>-0.84</v>
      </c>
    </row>
    <row r="1480" spans="1:23">
      <c r="A1480" t="str">
        <f>"300294"</f>
        <v>300294</v>
      </c>
      <c r="B1480" t="s">
        <v>3979</v>
      </c>
      <c r="C1480">
        <v>54.1</v>
      </c>
      <c r="D1480">
        <v>54.66</v>
      </c>
      <c r="E1480">
        <v>52.65</v>
      </c>
      <c r="F1480">
        <v>54.33</v>
      </c>
      <c r="G1480">
        <v>13341</v>
      </c>
      <c r="H1480">
        <v>71847632</v>
      </c>
      <c r="I1480">
        <v>1.36</v>
      </c>
      <c r="J1480" t="s">
        <v>11</v>
      </c>
      <c r="K1480" t="s">
        <v>265</v>
      </c>
      <c r="L1480">
        <v>0.63</v>
      </c>
      <c r="M1480">
        <v>53.85</v>
      </c>
      <c r="N1480">
        <v>5904</v>
      </c>
      <c r="O1480">
        <v>7437</v>
      </c>
      <c r="P1480">
        <v>0.79</v>
      </c>
      <c r="Q1480">
        <v>4</v>
      </c>
      <c r="R1480">
        <v>34</v>
      </c>
      <c r="S1480" t="s">
        <v>3</v>
      </c>
      <c r="T1480">
        <v>3188.44</v>
      </c>
      <c r="U1480" t="s">
        <v>3980</v>
      </c>
      <c r="V1480" t="s">
        <v>3981</v>
      </c>
      <c r="W1480">
        <v>0.79</v>
      </c>
    </row>
    <row r="1481" spans="1:23">
      <c r="A1481" t="str">
        <f>"300295"</f>
        <v>300295</v>
      </c>
      <c r="B1481" t="s">
        <v>3982</v>
      </c>
      <c r="C1481">
        <v>117.3</v>
      </c>
      <c r="D1481">
        <v>123.8</v>
      </c>
      <c r="E1481">
        <v>116.68</v>
      </c>
      <c r="F1481">
        <v>122.25</v>
      </c>
      <c r="G1481">
        <v>19488</v>
      </c>
      <c r="H1481">
        <v>235707136</v>
      </c>
      <c r="I1481">
        <v>0.92</v>
      </c>
      <c r="J1481" t="s">
        <v>355</v>
      </c>
      <c r="K1481" t="s">
        <v>244</v>
      </c>
      <c r="L1481">
        <v>4.26</v>
      </c>
      <c r="M1481">
        <v>120.95</v>
      </c>
      <c r="N1481">
        <v>9034</v>
      </c>
      <c r="O1481">
        <v>10453</v>
      </c>
      <c r="P1481">
        <v>0.86</v>
      </c>
      <c r="Q1481">
        <v>4</v>
      </c>
      <c r="R1481">
        <v>13</v>
      </c>
      <c r="S1481" t="s">
        <v>3</v>
      </c>
      <c r="T1481">
        <v>2521.73</v>
      </c>
      <c r="U1481" t="s">
        <v>3983</v>
      </c>
      <c r="V1481" t="s">
        <v>3984</v>
      </c>
      <c r="W1481">
        <v>4.41</v>
      </c>
    </row>
    <row r="1482" spans="1:23">
      <c r="A1482" t="str">
        <f>"300296"</f>
        <v>300296</v>
      </c>
      <c r="B1482" t="s">
        <v>3985</v>
      </c>
      <c r="C1482">
        <v>23.56</v>
      </c>
      <c r="D1482">
        <v>24.4</v>
      </c>
      <c r="E1482">
        <v>23.05</v>
      </c>
      <c r="F1482">
        <v>24.4</v>
      </c>
      <c r="G1482">
        <v>58106</v>
      </c>
      <c r="H1482">
        <v>137906976</v>
      </c>
      <c r="I1482">
        <v>1.28</v>
      </c>
      <c r="J1482" t="s">
        <v>1581</v>
      </c>
      <c r="K1482" t="s">
        <v>34</v>
      </c>
      <c r="L1482">
        <v>2.91</v>
      </c>
      <c r="M1482">
        <v>23.73</v>
      </c>
      <c r="N1482">
        <v>27564</v>
      </c>
      <c r="O1482">
        <v>30541</v>
      </c>
      <c r="P1482">
        <v>0.9</v>
      </c>
      <c r="Q1482">
        <v>208</v>
      </c>
      <c r="R1482">
        <v>180</v>
      </c>
      <c r="S1482" t="s">
        <v>3</v>
      </c>
      <c r="T1482">
        <v>11526.7</v>
      </c>
      <c r="U1482" t="s">
        <v>3986</v>
      </c>
      <c r="V1482" t="s">
        <v>3987</v>
      </c>
      <c r="W1482">
        <v>3.07</v>
      </c>
    </row>
    <row r="1483" spans="1:23">
      <c r="A1483" t="str">
        <f>"300297"</f>
        <v>300297</v>
      </c>
      <c r="B1483" t="s">
        <v>3988</v>
      </c>
      <c r="C1483" t="s">
        <v>3</v>
      </c>
      <c r="D1483" t="s">
        <v>3</v>
      </c>
      <c r="E1483" t="s">
        <v>3</v>
      </c>
      <c r="F1483">
        <v>0</v>
      </c>
      <c r="G1483">
        <v>0</v>
      </c>
      <c r="H1483">
        <v>0</v>
      </c>
      <c r="I1483">
        <v>0</v>
      </c>
      <c r="J1483" t="s">
        <v>758</v>
      </c>
      <c r="K1483" t="s">
        <v>211</v>
      </c>
      <c r="L1483" t="s">
        <v>3</v>
      </c>
      <c r="M1483">
        <v>17.239999999999998</v>
      </c>
      <c r="N1483">
        <v>0</v>
      </c>
      <c r="O1483">
        <v>0</v>
      </c>
      <c r="P1483" t="s">
        <v>3</v>
      </c>
      <c r="Q1483">
        <v>0</v>
      </c>
      <c r="R1483">
        <v>0</v>
      </c>
      <c r="S1483" t="s">
        <v>3</v>
      </c>
      <c r="T1483">
        <v>11065.24</v>
      </c>
      <c r="U1483" t="s">
        <v>3989</v>
      </c>
      <c r="V1483" t="s">
        <v>2060</v>
      </c>
      <c r="W1483">
        <v>0.16</v>
      </c>
    </row>
    <row r="1484" spans="1:23">
      <c r="A1484" t="str">
        <f>"300298"</f>
        <v>300298</v>
      </c>
      <c r="B1484" t="s">
        <v>3990</v>
      </c>
      <c r="C1484">
        <v>42.85</v>
      </c>
      <c r="D1484">
        <v>43.49</v>
      </c>
      <c r="E1484">
        <v>42.1</v>
      </c>
      <c r="F1484">
        <v>42.88</v>
      </c>
      <c r="G1484">
        <v>15413</v>
      </c>
      <c r="H1484">
        <v>66168396</v>
      </c>
      <c r="I1484">
        <v>0.8</v>
      </c>
      <c r="J1484" t="s">
        <v>1971</v>
      </c>
      <c r="K1484" t="s">
        <v>234</v>
      </c>
      <c r="L1484">
        <v>0.05</v>
      </c>
      <c r="M1484">
        <v>42.93</v>
      </c>
      <c r="N1484">
        <v>7629</v>
      </c>
      <c r="O1484">
        <v>7784</v>
      </c>
      <c r="P1484">
        <v>0.98</v>
      </c>
      <c r="Q1484">
        <v>2</v>
      </c>
      <c r="R1484">
        <v>1</v>
      </c>
      <c r="S1484" t="s">
        <v>3</v>
      </c>
      <c r="T1484">
        <v>6256.35</v>
      </c>
      <c r="U1484" t="s">
        <v>3991</v>
      </c>
      <c r="V1484" t="s">
        <v>3992</v>
      </c>
      <c r="W1484">
        <v>0.21</v>
      </c>
    </row>
    <row r="1485" spans="1:23">
      <c r="A1485" t="str">
        <f>"300299"</f>
        <v>300299</v>
      </c>
      <c r="B1485" t="s">
        <v>3993</v>
      </c>
      <c r="C1485" t="s">
        <v>3</v>
      </c>
      <c r="D1485" t="s">
        <v>3</v>
      </c>
      <c r="E1485" t="s">
        <v>3</v>
      </c>
      <c r="F1485">
        <v>0</v>
      </c>
      <c r="G1485">
        <v>0</v>
      </c>
      <c r="H1485">
        <v>0</v>
      </c>
      <c r="I1485">
        <v>0</v>
      </c>
      <c r="J1485" t="s">
        <v>112</v>
      </c>
      <c r="K1485" t="s">
        <v>414</v>
      </c>
      <c r="L1485" t="s">
        <v>3</v>
      </c>
      <c r="M1485">
        <v>11.11</v>
      </c>
      <c r="N1485">
        <v>0</v>
      </c>
      <c r="O1485">
        <v>0</v>
      </c>
      <c r="P1485" t="s">
        <v>3</v>
      </c>
      <c r="Q1485">
        <v>0</v>
      </c>
      <c r="R1485">
        <v>0</v>
      </c>
      <c r="S1485" t="s">
        <v>3</v>
      </c>
      <c r="T1485">
        <v>7358.18</v>
      </c>
      <c r="U1485" t="s">
        <v>3994</v>
      </c>
      <c r="V1485" t="s">
        <v>3995</v>
      </c>
      <c r="W1485">
        <v>0.16</v>
      </c>
    </row>
    <row r="1486" spans="1:23">
      <c r="A1486" t="str">
        <f>"300300"</f>
        <v>300300</v>
      </c>
      <c r="B1486" t="s">
        <v>3996</v>
      </c>
      <c r="C1486">
        <v>25.36</v>
      </c>
      <c r="D1486">
        <v>25.4</v>
      </c>
      <c r="E1486">
        <v>24.73</v>
      </c>
      <c r="F1486">
        <v>25.11</v>
      </c>
      <c r="G1486">
        <v>24617</v>
      </c>
      <c r="H1486">
        <v>61415176</v>
      </c>
      <c r="I1486">
        <v>0.61</v>
      </c>
      <c r="J1486" t="s">
        <v>758</v>
      </c>
      <c r="K1486" t="s">
        <v>229</v>
      </c>
      <c r="L1486">
        <v>-0.95</v>
      </c>
      <c r="M1486">
        <v>24.95</v>
      </c>
      <c r="N1486">
        <v>14008</v>
      </c>
      <c r="O1486">
        <v>10608</v>
      </c>
      <c r="P1486">
        <v>1.32</v>
      </c>
      <c r="Q1486">
        <v>275</v>
      </c>
      <c r="R1486">
        <v>68</v>
      </c>
      <c r="S1486" t="s">
        <v>3</v>
      </c>
      <c r="T1486">
        <v>8577.3700000000008</v>
      </c>
      <c r="U1486" t="s">
        <v>2763</v>
      </c>
      <c r="V1486" t="s">
        <v>3997</v>
      </c>
      <c r="W1486">
        <v>-0.79</v>
      </c>
    </row>
    <row r="1487" spans="1:23">
      <c r="A1487" t="str">
        <f>"300301"</f>
        <v>300301</v>
      </c>
      <c r="B1487" t="s">
        <v>3998</v>
      </c>
      <c r="C1487">
        <v>14.01</v>
      </c>
      <c r="D1487">
        <v>14.85</v>
      </c>
      <c r="E1487">
        <v>14.01</v>
      </c>
      <c r="F1487">
        <v>14.6</v>
      </c>
      <c r="G1487">
        <v>82266</v>
      </c>
      <c r="H1487">
        <v>119198000</v>
      </c>
      <c r="I1487">
        <v>1.1599999999999999</v>
      </c>
      <c r="J1487" t="s">
        <v>1581</v>
      </c>
      <c r="K1487" t="s">
        <v>2</v>
      </c>
      <c r="L1487">
        <v>3.84</v>
      </c>
      <c r="M1487">
        <v>14.49</v>
      </c>
      <c r="N1487">
        <v>34327</v>
      </c>
      <c r="O1487">
        <v>47939</v>
      </c>
      <c r="P1487">
        <v>0.72</v>
      </c>
      <c r="Q1487">
        <v>71</v>
      </c>
      <c r="R1487">
        <v>5</v>
      </c>
      <c r="S1487" t="s">
        <v>3</v>
      </c>
      <c r="T1487">
        <v>7980.41</v>
      </c>
      <c r="U1487" t="s">
        <v>3999</v>
      </c>
      <c r="V1487" t="s">
        <v>4000</v>
      </c>
      <c r="W1487">
        <v>4</v>
      </c>
    </row>
    <row r="1488" spans="1:23">
      <c r="A1488" t="str">
        <f>"300302"</f>
        <v>300302</v>
      </c>
      <c r="B1488" t="s">
        <v>4001</v>
      </c>
      <c r="C1488">
        <v>24.05</v>
      </c>
      <c r="D1488">
        <v>24.77</v>
      </c>
      <c r="E1488">
        <v>23.85</v>
      </c>
      <c r="F1488">
        <v>23.9</v>
      </c>
      <c r="G1488">
        <v>24448</v>
      </c>
      <c r="H1488">
        <v>59339392</v>
      </c>
      <c r="I1488">
        <v>0.76</v>
      </c>
      <c r="J1488" t="s">
        <v>758</v>
      </c>
      <c r="K1488" t="s">
        <v>34</v>
      </c>
      <c r="L1488">
        <v>-1.4</v>
      </c>
      <c r="M1488">
        <v>24.27</v>
      </c>
      <c r="N1488">
        <v>14586</v>
      </c>
      <c r="O1488">
        <v>9861</v>
      </c>
      <c r="P1488">
        <v>1.48</v>
      </c>
      <c r="Q1488">
        <v>423</v>
      </c>
      <c r="R1488">
        <v>86</v>
      </c>
      <c r="S1488" t="s">
        <v>3</v>
      </c>
      <c r="T1488">
        <v>4113.33</v>
      </c>
      <c r="U1488" t="s">
        <v>4002</v>
      </c>
      <c r="V1488" t="s">
        <v>4003</v>
      </c>
      <c r="W1488">
        <v>-1.24</v>
      </c>
    </row>
    <row r="1489" spans="1:23">
      <c r="A1489" t="str">
        <f>"300303"</f>
        <v>300303</v>
      </c>
      <c r="B1489" t="s">
        <v>4004</v>
      </c>
      <c r="C1489">
        <v>19.100000000000001</v>
      </c>
      <c r="D1489">
        <v>19.14</v>
      </c>
      <c r="E1489">
        <v>18.739999999999998</v>
      </c>
      <c r="F1489">
        <v>18.95</v>
      </c>
      <c r="G1489">
        <v>32225</v>
      </c>
      <c r="H1489">
        <v>60942152</v>
      </c>
      <c r="I1489">
        <v>0.63</v>
      </c>
      <c r="J1489" t="s">
        <v>1581</v>
      </c>
      <c r="K1489" t="s">
        <v>2</v>
      </c>
      <c r="L1489">
        <v>-0.26</v>
      </c>
      <c r="M1489">
        <v>18.91</v>
      </c>
      <c r="N1489">
        <v>15868</v>
      </c>
      <c r="O1489">
        <v>16357</v>
      </c>
      <c r="P1489">
        <v>0.97</v>
      </c>
      <c r="Q1489">
        <v>107</v>
      </c>
      <c r="R1489">
        <v>59</v>
      </c>
      <c r="S1489" t="s">
        <v>3</v>
      </c>
      <c r="T1489">
        <v>14272.04</v>
      </c>
      <c r="U1489" t="s">
        <v>4005</v>
      </c>
      <c r="V1489" t="s">
        <v>4006</v>
      </c>
      <c r="W1489">
        <v>-0.1</v>
      </c>
    </row>
    <row r="1490" spans="1:23">
      <c r="A1490" t="str">
        <f>"300304"</f>
        <v>300304</v>
      </c>
      <c r="B1490" t="s">
        <v>4007</v>
      </c>
      <c r="C1490">
        <v>37.83</v>
      </c>
      <c r="D1490">
        <v>38.020000000000003</v>
      </c>
      <c r="E1490">
        <v>37.01</v>
      </c>
      <c r="F1490">
        <v>37.47</v>
      </c>
      <c r="G1490">
        <v>20105</v>
      </c>
      <c r="H1490">
        <v>75017624</v>
      </c>
      <c r="I1490">
        <v>0.68</v>
      </c>
      <c r="J1490" t="s">
        <v>98</v>
      </c>
      <c r="K1490" t="s">
        <v>244</v>
      </c>
      <c r="L1490">
        <v>-0.9</v>
      </c>
      <c r="M1490">
        <v>37.31</v>
      </c>
      <c r="N1490">
        <v>12271</v>
      </c>
      <c r="O1490">
        <v>7834</v>
      </c>
      <c r="P1490">
        <v>1.57</v>
      </c>
      <c r="Q1490">
        <v>3</v>
      </c>
      <c r="R1490">
        <v>33</v>
      </c>
      <c r="S1490" t="s">
        <v>3</v>
      </c>
      <c r="T1490">
        <v>3200</v>
      </c>
      <c r="U1490" t="s">
        <v>4008</v>
      </c>
      <c r="V1490" t="s">
        <v>4009</v>
      </c>
      <c r="W1490">
        <v>-0.74</v>
      </c>
    </row>
    <row r="1491" spans="1:23">
      <c r="A1491" t="str">
        <f>"300305"</f>
        <v>300305</v>
      </c>
      <c r="B1491" t="s">
        <v>4010</v>
      </c>
      <c r="C1491">
        <v>21.8</v>
      </c>
      <c r="D1491">
        <v>21.84</v>
      </c>
      <c r="E1491">
        <v>21.12</v>
      </c>
      <c r="F1491">
        <v>21.84</v>
      </c>
      <c r="G1491">
        <v>6712</v>
      </c>
      <c r="H1491">
        <v>14413409</v>
      </c>
      <c r="I1491">
        <v>0.72</v>
      </c>
      <c r="J1491" t="s">
        <v>273</v>
      </c>
      <c r="K1491" t="s">
        <v>244</v>
      </c>
      <c r="L1491">
        <v>1.3</v>
      </c>
      <c r="M1491">
        <v>21.47</v>
      </c>
      <c r="N1491">
        <v>3748</v>
      </c>
      <c r="O1491">
        <v>2963</v>
      </c>
      <c r="P1491">
        <v>1.26</v>
      </c>
      <c r="Q1491">
        <v>10</v>
      </c>
      <c r="R1491">
        <v>6</v>
      </c>
      <c r="S1491" t="s">
        <v>3</v>
      </c>
      <c r="T1491">
        <v>3600</v>
      </c>
      <c r="U1491" t="s">
        <v>4011</v>
      </c>
      <c r="V1491" t="s">
        <v>4012</v>
      </c>
      <c r="W1491">
        <v>1.46</v>
      </c>
    </row>
    <row r="1492" spans="1:23">
      <c r="A1492" t="str">
        <f>"300306"</f>
        <v>300306</v>
      </c>
      <c r="B1492" t="s">
        <v>4013</v>
      </c>
      <c r="C1492">
        <v>29</v>
      </c>
      <c r="D1492">
        <v>29.26</v>
      </c>
      <c r="E1492">
        <v>28.68</v>
      </c>
      <c r="F1492">
        <v>29.11</v>
      </c>
      <c r="G1492">
        <v>8429</v>
      </c>
      <c r="H1492">
        <v>24409854</v>
      </c>
      <c r="I1492">
        <v>0.63</v>
      </c>
      <c r="J1492" t="s">
        <v>617</v>
      </c>
      <c r="K1492" t="s">
        <v>229</v>
      </c>
      <c r="L1492">
        <v>0.34</v>
      </c>
      <c r="M1492">
        <v>28.96</v>
      </c>
      <c r="N1492">
        <v>4206</v>
      </c>
      <c r="O1492">
        <v>4222</v>
      </c>
      <c r="P1492">
        <v>1</v>
      </c>
      <c r="Q1492">
        <v>10</v>
      </c>
      <c r="R1492">
        <v>50</v>
      </c>
      <c r="S1492" t="s">
        <v>3</v>
      </c>
      <c r="T1492">
        <v>3707.95</v>
      </c>
      <c r="U1492" t="s">
        <v>4014</v>
      </c>
      <c r="V1492" t="s">
        <v>4015</v>
      </c>
      <c r="W1492">
        <v>0.5</v>
      </c>
    </row>
    <row r="1493" spans="1:23">
      <c r="A1493" t="str">
        <f>"300307"</f>
        <v>300307</v>
      </c>
      <c r="B1493" t="s">
        <v>4016</v>
      </c>
      <c r="C1493">
        <v>10.98</v>
      </c>
      <c r="D1493">
        <v>11.28</v>
      </c>
      <c r="E1493">
        <v>10.95</v>
      </c>
      <c r="F1493">
        <v>11.02</v>
      </c>
      <c r="G1493">
        <v>107883</v>
      </c>
      <c r="H1493">
        <v>119715528</v>
      </c>
      <c r="I1493">
        <v>1.08</v>
      </c>
      <c r="J1493" t="s">
        <v>721</v>
      </c>
      <c r="K1493" t="s">
        <v>229</v>
      </c>
      <c r="L1493">
        <v>0.64</v>
      </c>
      <c r="M1493">
        <v>11.1</v>
      </c>
      <c r="N1493">
        <v>59090</v>
      </c>
      <c r="O1493">
        <v>48793</v>
      </c>
      <c r="P1493">
        <v>1.21</v>
      </c>
      <c r="Q1493">
        <v>1675</v>
      </c>
      <c r="R1493">
        <v>799</v>
      </c>
      <c r="S1493" t="s">
        <v>3</v>
      </c>
      <c r="T1493">
        <v>12200</v>
      </c>
      <c r="U1493" t="s">
        <v>4017</v>
      </c>
      <c r="V1493" t="s">
        <v>4018</v>
      </c>
      <c r="W1493">
        <v>0.8</v>
      </c>
    </row>
    <row r="1494" spans="1:23">
      <c r="A1494" t="str">
        <f>"300308"</f>
        <v>300308</v>
      </c>
      <c r="B1494" t="s">
        <v>4019</v>
      </c>
      <c r="C1494">
        <v>15.7</v>
      </c>
      <c r="D1494">
        <v>16.22</v>
      </c>
      <c r="E1494">
        <v>15.54</v>
      </c>
      <c r="F1494">
        <v>16.18</v>
      </c>
      <c r="G1494">
        <v>38163</v>
      </c>
      <c r="H1494">
        <v>60775868</v>
      </c>
      <c r="I1494">
        <v>1.2</v>
      </c>
      <c r="J1494" t="s">
        <v>233</v>
      </c>
      <c r="K1494" t="s">
        <v>250</v>
      </c>
      <c r="L1494">
        <v>3.52</v>
      </c>
      <c r="M1494">
        <v>15.93</v>
      </c>
      <c r="N1494">
        <v>14811</v>
      </c>
      <c r="O1494">
        <v>23352</v>
      </c>
      <c r="P1494">
        <v>0.63</v>
      </c>
      <c r="Q1494">
        <v>30</v>
      </c>
      <c r="R1494">
        <v>369</v>
      </c>
      <c r="S1494" t="s">
        <v>3</v>
      </c>
      <c r="T1494">
        <v>4186</v>
      </c>
      <c r="U1494" t="s">
        <v>4020</v>
      </c>
      <c r="V1494" t="s">
        <v>4021</v>
      </c>
      <c r="W1494">
        <v>3.68</v>
      </c>
    </row>
    <row r="1495" spans="1:23">
      <c r="A1495" t="str">
        <f>"300309"</f>
        <v>300309</v>
      </c>
      <c r="B1495" t="s">
        <v>4022</v>
      </c>
      <c r="C1495">
        <v>22.97</v>
      </c>
      <c r="D1495">
        <v>23.94</v>
      </c>
      <c r="E1495">
        <v>22.86</v>
      </c>
      <c r="F1495">
        <v>23.8</v>
      </c>
      <c r="G1495">
        <v>20803</v>
      </c>
      <c r="H1495">
        <v>48899508</v>
      </c>
      <c r="I1495">
        <v>1.2</v>
      </c>
      <c r="J1495" t="s">
        <v>269</v>
      </c>
      <c r="K1495" t="s">
        <v>34</v>
      </c>
      <c r="L1495">
        <v>3.7</v>
      </c>
      <c r="M1495">
        <v>23.51</v>
      </c>
      <c r="N1495">
        <v>8995</v>
      </c>
      <c r="O1495">
        <v>11807</v>
      </c>
      <c r="P1495">
        <v>0.76</v>
      </c>
      <c r="Q1495">
        <v>116</v>
      </c>
      <c r="R1495">
        <v>21</v>
      </c>
      <c r="S1495" t="s">
        <v>3</v>
      </c>
      <c r="T1495">
        <v>7364.22</v>
      </c>
      <c r="U1495" t="s">
        <v>4023</v>
      </c>
      <c r="V1495" t="s">
        <v>267</v>
      </c>
      <c r="W1495">
        <v>3.86</v>
      </c>
    </row>
    <row r="1496" spans="1:23">
      <c r="A1496" t="str">
        <f>"300310"</f>
        <v>300310</v>
      </c>
      <c r="B1496" t="s">
        <v>4024</v>
      </c>
      <c r="C1496">
        <v>18.8</v>
      </c>
      <c r="D1496">
        <v>18.93</v>
      </c>
      <c r="E1496">
        <v>18.579999999999998</v>
      </c>
      <c r="F1496">
        <v>18.87</v>
      </c>
      <c r="G1496">
        <v>19754</v>
      </c>
      <c r="H1496">
        <v>37171724</v>
      </c>
      <c r="I1496">
        <v>0.95</v>
      </c>
      <c r="J1496" t="s">
        <v>112</v>
      </c>
      <c r="K1496" t="s">
        <v>211</v>
      </c>
      <c r="L1496">
        <v>0.59</v>
      </c>
      <c r="M1496">
        <v>18.82</v>
      </c>
      <c r="N1496">
        <v>7967</v>
      </c>
      <c r="O1496">
        <v>11786</v>
      </c>
      <c r="P1496">
        <v>0.68</v>
      </c>
      <c r="Q1496">
        <v>34</v>
      </c>
      <c r="R1496">
        <v>146</v>
      </c>
      <c r="S1496" t="s">
        <v>3</v>
      </c>
      <c r="T1496">
        <v>5720</v>
      </c>
      <c r="U1496" t="s">
        <v>4014</v>
      </c>
      <c r="V1496" t="s">
        <v>4025</v>
      </c>
      <c r="W1496">
        <v>0.74</v>
      </c>
    </row>
    <row r="1497" spans="1:23">
      <c r="A1497" t="str">
        <f>"300311"</f>
        <v>300311</v>
      </c>
      <c r="B1497" t="s">
        <v>4026</v>
      </c>
      <c r="C1497">
        <v>28.98</v>
      </c>
      <c r="D1497">
        <v>28.98</v>
      </c>
      <c r="E1497">
        <v>27.88</v>
      </c>
      <c r="F1497">
        <v>28.33</v>
      </c>
      <c r="G1497">
        <v>127432</v>
      </c>
      <c r="H1497">
        <v>362654976</v>
      </c>
      <c r="I1497">
        <v>35.4</v>
      </c>
      <c r="J1497" t="s">
        <v>758</v>
      </c>
      <c r="K1497" t="s">
        <v>211</v>
      </c>
      <c r="L1497">
        <v>6.07</v>
      </c>
      <c r="M1497">
        <v>28.46</v>
      </c>
      <c r="N1497">
        <v>55543</v>
      </c>
      <c r="O1497">
        <v>71888</v>
      </c>
      <c r="P1497">
        <v>0.77</v>
      </c>
      <c r="Q1497">
        <v>636</v>
      </c>
      <c r="R1497">
        <v>205</v>
      </c>
      <c r="S1497" t="s">
        <v>3</v>
      </c>
      <c r="T1497">
        <v>3792</v>
      </c>
      <c r="U1497" t="s">
        <v>4027</v>
      </c>
      <c r="V1497" t="s">
        <v>2176</v>
      </c>
      <c r="W1497">
        <v>6.22</v>
      </c>
    </row>
    <row r="1498" spans="1:23">
      <c r="A1498" t="str">
        <f>"300312"</f>
        <v>300312</v>
      </c>
      <c r="B1498" t="s">
        <v>4028</v>
      </c>
      <c r="C1498">
        <v>21.51</v>
      </c>
      <c r="D1498">
        <v>21.6</v>
      </c>
      <c r="E1498">
        <v>21.2</v>
      </c>
      <c r="F1498">
        <v>21.39</v>
      </c>
      <c r="G1498">
        <v>33532</v>
      </c>
      <c r="H1498">
        <v>71743792</v>
      </c>
      <c r="I1498">
        <v>0.56000000000000005</v>
      </c>
      <c r="J1498" t="s">
        <v>112</v>
      </c>
      <c r="K1498" t="s">
        <v>34</v>
      </c>
      <c r="L1498">
        <v>-0.56000000000000005</v>
      </c>
      <c r="M1498">
        <v>21.4</v>
      </c>
      <c r="N1498">
        <v>19516</v>
      </c>
      <c r="O1498">
        <v>14016</v>
      </c>
      <c r="P1498">
        <v>1.39</v>
      </c>
      <c r="Q1498">
        <v>106</v>
      </c>
      <c r="R1498">
        <v>92</v>
      </c>
      <c r="S1498" t="s">
        <v>3</v>
      </c>
      <c r="T1498">
        <v>6394.5</v>
      </c>
      <c r="U1498" t="s">
        <v>4029</v>
      </c>
      <c r="V1498" t="s">
        <v>4030</v>
      </c>
      <c r="W1498">
        <v>-0.4</v>
      </c>
    </row>
    <row r="1499" spans="1:23">
      <c r="A1499" t="str">
        <f>"300313"</f>
        <v>300313</v>
      </c>
      <c r="B1499" t="s">
        <v>4031</v>
      </c>
      <c r="C1499">
        <v>19.98</v>
      </c>
      <c r="D1499">
        <v>20.079999999999998</v>
      </c>
      <c r="E1499">
        <v>19.82</v>
      </c>
      <c r="F1499">
        <v>20</v>
      </c>
      <c r="G1499">
        <v>10986</v>
      </c>
      <c r="H1499">
        <v>21930252</v>
      </c>
      <c r="I1499">
        <v>0.92</v>
      </c>
      <c r="J1499" t="s">
        <v>169</v>
      </c>
      <c r="K1499" t="s">
        <v>241</v>
      </c>
      <c r="L1499">
        <v>0.4</v>
      </c>
      <c r="M1499">
        <v>19.96</v>
      </c>
      <c r="N1499">
        <v>4518</v>
      </c>
      <c r="O1499">
        <v>6467</v>
      </c>
      <c r="P1499">
        <v>0.7</v>
      </c>
      <c r="Q1499">
        <v>198</v>
      </c>
      <c r="R1499">
        <v>66</v>
      </c>
      <c r="S1499" t="s">
        <v>3</v>
      </c>
      <c r="T1499">
        <v>4177.8100000000004</v>
      </c>
      <c r="U1499" t="s">
        <v>4032</v>
      </c>
      <c r="V1499" t="s">
        <v>4033</v>
      </c>
      <c r="W1499">
        <v>0.56000000000000005</v>
      </c>
    </row>
    <row r="1500" spans="1:23">
      <c r="A1500" t="str">
        <f>"300314"</f>
        <v>300314</v>
      </c>
      <c r="B1500" t="s">
        <v>4034</v>
      </c>
      <c r="C1500">
        <v>25.19</v>
      </c>
      <c r="D1500">
        <v>25.79</v>
      </c>
      <c r="E1500">
        <v>24.75</v>
      </c>
      <c r="F1500">
        <v>24.99</v>
      </c>
      <c r="G1500">
        <v>25854</v>
      </c>
      <c r="H1500">
        <v>65257556</v>
      </c>
      <c r="I1500">
        <v>0.98</v>
      </c>
      <c r="J1500" t="s">
        <v>1971</v>
      </c>
      <c r="K1500" t="s">
        <v>229</v>
      </c>
      <c r="L1500">
        <v>-0.87</v>
      </c>
      <c r="M1500">
        <v>25.24</v>
      </c>
      <c r="N1500">
        <v>12580</v>
      </c>
      <c r="O1500">
        <v>13273</v>
      </c>
      <c r="P1500">
        <v>0.95</v>
      </c>
      <c r="Q1500">
        <v>79</v>
      </c>
      <c r="R1500">
        <v>10</v>
      </c>
      <c r="S1500" t="s">
        <v>3</v>
      </c>
      <c r="T1500">
        <v>4345</v>
      </c>
      <c r="U1500" t="s">
        <v>2299</v>
      </c>
      <c r="V1500" t="s">
        <v>3700</v>
      </c>
      <c r="W1500">
        <v>-0.71</v>
      </c>
    </row>
    <row r="1501" spans="1:23">
      <c r="A1501" t="str">
        <f>"300315"</f>
        <v>300315</v>
      </c>
      <c r="B1501" t="s">
        <v>4035</v>
      </c>
      <c r="C1501" t="s">
        <v>3</v>
      </c>
      <c r="D1501" t="s">
        <v>3</v>
      </c>
      <c r="E1501" t="s">
        <v>3</v>
      </c>
      <c r="F1501">
        <v>0</v>
      </c>
      <c r="G1501">
        <v>0</v>
      </c>
      <c r="H1501">
        <v>0</v>
      </c>
      <c r="I1501">
        <v>0</v>
      </c>
      <c r="J1501" t="s">
        <v>355</v>
      </c>
      <c r="K1501" t="s">
        <v>34</v>
      </c>
      <c r="L1501" t="s">
        <v>3</v>
      </c>
      <c r="M1501">
        <v>15.83</v>
      </c>
      <c r="N1501">
        <v>0</v>
      </c>
      <c r="O1501">
        <v>0</v>
      </c>
      <c r="P1501" t="s">
        <v>3</v>
      </c>
      <c r="Q1501">
        <v>0</v>
      </c>
      <c r="R1501">
        <v>0</v>
      </c>
      <c r="S1501" t="s">
        <v>3</v>
      </c>
      <c r="T1501">
        <v>54505.85</v>
      </c>
      <c r="U1501" t="s">
        <v>4036</v>
      </c>
      <c r="V1501" t="s">
        <v>4037</v>
      </c>
      <c r="W1501">
        <v>0.16</v>
      </c>
    </row>
    <row r="1502" spans="1:23">
      <c r="A1502" t="str">
        <f>"300316"</f>
        <v>300316</v>
      </c>
      <c r="B1502" t="s">
        <v>4038</v>
      </c>
      <c r="C1502">
        <v>24.44</v>
      </c>
      <c r="D1502">
        <v>24.52</v>
      </c>
      <c r="E1502">
        <v>23.9</v>
      </c>
      <c r="F1502">
        <v>24.36</v>
      </c>
      <c r="G1502">
        <v>19967</v>
      </c>
      <c r="H1502">
        <v>48109308</v>
      </c>
      <c r="I1502">
        <v>1.1100000000000001</v>
      </c>
      <c r="J1502" t="s">
        <v>269</v>
      </c>
      <c r="K1502" t="s">
        <v>229</v>
      </c>
      <c r="L1502">
        <v>-0.28999999999999998</v>
      </c>
      <c r="M1502">
        <v>24.09</v>
      </c>
      <c r="N1502">
        <v>12285</v>
      </c>
      <c r="O1502">
        <v>7681</v>
      </c>
      <c r="P1502">
        <v>1.6</v>
      </c>
      <c r="Q1502">
        <v>119</v>
      </c>
      <c r="R1502">
        <v>132</v>
      </c>
      <c r="S1502" t="s">
        <v>3</v>
      </c>
      <c r="T1502">
        <v>13325.79</v>
      </c>
      <c r="U1502" t="s">
        <v>4039</v>
      </c>
      <c r="V1502" t="s">
        <v>4040</v>
      </c>
      <c r="W1502">
        <v>-0.13</v>
      </c>
    </row>
    <row r="1503" spans="1:23">
      <c r="A1503" t="str">
        <f>"300317"</f>
        <v>300317</v>
      </c>
      <c r="B1503" t="s">
        <v>4041</v>
      </c>
      <c r="C1503">
        <v>26.3</v>
      </c>
      <c r="D1503">
        <v>26.8</v>
      </c>
      <c r="E1503">
        <v>25.31</v>
      </c>
      <c r="F1503">
        <v>26.15</v>
      </c>
      <c r="G1503">
        <v>46319</v>
      </c>
      <c r="H1503">
        <v>121300816</v>
      </c>
      <c r="I1503">
        <v>0.53</v>
      </c>
      <c r="J1503" t="s">
        <v>1581</v>
      </c>
      <c r="K1503" t="s">
        <v>2</v>
      </c>
      <c r="L1503">
        <v>-0.83</v>
      </c>
      <c r="M1503">
        <v>26.19</v>
      </c>
      <c r="N1503">
        <v>25438</v>
      </c>
      <c r="O1503">
        <v>20880</v>
      </c>
      <c r="P1503">
        <v>1.22</v>
      </c>
      <c r="Q1503">
        <v>480</v>
      </c>
      <c r="R1503">
        <v>46</v>
      </c>
      <c r="S1503" t="s">
        <v>3</v>
      </c>
      <c r="T1503">
        <v>5408.37</v>
      </c>
      <c r="U1503" t="s">
        <v>4042</v>
      </c>
      <c r="V1503" t="s">
        <v>4043</v>
      </c>
      <c r="W1503">
        <v>-0.68</v>
      </c>
    </row>
    <row r="1504" spans="1:23">
      <c r="A1504" t="str">
        <f>"300318"</f>
        <v>300318</v>
      </c>
      <c r="B1504" t="s">
        <v>4044</v>
      </c>
      <c r="C1504" t="s">
        <v>3</v>
      </c>
      <c r="D1504" t="s">
        <v>3</v>
      </c>
      <c r="E1504" t="s">
        <v>3</v>
      </c>
      <c r="F1504">
        <v>0</v>
      </c>
      <c r="G1504">
        <v>0</v>
      </c>
      <c r="H1504">
        <v>0</v>
      </c>
      <c r="I1504">
        <v>0</v>
      </c>
      <c r="J1504" t="s">
        <v>1971</v>
      </c>
      <c r="K1504" t="s">
        <v>34</v>
      </c>
      <c r="L1504" t="s">
        <v>3</v>
      </c>
      <c r="M1504">
        <v>21.32</v>
      </c>
      <c r="N1504">
        <v>0</v>
      </c>
      <c r="O1504">
        <v>0</v>
      </c>
      <c r="P1504" t="s">
        <v>3</v>
      </c>
      <c r="Q1504">
        <v>0</v>
      </c>
      <c r="R1504">
        <v>0</v>
      </c>
      <c r="S1504" t="s">
        <v>3</v>
      </c>
      <c r="T1504">
        <v>6039.25</v>
      </c>
      <c r="U1504" t="s">
        <v>4045</v>
      </c>
      <c r="V1504" t="s">
        <v>4015</v>
      </c>
      <c r="W1504">
        <v>0.16</v>
      </c>
    </row>
    <row r="1505" spans="1:23">
      <c r="A1505" t="str">
        <f>"300319"</f>
        <v>300319</v>
      </c>
      <c r="B1505" t="s">
        <v>4046</v>
      </c>
      <c r="C1505" t="s">
        <v>3</v>
      </c>
      <c r="D1505" t="s">
        <v>3</v>
      </c>
      <c r="E1505" t="s">
        <v>3</v>
      </c>
      <c r="F1505">
        <v>0</v>
      </c>
      <c r="G1505">
        <v>0</v>
      </c>
      <c r="H1505">
        <v>0</v>
      </c>
      <c r="I1505">
        <v>0</v>
      </c>
      <c r="J1505" t="s">
        <v>62</v>
      </c>
      <c r="K1505" t="s">
        <v>2</v>
      </c>
      <c r="L1505" t="s">
        <v>3</v>
      </c>
      <c r="M1505">
        <v>26.59</v>
      </c>
      <c r="N1505">
        <v>0</v>
      </c>
      <c r="O1505">
        <v>0</v>
      </c>
      <c r="P1505" t="s">
        <v>3</v>
      </c>
      <c r="Q1505">
        <v>0</v>
      </c>
      <c r="R1505">
        <v>0</v>
      </c>
      <c r="S1505" t="s">
        <v>3</v>
      </c>
      <c r="T1505">
        <v>2390.39</v>
      </c>
      <c r="U1505" t="s">
        <v>4047</v>
      </c>
      <c r="V1505" t="s">
        <v>4048</v>
      </c>
      <c r="W1505">
        <v>0.16</v>
      </c>
    </row>
    <row r="1506" spans="1:23">
      <c r="A1506" t="str">
        <f>"300320"</f>
        <v>300320</v>
      </c>
      <c r="B1506" t="s">
        <v>4049</v>
      </c>
      <c r="C1506">
        <v>16.36</v>
      </c>
      <c r="D1506">
        <v>16.89</v>
      </c>
      <c r="E1506">
        <v>16.16</v>
      </c>
      <c r="F1506">
        <v>16.87</v>
      </c>
      <c r="G1506">
        <v>17933</v>
      </c>
      <c r="H1506">
        <v>29789220</v>
      </c>
      <c r="I1506">
        <v>1.05</v>
      </c>
      <c r="J1506" t="s">
        <v>1137</v>
      </c>
      <c r="K1506" t="s">
        <v>244</v>
      </c>
      <c r="L1506">
        <v>3.43</v>
      </c>
      <c r="M1506">
        <v>16.61</v>
      </c>
      <c r="N1506">
        <v>7793</v>
      </c>
      <c r="O1506">
        <v>10139</v>
      </c>
      <c r="P1506">
        <v>0.77</v>
      </c>
      <c r="Q1506">
        <v>113</v>
      </c>
      <c r="R1506">
        <v>58</v>
      </c>
      <c r="S1506" t="s">
        <v>3</v>
      </c>
      <c r="T1506">
        <v>6921.29</v>
      </c>
      <c r="U1506" t="s">
        <v>4050</v>
      </c>
      <c r="V1506" t="s">
        <v>2808</v>
      </c>
      <c r="W1506">
        <v>3.59</v>
      </c>
    </row>
    <row r="1507" spans="1:23">
      <c r="A1507" t="str">
        <f>"300321"</f>
        <v>300321</v>
      </c>
      <c r="B1507" t="s">
        <v>4051</v>
      </c>
      <c r="C1507">
        <v>40.299999999999997</v>
      </c>
      <c r="D1507">
        <v>42.5</v>
      </c>
      <c r="E1507">
        <v>39.799999999999997</v>
      </c>
      <c r="F1507">
        <v>42.42</v>
      </c>
      <c r="G1507">
        <v>13300</v>
      </c>
      <c r="H1507">
        <v>54895892</v>
      </c>
      <c r="I1507">
        <v>1.32</v>
      </c>
      <c r="J1507" t="s">
        <v>273</v>
      </c>
      <c r="K1507" t="s">
        <v>250</v>
      </c>
      <c r="L1507">
        <v>4.38</v>
      </c>
      <c r="M1507">
        <v>41.27</v>
      </c>
      <c r="N1507">
        <v>6157</v>
      </c>
      <c r="O1507">
        <v>7143</v>
      </c>
      <c r="P1507">
        <v>0.86</v>
      </c>
      <c r="Q1507">
        <v>50</v>
      </c>
      <c r="R1507">
        <v>24</v>
      </c>
      <c r="S1507" t="s">
        <v>3</v>
      </c>
      <c r="T1507">
        <v>1802.31</v>
      </c>
      <c r="U1507" t="s">
        <v>4052</v>
      </c>
      <c r="V1507" t="s">
        <v>2709</v>
      </c>
      <c r="W1507">
        <v>4.54</v>
      </c>
    </row>
    <row r="1508" spans="1:23">
      <c r="A1508" t="str">
        <f>"300322"</f>
        <v>300322</v>
      </c>
      <c r="B1508" t="s">
        <v>4053</v>
      </c>
      <c r="C1508">
        <v>20.6</v>
      </c>
      <c r="D1508">
        <v>20.68</v>
      </c>
      <c r="E1508">
        <v>19.95</v>
      </c>
      <c r="F1508">
        <v>20.45</v>
      </c>
      <c r="G1508">
        <v>48857</v>
      </c>
      <c r="H1508">
        <v>98572304</v>
      </c>
      <c r="I1508">
        <v>0.8</v>
      </c>
      <c r="J1508" t="s">
        <v>112</v>
      </c>
      <c r="K1508" t="s">
        <v>211</v>
      </c>
      <c r="L1508">
        <v>-0.28999999999999998</v>
      </c>
      <c r="M1508">
        <v>20.18</v>
      </c>
      <c r="N1508">
        <v>27483</v>
      </c>
      <c r="O1508">
        <v>21374</v>
      </c>
      <c r="P1508">
        <v>1.29</v>
      </c>
      <c r="Q1508">
        <v>62</v>
      </c>
      <c r="R1508">
        <v>245</v>
      </c>
      <c r="S1508" t="s">
        <v>3</v>
      </c>
      <c r="T1508">
        <v>10799</v>
      </c>
      <c r="U1508" t="s">
        <v>2885</v>
      </c>
      <c r="V1508" t="s">
        <v>4054</v>
      </c>
      <c r="W1508">
        <v>-0.13</v>
      </c>
    </row>
    <row r="1509" spans="1:23">
      <c r="A1509" t="str">
        <f>"300323"</f>
        <v>300323</v>
      </c>
      <c r="B1509" t="s">
        <v>4055</v>
      </c>
      <c r="C1509">
        <v>13.38</v>
      </c>
      <c r="D1509">
        <v>14.1</v>
      </c>
      <c r="E1509">
        <v>13.1</v>
      </c>
      <c r="F1509">
        <v>13.89</v>
      </c>
      <c r="G1509">
        <v>136352</v>
      </c>
      <c r="H1509">
        <v>185296352</v>
      </c>
      <c r="I1509">
        <v>1.36</v>
      </c>
      <c r="J1509" t="s">
        <v>1581</v>
      </c>
      <c r="K1509" t="s">
        <v>317</v>
      </c>
      <c r="L1509">
        <v>4.28</v>
      </c>
      <c r="M1509">
        <v>13.59</v>
      </c>
      <c r="N1509">
        <v>58952</v>
      </c>
      <c r="O1509">
        <v>77399</v>
      </c>
      <c r="P1509">
        <v>0.76</v>
      </c>
      <c r="Q1509">
        <v>1087</v>
      </c>
      <c r="R1509">
        <v>372</v>
      </c>
      <c r="S1509" t="s">
        <v>3</v>
      </c>
      <c r="T1509">
        <v>19896.75</v>
      </c>
      <c r="U1509" t="s">
        <v>2236</v>
      </c>
      <c r="V1509" t="s">
        <v>4056</v>
      </c>
      <c r="W1509">
        <v>4.4400000000000004</v>
      </c>
    </row>
    <row r="1510" spans="1:23">
      <c r="A1510" t="str">
        <f>"300324"</f>
        <v>300324</v>
      </c>
      <c r="B1510" t="s">
        <v>4057</v>
      </c>
      <c r="C1510">
        <v>32.9</v>
      </c>
      <c r="D1510">
        <v>35.93</v>
      </c>
      <c r="E1510">
        <v>32.89</v>
      </c>
      <c r="F1510">
        <v>34.75</v>
      </c>
      <c r="G1510">
        <v>72470</v>
      </c>
      <c r="H1510">
        <v>251671104</v>
      </c>
      <c r="I1510">
        <v>3.36</v>
      </c>
      <c r="J1510" t="s">
        <v>758</v>
      </c>
      <c r="K1510" t="s">
        <v>34</v>
      </c>
      <c r="L1510">
        <v>6.4</v>
      </c>
      <c r="M1510">
        <v>34.729999999999997</v>
      </c>
      <c r="N1510">
        <v>43215</v>
      </c>
      <c r="O1510">
        <v>29255</v>
      </c>
      <c r="P1510">
        <v>1.48</v>
      </c>
      <c r="Q1510">
        <v>2</v>
      </c>
      <c r="R1510">
        <v>2</v>
      </c>
      <c r="S1510" t="s">
        <v>3</v>
      </c>
      <c r="T1510">
        <v>6561</v>
      </c>
      <c r="U1510" t="s">
        <v>3583</v>
      </c>
      <c r="V1510" t="s">
        <v>4058</v>
      </c>
      <c r="W1510">
        <v>6.56</v>
      </c>
    </row>
    <row r="1511" spans="1:23">
      <c r="A1511" t="str">
        <f>"300325"</f>
        <v>300325</v>
      </c>
      <c r="B1511" t="s">
        <v>4059</v>
      </c>
      <c r="C1511">
        <v>8.65</v>
      </c>
      <c r="D1511">
        <v>8.65</v>
      </c>
      <c r="E1511">
        <v>8.44</v>
      </c>
      <c r="F1511">
        <v>8.5500000000000007</v>
      </c>
      <c r="G1511">
        <v>62914</v>
      </c>
      <c r="H1511">
        <v>53607128</v>
      </c>
      <c r="I1511">
        <v>0.68</v>
      </c>
      <c r="J1511" t="s">
        <v>273</v>
      </c>
      <c r="K1511" t="s">
        <v>244</v>
      </c>
      <c r="L1511">
        <v>-1.1599999999999999</v>
      </c>
      <c r="M1511">
        <v>8.52</v>
      </c>
      <c r="N1511">
        <v>37837</v>
      </c>
      <c r="O1511">
        <v>25077</v>
      </c>
      <c r="P1511">
        <v>1.51</v>
      </c>
      <c r="Q1511">
        <v>557</v>
      </c>
      <c r="R1511">
        <v>150</v>
      </c>
      <c r="S1511" t="s">
        <v>3</v>
      </c>
      <c r="T1511">
        <v>18933.32</v>
      </c>
      <c r="U1511" t="s">
        <v>4060</v>
      </c>
      <c r="V1511" t="s">
        <v>4061</v>
      </c>
      <c r="W1511">
        <v>-1</v>
      </c>
    </row>
    <row r="1512" spans="1:23">
      <c r="A1512" t="str">
        <f>"300326"</f>
        <v>300326</v>
      </c>
      <c r="B1512" t="s">
        <v>4062</v>
      </c>
      <c r="C1512" t="s">
        <v>3</v>
      </c>
      <c r="D1512" t="s">
        <v>3</v>
      </c>
      <c r="E1512" t="s">
        <v>3</v>
      </c>
      <c r="F1512">
        <v>0</v>
      </c>
      <c r="G1512">
        <v>0</v>
      </c>
      <c r="H1512">
        <v>0</v>
      </c>
      <c r="I1512">
        <v>0</v>
      </c>
      <c r="J1512" t="s">
        <v>1971</v>
      </c>
      <c r="K1512" t="s">
        <v>727</v>
      </c>
      <c r="L1512" t="s">
        <v>3</v>
      </c>
      <c r="M1512">
        <v>31.22</v>
      </c>
      <c r="N1512">
        <v>0</v>
      </c>
      <c r="O1512">
        <v>0</v>
      </c>
      <c r="P1512" t="s">
        <v>3</v>
      </c>
      <c r="Q1512">
        <v>0</v>
      </c>
      <c r="R1512">
        <v>0</v>
      </c>
      <c r="S1512" t="s">
        <v>3</v>
      </c>
      <c r="T1512">
        <v>5025</v>
      </c>
      <c r="U1512" t="s">
        <v>4063</v>
      </c>
      <c r="V1512" t="s">
        <v>1025</v>
      </c>
      <c r="W1512">
        <v>0.16</v>
      </c>
    </row>
    <row r="1513" spans="1:23">
      <c r="A1513" t="str">
        <f>"300327"</f>
        <v>300327</v>
      </c>
      <c r="B1513" t="s">
        <v>4064</v>
      </c>
      <c r="C1513">
        <v>17.16</v>
      </c>
      <c r="D1513">
        <v>17.18</v>
      </c>
      <c r="E1513">
        <v>16.8</v>
      </c>
      <c r="F1513">
        <v>17.04</v>
      </c>
      <c r="G1513">
        <v>53176</v>
      </c>
      <c r="H1513">
        <v>90249560</v>
      </c>
      <c r="I1513">
        <v>0.66</v>
      </c>
      <c r="J1513" t="s">
        <v>1581</v>
      </c>
      <c r="K1513" t="s">
        <v>727</v>
      </c>
      <c r="L1513">
        <v>-1.39</v>
      </c>
      <c r="M1513">
        <v>16.97</v>
      </c>
      <c r="N1513">
        <v>28276</v>
      </c>
      <c r="O1513">
        <v>24899</v>
      </c>
      <c r="P1513">
        <v>1.1399999999999999</v>
      </c>
      <c r="Q1513">
        <v>72</v>
      </c>
      <c r="R1513">
        <v>230</v>
      </c>
      <c r="S1513" t="s">
        <v>3</v>
      </c>
      <c r="T1513">
        <v>10690.13</v>
      </c>
      <c r="U1513" t="s">
        <v>4065</v>
      </c>
      <c r="V1513" t="s">
        <v>4066</v>
      </c>
      <c r="W1513">
        <v>-1.23</v>
      </c>
    </row>
    <row r="1514" spans="1:23">
      <c r="A1514" t="str">
        <f>"300328"</f>
        <v>300328</v>
      </c>
      <c r="B1514" t="s">
        <v>4067</v>
      </c>
      <c r="C1514">
        <v>27.81</v>
      </c>
      <c r="D1514">
        <v>28.99</v>
      </c>
      <c r="E1514">
        <v>27.77</v>
      </c>
      <c r="F1514">
        <v>28.47</v>
      </c>
      <c r="G1514">
        <v>17370</v>
      </c>
      <c r="H1514">
        <v>49574376</v>
      </c>
      <c r="I1514">
        <v>0.83</v>
      </c>
      <c r="J1514" t="s">
        <v>632</v>
      </c>
      <c r="K1514" t="s">
        <v>211</v>
      </c>
      <c r="L1514">
        <v>1.57</v>
      </c>
      <c r="M1514">
        <v>28.54</v>
      </c>
      <c r="N1514">
        <v>9610</v>
      </c>
      <c r="O1514">
        <v>7760</v>
      </c>
      <c r="P1514">
        <v>1.24</v>
      </c>
      <c r="Q1514">
        <v>152</v>
      </c>
      <c r="R1514">
        <v>49</v>
      </c>
      <c r="S1514" t="s">
        <v>3</v>
      </c>
      <c r="T1514">
        <v>2800</v>
      </c>
      <c r="U1514" t="s">
        <v>4068</v>
      </c>
      <c r="V1514" t="s">
        <v>4069</v>
      </c>
      <c r="W1514">
        <v>1.73</v>
      </c>
    </row>
    <row r="1515" spans="1:23">
      <c r="A1515" t="str">
        <f>"300329"</f>
        <v>300329</v>
      </c>
      <c r="B1515" t="s">
        <v>4070</v>
      </c>
      <c r="C1515">
        <v>16.2</v>
      </c>
      <c r="D1515">
        <v>17.75</v>
      </c>
      <c r="E1515">
        <v>16.149999999999999</v>
      </c>
      <c r="F1515">
        <v>17.75</v>
      </c>
      <c r="G1515">
        <v>99325</v>
      </c>
      <c r="H1515">
        <v>170145408</v>
      </c>
      <c r="I1515">
        <v>1.64</v>
      </c>
      <c r="J1515" t="s">
        <v>51</v>
      </c>
      <c r="K1515" t="s">
        <v>229</v>
      </c>
      <c r="L1515">
        <v>9.98</v>
      </c>
      <c r="M1515">
        <v>17.13</v>
      </c>
      <c r="N1515">
        <v>41664</v>
      </c>
      <c r="O1515">
        <v>57660</v>
      </c>
      <c r="P1515">
        <v>0.72</v>
      </c>
      <c r="Q1515">
        <v>35156</v>
      </c>
      <c r="R1515">
        <v>0</v>
      </c>
      <c r="S1515" t="s">
        <v>3</v>
      </c>
      <c r="T1515">
        <v>6858.85</v>
      </c>
      <c r="U1515" t="s">
        <v>4071</v>
      </c>
      <c r="V1515" t="s">
        <v>4072</v>
      </c>
      <c r="W1515">
        <v>10.130000000000001</v>
      </c>
    </row>
    <row r="1516" spans="1:23">
      <c r="A1516" t="str">
        <f>"300330"</f>
        <v>300330</v>
      </c>
      <c r="B1516" t="s">
        <v>4073</v>
      </c>
      <c r="C1516">
        <v>15.69</v>
      </c>
      <c r="D1516">
        <v>15.86</v>
      </c>
      <c r="E1516">
        <v>15.56</v>
      </c>
      <c r="F1516">
        <v>15.59</v>
      </c>
      <c r="G1516">
        <v>17736</v>
      </c>
      <c r="H1516">
        <v>27745632</v>
      </c>
      <c r="I1516">
        <v>0.75</v>
      </c>
      <c r="J1516" t="s">
        <v>758</v>
      </c>
      <c r="K1516" t="s">
        <v>727</v>
      </c>
      <c r="L1516">
        <v>-0.56999999999999995</v>
      </c>
      <c r="M1516">
        <v>15.64</v>
      </c>
      <c r="N1516">
        <v>11543</v>
      </c>
      <c r="O1516">
        <v>6192</v>
      </c>
      <c r="P1516">
        <v>1.86</v>
      </c>
      <c r="Q1516">
        <v>33</v>
      </c>
      <c r="R1516">
        <v>63</v>
      </c>
      <c r="S1516" t="s">
        <v>3</v>
      </c>
      <c r="T1516">
        <v>11225.7</v>
      </c>
      <c r="U1516" t="s">
        <v>4074</v>
      </c>
      <c r="V1516" t="s">
        <v>2920</v>
      </c>
      <c r="W1516">
        <v>-0.42</v>
      </c>
    </row>
    <row r="1517" spans="1:23">
      <c r="A1517" t="str">
        <f>"300331"</f>
        <v>300331</v>
      </c>
      <c r="B1517" t="s">
        <v>4075</v>
      </c>
      <c r="C1517">
        <v>35.14</v>
      </c>
      <c r="D1517">
        <v>35.61</v>
      </c>
      <c r="E1517">
        <v>34.47</v>
      </c>
      <c r="F1517">
        <v>34.549999999999997</v>
      </c>
      <c r="G1517">
        <v>24063</v>
      </c>
      <c r="H1517">
        <v>83958776</v>
      </c>
      <c r="I1517">
        <v>0.73</v>
      </c>
      <c r="J1517" t="s">
        <v>62</v>
      </c>
      <c r="K1517" t="s">
        <v>244</v>
      </c>
      <c r="L1517">
        <v>-1.29</v>
      </c>
      <c r="M1517">
        <v>34.89</v>
      </c>
      <c r="N1517">
        <v>14575</v>
      </c>
      <c r="O1517">
        <v>9488</v>
      </c>
      <c r="P1517">
        <v>1.54</v>
      </c>
      <c r="Q1517">
        <v>11</v>
      </c>
      <c r="R1517">
        <v>120</v>
      </c>
      <c r="S1517" t="s">
        <v>3</v>
      </c>
      <c r="T1517">
        <v>5490.91</v>
      </c>
      <c r="U1517" t="s">
        <v>3750</v>
      </c>
      <c r="V1517" t="s">
        <v>4076</v>
      </c>
      <c r="W1517">
        <v>-1.1299999999999999</v>
      </c>
    </row>
    <row r="1518" spans="1:23">
      <c r="A1518" t="str">
        <f>"300332"</f>
        <v>300332</v>
      </c>
      <c r="B1518" t="s">
        <v>4077</v>
      </c>
      <c r="C1518">
        <v>13.84</v>
      </c>
      <c r="D1518">
        <v>13.84</v>
      </c>
      <c r="E1518">
        <v>13.61</v>
      </c>
      <c r="F1518">
        <v>13.76</v>
      </c>
      <c r="G1518">
        <v>86293</v>
      </c>
      <c r="H1518">
        <v>118313880</v>
      </c>
      <c r="I1518">
        <v>1.1200000000000001</v>
      </c>
      <c r="J1518" t="s">
        <v>462</v>
      </c>
      <c r="K1518" t="s">
        <v>34</v>
      </c>
      <c r="L1518">
        <v>-0.72</v>
      </c>
      <c r="M1518">
        <v>13.71</v>
      </c>
      <c r="N1518">
        <v>46756</v>
      </c>
      <c r="O1518">
        <v>39536</v>
      </c>
      <c r="P1518">
        <v>1.18</v>
      </c>
      <c r="Q1518">
        <v>817</v>
      </c>
      <c r="R1518">
        <v>398</v>
      </c>
      <c r="S1518" t="s">
        <v>3</v>
      </c>
      <c r="T1518">
        <v>22666.75</v>
      </c>
      <c r="U1518" t="s">
        <v>2586</v>
      </c>
      <c r="V1518" t="s">
        <v>3726</v>
      </c>
      <c r="W1518">
        <v>-0.56000000000000005</v>
      </c>
    </row>
    <row r="1519" spans="1:23">
      <c r="A1519" t="str">
        <f>"300333"</f>
        <v>300333</v>
      </c>
      <c r="B1519" t="s">
        <v>4078</v>
      </c>
      <c r="C1519">
        <v>25.8</v>
      </c>
      <c r="D1519">
        <v>25.8</v>
      </c>
      <c r="E1519">
        <v>25.12</v>
      </c>
      <c r="F1519">
        <v>25.49</v>
      </c>
      <c r="G1519">
        <v>38114</v>
      </c>
      <c r="H1519">
        <v>96853536</v>
      </c>
      <c r="I1519">
        <v>0.46</v>
      </c>
      <c r="J1519" t="s">
        <v>62</v>
      </c>
      <c r="K1519" t="s">
        <v>2</v>
      </c>
      <c r="L1519">
        <v>-1.32</v>
      </c>
      <c r="M1519">
        <v>25.41</v>
      </c>
      <c r="N1519">
        <v>20754</v>
      </c>
      <c r="O1519">
        <v>17360</v>
      </c>
      <c r="P1519">
        <v>1.2</v>
      </c>
      <c r="Q1519">
        <v>270</v>
      </c>
      <c r="R1519">
        <v>541</v>
      </c>
      <c r="S1519" t="s">
        <v>3</v>
      </c>
      <c r="T1519">
        <v>8111.1</v>
      </c>
      <c r="U1519" t="s">
        <v>3680</v>
      </c>
      <c r="V1519" t="s">
        <v>4079</v>
      </c>
      <c r="W1519">
        <v>-1.1599999999999999</v>
      </c>
    </row>
    <row r="1520" spans="1:23">
      <c r="A1520" t="str">
        <f>"300334"</f>
        <v>300334</v>
      </c>
      <c r="B1520" t="s">
        <v>4080</v>
      </c>
      <c r="C1520">
        <v>23.45</v>
      </c>
      <c r="D1520">
        <v>24.3</v>
      </c>
      <c r="E1520">
        <v>23.41</v>
      </c>
      <c r="F1520">
        <v>23.53</v>
      </c>
      <c r="G1520">
        <v>45905</v>
      </c>
      <c r="H1520">
        <v>109326920</v>
      </c>
      <c r="I1520">
        <v>0.8</v>
      </c>
      <c r="J1520" t="s">
        <v>269</v>
      </c>
      <c r="K1520" t="s">
        <v>442</v>
      </c>
      <c r="L1520">
        <v>1.34</v>
      </c>
      <c r="M1520">
        <v>23.82</v>
      </c>
      <c r="N1520">
        <v>25418</v>
      </c>
      <c r="O1520">
        <v>20487</v>
      </c>
      <c r="P1520">
        <v>1.24</v>
      </c>
      <c r="Q1520">
        <v>2</v>
      </c>
      <c r="R1520">
        <v>29</v>
      </c>
      <c r="S1520" t="s">
        <v>3</v>
      </c>
      <c r="T1520">
        <v>10503.55</v>
      </c>
      <c r="U1520" t="s">
        <v>4081</v>
      </c>
      <c r="V1520" t="s">
        <v>4082</v>
      </c>
      <c r="W1520">
        <v>1.49</v>
      </c>
    </row>
    <row r="1521" spans="1:23">
      <c r="A1521" t="str">
        <f>"300335"</f>
        <v>300335</v>
      </c>
      <c r="B1521" t="s">
        <v>4083</v>
      </c>
      <c r="C1521">
        <v>14.13</v>
      </c>
      <c r="D1521">
        <v>14.2</v>
      </c>
      <c r="E1521">
        <v>13.69</v>
      </c>
      <c r="F1521">
        <v>13.91</v>
      </c>
      <c r="G1521">
        <v>64725</v>
      </c>
      <c r="H1521">
        <v>89517936</v>
      </c>
      <c r="I1521">
        <v>2.04</v>
      </c>
      <c r="J1521" t="s">
        <v>581</v>
      </c>
      <c r="K1521" t="s">
        <v>211</v>
      </c>
      <c r="L1521">
        <v>-2.52</v>
      </c>
      <c r="M1521">
        <v>13.83</v>
      </c>
      <c r="N1521">
        <v>40593</v>
      </c>
      <c r="O1521">
        <v>24131</v>
      </c>
      <c r="P1521">
        <v>1.68</v>
      </c>
      <c r="Q1521">
        <v>83</v>
      </c>
      <c r="R1521">
        <v>99</v>
      </c>
      <c r="S1521" t="s">
        <v>3</v>
      </c>
      <c r="T1521">
        <v>16142.98</v>
      </c>
      <c r="U1521" t="s">
        <v>1101</v>
      </c>
      <c r="V1521" t="s">
        <v>4084</v>
      </c>
      <c r="W1521">
        <v>-2.36</v>
      </c>
    </row>
    <row r="1522" spans="1:23">
      <c r="A1522" t="str">
        <f>"300336"</f>
        <v>300336</v>
      </c>
      <c r="B1522" t="s">
        <v>4085</v>
      </c>
      <c r="C1522" t="s">
        <v>3</v>
      </c>
      <c r="D1522" t="s">
        <v>3</v>
      </c>
      <c r="E1522" t="s">
        <v>3</v>
      </c>
      <c r="F1522">
        <v>0</v>
      </c>
      <c r="G1522">
        <v>0</v>
      </c>
      <c r="H1522">
        <v>0</v>
      </c>
      <c r="I1522">
        <v>0</v>
      </c>
      <c r="J1522" t="s">
        <v>228</v>
      </c>
      <c r="K1522" t="s">
        <v>727</v>
      </c>
      <c r="L1522" t="s">
        <v>3</v>
      </c>
      <c r="M1522">
        <v>26.38</v>
      </c>
      <c r="N1522">
        <v>0</v>
      </c>
      <c r="O1522">
        <v>0</v>
      </c>
      <c r="P1522" t="s">
        <v>3</v>
      </c>
      <c r="Q1522">
        <v>0</v>
      </c>
      <c r="R1522">
        <v>0</v>
      </c>
      <c r="S1522" t="s">
        <v>3</v>
      </c>
      <c r="T1522">
        <v>7400.25</v>
      </c>
      <c r="U1522" t="s">
        <v>4086</v>
      </c>
      <c r="V1522" t="s">
        <v>4087</v>
      </c>
      <c r="W1522">
        <v>0.16</v>
      </c>
    </row>
    <row r="1523" spans="1:23">
      <c r="A1523" t="str">
        <f>"300337"</f>
        <v>300337</v>
      </c>
      <c r="B1523" t="s">
        <v>4088</v>
      </c>
      <c r="C1523">
        <v>18.36</v>
      </c>
      <c r="D1523">
        <v>18.64</v>
      </c>
      <c r="E1523">
        <v>17.95</v>
      </c>
      <c r="F1523">
        <v>18.57</v>
      </c>
      <c r="G1523">
        <v>131469</v>
      </c>
      <c r="H1523">
        <v>240327968</v>
      </c>
      <c r="I1523">
        <v>0.81</v>
      </c>
      <c r="J1523" t="s">
        <v>632</v>
      </c>
      <c r="K1523" t="s">
        <v>244</v>
      </c>
      <c r="L1523">
        <v>0.92</v>
      </c>
      <c r="M1523">
        <v>18.28</v>
      </c>
      <c r="N1523">
        <v>64024</v>
      </c>
      <c r="O1523">
        <v>67445</v>
      </c>
      <c r="P1523">
        <v>0.95</v>
      </c>
      <c r="Q1523">
        <v>215</v>
      </c>
      <c r="R1523">
        <v>103</v>
      </c>
      <c r="S1523" t="s">
        <v>3</v>
      </c>
      <c r="T1523">
        <v>14913.79</v>
      </c>
      <c r="U1523" t="s">
        <v>4089</v>
      </c>
      <c r="V1523" t="s">
        <v>4090</v>
      </c>
      <c r="W1523">
        <v>1.08</v>
      </c>
    </row>
    <row r="1524" spans="1:23">
      <c r="A1524" t="str">
        <f>"300338"</f>
        <v>300338</v>
      </c>
      <c r="B1524" t="s">
        <v>4091</v>
      </c>
      <c r="C1524">
        <v>19.309999999999999</v>
      </c>
      <c r="D1524">
        <v>19.8</v>
      </c>
      <c r="E1524">
        <v>19.2</v>
      </c>
      <c r="F1524">
        <v>19.649999999999999</v>
      </c>
      <c r="G1524">
        <v>38583</v>
      </c>
      <c r="H1524">
        <v>75383248</v>
      </c>
      <c r="I1524">
        <v>1.32</v>
      </c>
      <c r="J1524" t="s">
        <v>617</v>
      </c>
      <c r="K1524" t="s">
        <v>234</v>
      </c>
      <c r="L1524">
        <v>2.08</v>
      </c>
      <c r="M1524">
        <v>19.54</v>
      </c>
      <c r="N1524">
        <v>17143</v>
      </c>
      <c r="O1524">
        <v>21439</v>
      </c>
      <c r="P1524">
        <v>0.8</v>
      </c>
      <c r="Q1524">
        <v>660</v>
      </c>
      <c r="R1524">
        <v>43</v>
      </c>
      <c r="S1524" t="s">
        <v>3</v>
      </c>
      <c r="T1524">
        <v>4828.66</v>
      </c>
      <c r="U1524" t="s">
        <v>4092</v>
      </c>
      <c r="V1524" t="s">
        <v>16</v>
      </c>
      <c r="W1524">
        <v>2.2400000000000002</v>
      </c>
    </row>
    <row r="1525" spans="1:23">
      <c r="A1525" t="str">
        <f>"300339"</f>
        <v>300339</v>
      </c>
      <c r="B1525" t="s">
        <v>4093</v>
      </c>
      <c r="C1525">
        <v>20.45</v>
      </c>
      <c r="D1525">
        <v>20.52</v>
      </c>
      <c r="E1525">
        <v>19.91</v>
      </c>
      <c r="F1525">
        <v>20.23</v>
      </c>
      <c r="G1525">
        <v>47136</v>
      </c>
      <c r="H1525">
        <v>95271424</v>
      </c>
      <c r="I1525">
        <v>1.32</v>
      </c>
      <c r="J1525" t="s">
        <v>758</v>
      </c>
      <c r="K1525" t="s">
        <v>244</v>
      </c>
      <c r="L1525">
        <v>-1.1200000000000001</v>
      </c>
      <c r="M1525">
        <v>20.21</v>
      </c>
      <c r="N1525">
        <v>26587</v>
      </c>
      <c r="O1525">
        <v>20548</v>
      </c>
      <c r="P1525">
        <v>1.29</v>
      </c>
      <c r="Q1525">
        <v>171</v>
      </c>
      <c r="R1525">
        <v>15</v>
      </c>
      <c r="S1525" t="s">
        <v>3</v>
      </c>
      <c r="T1525">
        <v>12895.58</v>
      </c>
      <c r="U1525" t="s">
        <v>4094</v>
      </c>
      <c r="V1525" t="s">
        <v>4095</v>
      </c>
      <c r="W1525">
        <v>-0.97</v>
      </c>
    </row>
    <row r="1526" spans="1:23">
      <c r="A1526" t="str">
        <f>"300340"</f>
        <v>300340</v>
      </c>
      <c r="B1526" t="s">
        <v>4096</v>
      </c>
      <c r="C1526">
        <v>20.51</v>
      </c>
      <c r="D1526">
        <v>22</v>
      </c>
      <c r="E1526">
        <v>20.51</v>
      </c>
      <c r="F1526">
        <v>21.2</v>
      </c>
      <c r="G1526">
        <v>55786</v>
      </c>
      <c r="H1526">
        <v>118868592</v>
      </c>
      <c r="I1526">
        <v>0.82</v>
      </c>
      <c r="J1526" t="s">
        <v>62</v>
      </c>
      <c r="K1526" t="s">
        <v>211</v>
      </c>
      <c r="L1526">
        <v>3.92</v>
      </c>
      <c r="M1526">
        <v>21.31</v>
      </c>
      <c r="N1526">
        <v>30992</v>
      </c>
      <c r="O1526">
        <v>24794</v>
      </c>
      <c r="P1526">
        <v>1.25</v>
      </c>
      <c r="Q1526">
        <v>151</v>
      </c>
      <c r="R1526">
        <v>20</v>
      </c>
      <c r="S1526" t="s">
        <v>3</v>
      </c>
      <c r="T1526">
        <v>7254.27</v>
      </c>
      <c r="U1526" t="s">
        <v>4097</v>
      </c>
      <c r="V1526" t="s">
        <v>1634</v>
      </c>
      <c r="W1526">
        <v>4.08</v>
      </c>
    </row>
    <row r="1527" spans="1:23">
      <c r="A1527" t="str">
        <f>"300341"</f>
        <v>300341</v>
      </c>
      <c r="B1527" t="s">
        <v>4098</v>
      </c>
      <c r="C1527" t="s">
        <v>3</v>
      </c>
      <c r="D1527" t="s">
        <v>3</v>
      </c>
      <c r="E1527" t="s">
        <v>3</v>
      </c>
      <c r="F1527">
        <v>0</v>
      </c>
      <c r="G1527">
        <v>0</v>
      </c>
      <c r="H1527">
        <v>0</v>
      </c>
      <c r="I1527">
        <v>0</v>
      </c>
      <c r="J1527" t="s">
        <v>145</v>
      </c>
      <c r="K1527" t="s">
        <v>414</v>
      </c>
      <c r="L1527" t="s">
        <v>3</v>
      </c>
      <c r="M1527">
        <v>10.199999999999999</v>
      </c>
      <c r="N1527">
        <v>0</v>
      </c>
      <c r="O1527">
        <v>0</v>
      </c>
      <c r="P1527" t="s">
        <v>3</v>
      </c>
      <c r="Q1527">
        <v>0</v>
      </c>
      <c r="R1527">
        <v>0</v>
      </c>
      <c r="S1527" t="s">
        <v>3</v>
      </c>
      <c r="T1527">
        <v>7286.64</v>
      </c>
      <c r="U1527" t="s">
        <v>4099</v>
      </c>
      <c r="V1527" t="s">
        <v>4100</v>
      </c>
      <c r="W1527">
        <v>0.16</v>
      </c>
    </row>
    <row r="1528" spans="1:23">
      <c r="A1528" t="str">
        <f>"300342"</f>
        <v>300342</v>
      </c>
      <c r="B1528" t="s">
        <v>4101</v>
      </c>
      <c r="C1528">
        <v>35.36</v>
      </c>
      <c r="D1528">
        <v>35.36</v>
      </c>
      <c r="E1528">
        <v>34.86</v>
      </c>
      <c r="F1528">
        <v>35.020000000000003</v>
      </c>
      <c r="G1528">
        <v>13282</v>
      </c>
      <c r="H1528">
        <v>46582236</v>
      </c>
      <c r="I1528">
        <v>0.83</v>
      </c>
      <c r="J1528" t="s">
        <v>62</v>
      </c>
      <c r="K1528" t="s">
        <v>244</v>
      </c>
      <c r="L1528">
        <v>-0.48</v>
      </c>
      <c r="M1528">
        <v>35.07</v>
      </c>
      <c r="N1528">
        <v>7830</v>
      </c>
      <c r="O1528">
        <v>5451</v>
      </c>
      <c r="P1528">
        <v>1.44</v>
      </c>
      <c r="Q1528">
        <v>18</v>
      </c>
      <c r="R1528">
        <v>47</v>
      </c>
      <c r="S1528" t="s">
        <v>3</v>
      </c>
      <c r="T1528">
        <v>3324</v>
      </c>
      <c r="U1528" t="s">
        <v>4102</v>
      </c>
      <c r="V1528" t="s">
        <v>4103</v>
      </c>
      <c r="W1528">
        <v>-0.32</v>
      </c>
    </row>
    <row r="1529" spans="1:23">
      <c r="A1529" t="str">
        <f>"300343"</f>
        <v>300343</v>
      </c>
      <c r="B1529" t="s">
        <v>4104</v>
      </c>
      <c r="C1529">
        <v>30.97</v>
      </c>
      <c r="D1529">
        <v>30.98</v>
      </c>
      <c r="E1529">
        <v>30.05</v>
      </c>
      <c r="F1529">
        <v>30.38</v>
      </c>
      <c r="G1529">
        <v>10907</v>
      </c>
      <c r="H1529">
        <v>33253740</v>
      </c>
      <c r="I1529">
        <v>0.5</v>
      </c>
      <c r="J1529" t="s">
        <v>376</v>
      </c>
      <c r="K1529" t="s">
        <v>250</v>
      </c>
      <c r="L1529">
        <v>-2</v>
      </c>
      <c r="M1529">
        <v>30.49</v>
      </c>
      <c r="N1529">
        <v>6711</v>
      </c>
      <c r="O1529">
        <v>4196</v>
      </c>
      <c r="P1529">
        <v>1.6</v>
      </c>
      <c r="Q1529">
        <v>74</v>
      </c>
      <c r="R1529">
        <v>36</v>
      </c>
      <c r="S1529" t="s">
        <v>3</v>
      </c>
      <c r="T1529">
        <v>2888</v>
      </c>
      <c r="U1529" t="s">
        <v>4105</v>
      </c>
      <c r="V1529" t="s">
        <v>908</v>
      </c>
      <c r="W1529">
        <v>-1.84</v>
      </c>
    </row>
    <row r="1530" spans="1:23">
      <c r="A1530" t="str">
        <f>"300344"</f>
        <v>300344</v>
      </c>
      <c r="B1530" t="s">
        <v>4106</v>
      </c>
      <c r="C1530">
        <v>8.0299999999999994</v>
      </c>
      <c r="D1530">
        <v>8.2100000000000009</v>
      </c>
      <c r="E1530">
        <v>8.0299999999999994</v>
      </c>
      <c r="F1530">
        <v>8.1300000000000008</v>
      </c>
      <c r="G1530">
        <v>67375</v>
      </c>
      <c r="H1530">
        <v>54798364</v>
      </c>
      <c r="I1530">
        <v>1.05</v>
      </c>
      <c r="J1530" t="s">
        <v>150</v>
      </c>
      <c r="K1530" t="s">
        <v>34</v>
      </c>
      <c r="L1530">
        <v>1.37</v>
      </c>
      <c r="M1530">
        <v>8.1300000000000008</v>
      </c>
      <c r="N1530">
        <v>31807</v>
      </c>
      <c r="O1530">
        <v>35567</v>
      </c>
      <c r="P1530">
        <v>0.89</v>
      </c>
      <c r="Q1530">
        <v>440</v>
      </c>
      <c r="R1530">
        <v>124</v>
      </c>
      <c r="S1530" t="s">
        <v>3</v>
      </c>
      <c r="T1530">
        <v>10422.41</v>
      </c>
      <c r="U1530" t="s">
        <v>4107</v>
      </c>
      <c r="V1530" t="s">
        <v>3030</v>
      </c>
      <c r="W1530">
        <v>1.53</v>
      </c>
    </row>
    <row r="1531" spans="1:23">
      <c r="A1531" t="str">
        <f>"300345"</f>
        <v>300345</v>
      </c>
      <c r="B1531" t="s">
        <v>4108</v>
      </c>
      <c r="C1531" t="s">
        <v>3</v>
      </c>
      <c r="D1531" t="s">
        <v>3</v>
      </c>
      <c r="E1531" t="s">
        <v>3</v>
      </c>
      <c r="F1531">
        <v>0</v>
      </c>
      <c r="G1531">
        <v>0</v>
      </c>
      <c r="H1531">
        <v>0</v>
      </c>
      <c r="I1531">
        <v>0</v>
      </c>
      <c r="J1531" t="s">
        <v>838</v>
      </c>
      <c r="K1531" t="s">
        <v>234</v>
      </c>
      <c r="L1531" t="s">
        <v>3</v>
      </c>
      <c r="M1531">
        <v>19.190000000000001</v>
      </c>
      <c r="N1531">
        <v>0</v>
      </c>
      <c r="O1531">
        <v>0</v>
      </c>
      <c r="P1531" t="s">
        <v>3</v>
      </c>
      <c r="Q1531">
        <v>0</v>
      </c>
      <c r="R1531">
        <v>0</v>
      </c>
      <c r="S1531" t="s">
        <v>3</v>
      </c>
      <c r="T1531">
        <v>6180.7</v>
      </c>
      <c r="U1531" t="s">
        <v>4109</v>
      </c>
      <c r="V1531" t="s">
        <v>4110</v>
      </c>
      <c r="W1531">
        <v>0.16</v>
      </c>
    </row>
    <row r="1532" spans="1:23">
      <c r="A1532" t="str">
        <f>"300346"</f>
        <v>300346</v>
      </c>
      <c r="B1532" t="s">
        <v>4111</v>
      </c>
      <c r="C1532">
        <v>32.380000000000003</v>
      </c>
      <c r="D1532">
        <v>32.72</v>
      </c>
      <c r="E1532">
        <v>32.29</v>
      </c>
      <c r="F1532">
        <v>32.65</v>
      </c>
      <c r="G1532">
        <v>10731</v>
      </c>
      <c r="H1532">
        <v>34917072</v>
      </c>
      <c r="I1532">
        <v>1.1499999999999999</v>
      </c>
      <c r="J1532" t="s">
        <v>1581</v>
      </c>
      <c r="K1532" t="s">
        <v>244</v>
      </c>
      <c r="L1532">
        <v>1.05</v>
      </c>
      <c r="M1532">
        <v>32.54</v>
      </c>
      <c r="N1532">
        <v>4426</v>
      </c>
      <c r="O1532">
        <v>6304</v>
      </c>
      <c r="P1532">
        <v>0.7</v>
      </c>
      <c r="Q1532">
        <v>55</v>
      </c>
      <c r="R1532">
        <v>59</v>
      </c>
      <c r="S1532" t="s">
        <v>3</v>
      </c>
      <c r="T1532">
        <v>3584.05</v>
      </c>
      <c r="U1532" t="s">
        <v>4112</v>
      </c>
      <c r="V1532" t="s">
        <v>4113</v>
      </c>
      <c r="W1532">
        <v>1.21</v>
      </c>
    </row>
    <row r="1533" spans="1:23">
      <c r="A1533" t="str">
        <f>"300347"</f>
        <v>300347</v>
      </c>
      <c r="B1533" t="s">
        <v>4114</v>
      </c>
      <c r="C1533">
        <v>32.200000000000003</v>
      </c>
      <c r="D1533">
        <v>32.93</v>
      </c>
      <c r="E1533">
        <v>32.1</v>
      </c>
      <c r="F1533">
        <v>32.5</v>
      </c>
      <c r="G1533">
        <v>28029</v>
      </c>
      <c r="H1533">
        <v>91581184</v>
      </c>
      <c r="I1533">
        <v>1.33</v>
      </c>
      <c r="J1533" t="s">
        <v>1971</v>
      </c>
      <c r="K1533" t="s">
        <v>229</v>
      </c>
      <c r="L1533">
        <v>0.65</v>
      </c>
      <c r="M1533">
        <v>32.67</v>
      </c>
      <c r="N1533">
        <v>13781</v>
      </c>
      <c r="O1533">
        <v>14247</v>
      </c>
      <c r="P1533">
        <v>0.97</v>
      </c>
      <c r="Q1533">
        <v>93</v>
      </c>
      <c r="R1533">
        <v>49</v>
      </c>
      <c r="S1533" t="s">
        <v>3</v>
      </c>
      <c r="T1533">
        <v>11644.07</v>
      </c>
      <c r="U1533" t="s">
        <v>4115</v>
      </c>
      <c r="V1533" t="s">
        <v>2379</v>
      </c>
      <c r="W1533">
        <v>0.81</v>
      </c>
    </row>
    <row r="1534" spans="1:23">
      <c r="A1534" t="str">
        <f>"300348"</f>
        <v>300348</v>
      </c>
      <c r="B1534" t="s">
        <v>4116</v>
      </c>
      <c r="C1534" t="s">
        <v>3</v>
      </c>
      <c r="D1534" t="s">
        <v>3</v>
      </c>
      <c r="E1534" t="s">
        <v>3</v>
      </c>
      <c r="F1534">
        <v>0</v>
      </c>
      <c r="G1534">
        <v>0</v>
      </c>
      <c r="H1534">
        <v>0</v>
      </c>
      <c r="I1534">
        <v>0</v>
      </c>
      <c r="J1534" t="s">
        <v>758</v>
      </c>
      <c r="K1534" t="s">
        <v>2</v>
      </c>
      <c r="L1534" t="s">
        <v>3</v>
      </c>
      <c r="M1534">
        <v>54.2</v>
      </c>
      <c r="N1534">
        <v>0</v>
      </c>
      <c r="O1534">
        <v>0</v>
      </c>
      <c r="P1534" t="s">
        <v>3</v>
      </c>
      <c r="Q1534">
        <v>0</v>
      </c>
      <c r="R1534">
        <v>0</v>
      </c>
      <c r="S1534" t="s">
        <v>3</v>
      </c>
      <c r="T1534">
        <v>1300</v>
      </c>
      <c r="U1534" t="s">
        <v>4117</v>
      </c>
      <c r="V1534" t="s">
        <v>4118</v>
      </c>
      <c r="W1534">
        <v>0.16</v>
      </c>
    </row>
    <row r="1535" spans="1:23">
      <c r="A1535" t="str">
        <f>"300349"</f>
        <v>300349</v>
      </c>
      <c r="B1535" t="s">
        <v>4119</v>
      </c>
      <c r="C1535" t="s">
        <v>3</v>
      </c>
      <c r="D1535" t="s">
        <v>3</v>
      </c>
      <c r="E1535" t="s">
        <v>3</v>
      </c>
      <c r="F1535">
        <v>0</v>
      </c>
      <c r="G1535">
        <v>0</v>
      </c>
      <c r="H1535">
        <v>0</v>
      </c>
      <c r="I1535">
        <v>0</v>
      </c>
      <c r="J1535" t="s">
        <v>617</v>
      </c>
      <c r="K1535" t="s">
        <v>229</v>
      </c>
      <c r="L1535" t="s">
        <v>3</v>
      </c>
      <c r="M1535">
        <v>25.66</v>
      </c>
      <c r="N1535">
        <v>0</v>
      </c>
      <c r="O1535">
        <v>0</v>
      </c>
      <c r="P1535" t="s">
        <v>3</v>
      </c>
      <c r="Q1535">
        <v>0</v>
      </c>
      <c r="R1535">
        <v>0</v>
      </c>
      <c r="S1535" t="s">
        <v>3</v>
      </c>
      <c r="T1535">
        <v>4500</v>
      </c>
      <c r="U1535" t="s">
        <v>4120</v>
      </c>
      <c r="V1535" t="s">
        <v>1827</v>
      </c>
      <c r="W1535">
        <v>0.16</v>
      </c>
    </row>
    <row r="1536" spans="1:23">
      <c r="A1536" t="str">
        <f>"300350"</f>
        <v>300350</v>
      </c>
      <c r="B1536" t="s">
        <v>4121</v>
      </c>
      <c r="C1536" t="s">
        <v>3</v>
      </c>
      <c r="D1536" t="s">
        <v>3</v>
      </c>
      <c r="E1536" t="s">
        <v>3</v>
      </c>
      <c r="F1536">
        <v>0</v>
      </c>
      <c r="G1536">
        <v>0</v>
      </c>
      <c r="H1536">
        <v>0</v>
      </c>
      <c r="I1536">
        <v>0</v>
      </c>
      <c r="J1536" t="s">
        <v>1859</v>
      </c>
      <c r="K1536" t="s">
        <v>2</v>
      </c>
      <c r="L1536" t="s">
        <v>3</v>
      </c>
      <c r="M1536">
        <v>19.7</v>
      </c>
      <c r="N1536">
        <v>0</v>
      </c>
      <c r="O1536">
        <v>0</v>
      </c>
      <c r="P1536" t="s">
        <v>3</v>
      </c>
      <c r="Q1536">
        <v>0</v>
      </c>
      <c r="R1536">
        <v>0</v>
      </c>
      <c r="S1536" t="s">
        <v>3</v>
      </c>
      <c r="T1536">
        <v>2412.0500000000002</v>
      </c>
      <c r="U1536" t="s">
        <v>4122</v>
      </c>
      <c r="V1536" t="s">
        <v>2159</v>
      </c>
      <c r="W1536">
        <v>0.16</v>
      </c>
    </row>
    <row r="1537" spans="1:23">
      <c r="A1537" t="str">
        <f>"300351"</f>
        <v>300351</v>
      </c>
      <c r="B1537" t="s">
        <v>4123</v>
      </c>
      <c r="C1537">
        <v>34.869999999999997</v>
      </c>
      <c r="D1537">
        <v>35</v>
      </c>
      <c r="E1537">
        <v>33.76</v>
      </c>
      <c r="F1537">
        <v>33.799999999999997</v>
      </c>
      <c r="G1537">
        <v>13251</v>
      </c>
      <c r="H1537">
        <v>45326780</v>
      </c>
      <c r="I1537">
        <v>1</v>
      </c>
      <c r="J1537" t="s">
        <v>62</v>
      </c>
      <c r="K1537" t="s">
        <v>229</v>
      </c>
      <c r="L1537">
        <v>-1</v>
      </c>
      <c r="M1537">
        <v>34.21</v>
      </c>
      <c r="N1537">
        <v>8500</v>
      </c>
      <c r="O1537">
        <v>4750</v>
      </c>
      <c r="P1537">
        <v>1.79</v>
      </c>
      <c r="Q1537">
        <v>61</v>
      </c>
      <c r="R1537">
        <v>20</v>
      </c>
      <c r="S1537" t="s">
        <v>3</v>
      </c>
      <c r="T1537">
        <v>4251</v>
      </c>
      <c r="U1537" t="s">
        <v>4124</v>
      </c>
      <c r="V1537" t="s">
        <v>4125</v>
      </c>
      <c r="W1537">
        <v>-0.84</v>
      </c>
    </row>
    <row r="1538" spans="1:23">
      <c r="A1538" t="str">
        <f>"300352"</f>
        <v>300352</v>
      </c>
      <c r="B1538" t="s">
        <v>4126</v>
      </c>
      <c r="C1538">
        <v>23.87</v>
      </c>
      <c r="D1538">
        <v>24</v>
      </c>
      <c r="E1538">
        <v>23.35</v>
      </c>
      <c r="F1538">
        <v>23.76</v>
      </c>
      <c r="G1538">
        <v>40726</v>
      </c>
      <c r="H1538">
        <v>96350064</v>
      </c>
      <c r="I1538">
        <v>0.4</v>
      </c>
      <c r="J1538" t="s">
        <v>758</v>
      </c>
      <c r="K1538" t="s">
        <v>34</v>
      </c>
      <c r="L1538">
        <v>-0.88</v>
      </c>
      <c r="M1538">
        <v>23.66</v>
      </c>
      <c r="N1538">
        <v>22384</v>
      </c>
      <c r="O1538">
        <v>18342</v>
      </c>
      <c r="P1538">
        <v>1.22</v>
      </c>
      <c r="Q1538">
        <v>293</v>
      </c>
      <c r="R1538">
        <v>63</v>
      </c>
      <c r="S1538" t="s">
        <v>3</v>
      </c>
      <c r="T1538">
        <v>12574.41</v>
      </c>
      <c r="U1538" t="s">
        <v>4127</v>
      </c>
      <c r="V1538" t="s">
        <v>3431</v>
      </c>
      <c r="W1538">
        <v>-0.72</v>
      </c>
    </row>
    <row r="1539" spans="1:23">
      <c r="A1539" t="str">
        <f>"300353"</f>
        <v>300353</v>
      </c>
      <c r="B1539" t="s">
        <v>4128</v>
      </c>
      <c r="C1539" t="s">
        <v>3</v>
      </c>
      <c r="D1539" t="s">
        <v>3</v>
      </c>
      <c r="E1539" t="s">
        <v>3</v>
      </c>
      <c r="F1539">
        <v>0</v>
      </c>
      <c r="G1539">
        <v>0</v>
      </c>
      <c r="H1539">
        <v>0</v>
      </c>
      <c r="I1539">
        <v>0</v>
      </c>
      <c r="J1539" t="s">
        <v>112</v>
      </c>
      <c r="K1539" t="s">
        <v>34</v>
      </c>
      <c r="L1539" t="s">
        <v>3</v>
      </c>
      <c r="M1539">
        <v>12.31</v>
      </c>
      <c r="N1539">
        <v>0</v>
      </c>
      <c r="O1539">
        <v>0</v>
      </c>
      <c r="P1539" t="s">
        <v>3</v>
      </c>
      <c r="Q1539">
        <v>0</v>
      </c>
      <c r="R1539">
        <v>0</v>
      </c>
      <c r="S1539" t="s">
        <v>3</v>
      </c>
      <c r="T1539">
        <v>8896.2999999999993</v>
      </c>
      <c r="U1539" t="s">
        <v>4129</v>
      </c>
      <c r="V1539" t="s">
        <v>4130</v>
      </c>
      <c r="W1539">
        <v>0.16</v>
      </c>
    </row>
    <row r="1540" spans="1:23">
      <c r="A1540" t="str">
        <f>"300354"</f>
        <v>300354</v>
      </c>
      <c r="B1540" t="s">
        <v>4131</v>
      </c>
      <c r="C1540">
        <v>21.22</v>
      </c>
      <c r="D1540">
        <v>21.22</v>
      </c>
      <c r="E1540">
        <v>20.75</v>
      </c>
      <c r="F1540">
        <v>21.01</v>
      </c>
      <c r="G1540">
        <v>13508</v>
      </c>
      <c r="H1540">
        <v>28322778</v>
      </c>
      <c r="I1540">
        <v>0.78</v>
      </c>
      <c r="J1540" t="s">
        <v>617</v>
      </c>
      <c r="K1540" t="s">
        <v>244</v>
      </c>
      <c r="L1540">
        <v>-0.8</v>
      </c>
      <c r="M1540">
        <v>20.97</v>
      </c>
      <c r="N1540">
        <v>8457</v>
      </c>
      <c r="O1540">
        <v>5050</v>
      </c>
      <c r="P1540">
        <v>1.67</v>
      </c>
      <c r="Q1540">
        <v>19</v>
      </c>
      <c r="R1540">
        <v>17</v>
      </c>
      <c r="S1540" t="s">
        <v>3</v>
      </c>
      <c r="T1540">
        <v>2798.13</v>
      </c>
      <c r="U1540" t="s">
        <v>4132</v>
      </c>
      <c r="V1540" t="s">
        <v>3812</v>
      </c>
      <c r="W1540">
        <v>-0.64</v>
      </c>
    </row>
    <row r="1541" spans="1:23">
      <c r="A1541" t="str">
        <f>"300355"</f>
        <v>300355</v>
      </c>
      <c r="B1541" t="s">
        <v>4133</v>
      </c>
      <c r="C1541">
        <v>15.37</v>
      </c>
      <c r="D1541">
        <v>15.49</v>
      </c>
      <c r="E1541">
        <v>15.27</v>
      </c>
      <c r="F1541">
        <v>15.36</v>
      </c>
      <c r="G1541">
        <v>95952</v>
      </c>
      <c r="H1541">
        <v>147578944</v>
      </c>
      <c r="I1541">
        <v>1.06</v>
      </c>
      <c r="J1541" t="s">
        <v>462</v>
      </c>
      <c r="K1541" t="s">
        <v>329</v>
      </c>
      <c r="L1541">
        <v>0</v>
      </c>
      <c r="M1541">
        <v>15.38</v>
      </c>
      <c r="N1541">
        <v>51776</v>
      </c>
      <c r="O1541">
        <v>44176</v>
      </c>
      <c r="P1541">
        <v>1.17</v>
      </c>
      <c r="Q1541">
        <v>155</v>
      </c>
      <c r="R1541">
        <v>1669</v>
      </c>
      <c r="S1541" t="s">
        <v>3</v>
      </c>
      <c r="T1541">
        <v>20134.060000000001</v>
      </c>
      <c r="U1541" t="s">
        <v>4134</v>
      </c>
      <c r="V1541" t="s">
        <v>4135</v>
      </c>
      <c r="W1541">
        <v>0.16</v>
      </c>
    </row>
    <row r="1542" spans="1:23">
      <c r="A1542" t="str">
        <f>"300356"</f>
        <v>300356</v>
      </c>
      <c r="B1542" t="s">
        <v>4136</v>
      </c>
      <c r="C1542">
        <v>26.01</v>
      </c>
      <c r="D1542">
        <v>26.01</v>
      </c>
      <c r="E1542">
        <v>24.8</v>
      </c>
      <c r="F1542">
        <v>25.47</v>
      </c>
      <c r="G1542">
        <v>72019</v>
      </c>
      <c r="H1542">
        <v>182848352</v>
      </c>
      <c r="I1542">
        <v>1.06</v>
      </c>
      <c r="J1542" t="s">
        <v>145</v>
      </c>
      <c r="K1542" t="s">
        <v>244</v>
      </c>
      <c r="L1542">
        <v>-3.3</v>
      </c>
      <c r="M1542">
        <v>25.39</v>
      </c>
      <c r="N1542">
        <v>44303</v>
      </c>
      <c r="O1542">
        <v>27715</v>
      </c>
      <c r="P1542">
        <v>1.6</v>
      </c>
      <c r="Q1542">
        <v>19</v>
      </c>
      <c r="R1542">
        <v>47</v>
      </c>
      <c r="S1542" t="s">
        <v>3</v>
      </c>
      <c r="T1542">
        <v>6682.33</v>
      </c>
      <c r="U1542" t="s">
        <v>2347</v>
      </c>
      <c r="V1542" t="s">
        <v>1364</v>
      </c>
      <c r="W1542">
        <v>-3.14</v>
      </c>
    </row>
    <row r="1543" spans="1:23">
      <c r="A1543" t="str">
        <f>"300357"</f>
        <v>300357</v>
      </c>
      <c r="B1543" t="s">
        <v>4137</v>
      </c>
      <c r="C1543">
        <v>31.47</v>
      </c>
      <c r="D1543">
        <v>34.46</v>
      </c>
      <c r="E1543">
        <v>31.34</v>
      </c>
      <c r="F1543">
        <v>34.46</v>
      </c>
      <c r="G1543">
        <v>94512</v>
      </c>
      <c r="H1543">
        <v>317404480</v>
      </c>
      <c r="I1543">
        <v>3.39</v>
      </c>
      <c r="J1543" t="s">
        <v>11</v>
      </c>
      <c r="K1543" t="s">
        <v>229</v>
      </c>
      <c r="L1543">
        <v>9.99</v>
      </c>
      <c r="M1543">
        <v>33.58</v>
      </c>
      <c r="N1543">
        <v>50021</v>
      </c>
      <c r="O1543">
        <v>44491</v>
      </c>
      <c r="P1543">
        <v>1.1200000000000001</v>
      </c>
      <c r="Q1543">
        <v>6415</v>
      </c>
      <c r="R1543">
        <v>0</v>
      </c>
      <c r="S1543" t="s">
        <v>3</v>
      </c>
      <c r="T1543">
        <v>4040</v>
      </c>
      <c r="U1543" t="s">
        <v>4138</v>
      </c>
      <c r="V1543" t="s">
        <v>4139</v>
      </c>
      <c r="W1543">
        <v>10.15</v>
      </c>
    </row>
    <row r="1544" spans="1:23">
      <c r="A1544" t="str">
        <f>"300358"</f>
        <v>300358</v>
      </c>
      <c r="B1544" t="s">
        <v>4140</v>
      </c>
      <c r="C1544">
        <v>45.39</v>
      </c>
      <c r="D1544">
        <v>45.39</v>
      </c>
      <c r="E1544">
        <v>44.58</v>
      </c>
      <c r="F1544">
        <v>45.17</v>
      </c>
      <c r="G1544">
        <v>14249</v>
      </c>
      <c r="H1544">
        <v>64283016</v>
      </c>
      <c r="I1544">
        <v>0.7</v>
      </c>
      <c r="J1544" t="s">
        <v>269</v>
      </c>
      <c r="K1544" t="s">
        <v>234</v>
      </c>
      <c r="L1544">
        <v>0.56000000000000005</v>
      </c>
      <c r="M1544">
        <v>45.11</v>
      </c>
      <c r="N1544">
        <v>7914</v>
      </c>
      <c r="O1544">
        <v>6335</v>
      </c>
      <c r="P1544">
        <v>1.25</v>
      </c>
      <c r="Q1544">
        <v>108</v>
      </c>
      <c r="R1544">
        <v>3</v>
      </c>
      <c r="S1544" t="s">
        <v>3</v>
      </c>
      <c r="T1544">
        <v>2919.96</v>
      </c>
      <c r="U1544" t="s">
        <v>4141</v>
      </c>
      <c r="V1544" t="s">
        <v>4142</v>
      </c>
      <c r="W1544">
        <v>0.72</v>
      </c>
    </row>
    <row r="1545" spans="1:23">
      <c r="A1545" t="str">
        <f>"300359"</f>
        <v>300359</v>
      </c>
      <c r="B1545" t="s">
        <v>4143</v>
      </c>
      <c r="C1545">
        <v>94.29</v>
      </c>
      <c r="D1545">
        <v>97.43</v>
      </c>
      <c r="E1545">
        <v>92.88</v>
      </c>
      <c r="F1545">
        <v>94.5</v>
      </c>
      <c r="G1545">
        <v>13041</v>
      </c>
      <c r="H1545">
        <v>123558464</v>
      </c>
      <c r="I1545">
        <v>0.62</v>
      </c>
      <c r="J1545" t="s">
        <v>51</v>
      </c>
      <c r="K1545" t="s">
        <v>211</v>
      </c>
      <c r="L1545">
        <v>0.31</v>
      </c>
      <c r="M1545">
        <v>94.75</v>
      </c>
      <c r="N1545">
        <v>7007</v>
      </c>
      <c r="O1545">
        <v>6033</v>
      </c>
      <c r="P1545">
        <v>1.1599999999999999</v>
      </c>
      <c r="Q1545">
        <v>1</v>
      </c>
      <c r="R1545">
        <v>138</v>
      </c>
      <c r="S1545" t="s">
        <v>3</v>
      </c>
      <c r="T1545">
        <v>2445</v>
      </c>
      <c r="U1545" t="s">
        <v>4144</v>
      </c>
      <c r="V1545" t="s">
        <v>4145</v>
      </c>
      <c r="W1545">
        <v>0.47</v>
      </c>
    </row>
    <row r="1546" spans="1:23">
      <c r="A1546" t="str">
        <f>"300360"</f>
        <v>300360</v>
      </c>
      <c r="B1546" t="s">
        <v>4146</v>
      </c>
      <c r="C1546">
        <v>46</v>
      </c>
      <c r="D1546">
        <v>48.8</v>
      </c>
      <c r="E1546">
        <v>46</v>
      </c>
      <c r="F1546">
        <v>47.66</v>
      </c>
      <c r="G1546">
        <v>32271</v>
      </c>
      <c r="H1546">
        <v>153746656</v>
      </c>
      <c r="I1546">
        <v>1.64</v>
      </c>
      <c r="J1546" t="s">
        <v>617</v>
      </c>
      <c r="K1546" t="s">
        <v>229</v>
      </c>
      <c r="L1546">
        <v>3.72</v>
      </c>
      <c r="M1546">
        <v>47.64</v>
      </c>
      <c r="N1546">
        <v>15028</v>
      </c>
      <c r="O1546">
        <v>17242</v>
      </c>
      <c r="P1546">
        <v>0.87</v>
      </c>
      <c r="Q1546">
        <v>56</v>
      </c>
      <c r="R1546">
        <v>20</v>
      </c>
      <c r="S1546" t="s">
        <v>3</v>
      </c>
      <c r="T1546">
        <v>2982</v>
      </c>
      <c r="U1546" t="s">
        <v>4147</v>
      </c>
      <c r="V1546" t="s">
        <v>4148</v>
      </c>
      <c r="W1546">
        <v>3.88</v>
      </c>
    </row>
    <row r="1547" spans="1:23">
      <c r="A1547" t="str">
        <f>"300362"</f>
        <v>300362</v>
      </c>
      <c r="B1547" t="s">
        <v>4149</v>
      </c>
      <c r="C1547">
        <v>25.4</v>
      </c>
      <c r="D1547">
        <v>26.16</v>
      </c>
      <c r="E1547">
        <v>25.11</v>
      </c>
      <c r="F1547">
        <v>26.15</v>
      </c>
      <c r="G1547">
        <v>35198</v>
      </c>
      <c r="H1547">
        <v>90250600</v>
      </c>
      <c r="I1547">
        <v>0.84</v>
      </c>
      <c r="J1547" t="s">
        <v>145</v>
      </c>
      <c r="K1547" t="s">
        <v>225</v>
      </c>
      <c r="L1547">
        <v>2.83</v>
      </c>
      <c r="M1547">
        <v>25.64</v>
      </c>
      <c r="N1547">
        <v>15379</v>
      </c>
      <c r="O1547">
        <v>19819</v>
      </c>
      <c r="P1547">
        <v>0.78</v>
      </c>
      <c r="Q1547">
        <v>194</v>
      </c>
      <c r="R1547">
        <v>214</v>
      </c>
      <c r="S1547" t="s">
        <v>3</v>
      </c>
      <c r="T1547">
        <v>2570</v>
      </c>
      <c r="U1547" t="s">
        <v>4150</v>
      </c>
      <c r="V1547" t="s">
        <v>4151</v>
      </c>
      <c r="W1547">
        <v>2.99</v>
      </c>
    </row>
    <row r="1548" spans="1:23">
      <c r="A1548" t="str">
        <f>"300363"</f>
        <v>300363</v>
      </c>
      <c r="B1548" t="s">
        <v>4152</v>
      </c>
      <c r="C1548">
        <v>70.33</v>
      </c>
      <c r="D1548">
        <v>70.5</v>
      </c>
      <c r="E1548">
        <v>68.900000000000006</v>
      </c>
      <c r="F1548">
        <v>69.349999999999994</v>
      </c>
      <c r="G1548">
        <v>7773</v>
      </c>
      <c r="H1548">
        <v>53837112</v>
      </c>
      <c r="I1548">
        <v>0.74</v>
      </c>
      <c r="J1548" t="s">
        <v>219</v>
      </c>
      <c r="K1548" t="s">
        <v>386</v>
      </c>
      <c r="L1548">
        <v>-1.18</v>
      </c>
      <c r="M1548">
        <v>69.260000000000005</v>
      </c>
      <c r="N1548">
        <v>4713</v>
      </c>
      <c r="O1548">
        <v>3060</v>
      </c>
      <c r="P1548">
        <v>1.54</v>
      </c>
      <c r="Q1548">
        <v>10</v>
      </c>
      <c r="R1548">
        <v>1</v>
      </c>
      <c r="S1548" t="s">
        <v>3</v>
      </c>
      <c r="T1548">
        <v>2725</v>
      </c>
      <c r="U1548" t="s">
        <v>4153</v>
      </c>
      <c r="V1548" t="s">
        <v>2220</v>
      </c>
      <c r="W1548">
        <v>-1.02</v>
      </c>
    </row>
    <row r="1549" spans="1:23">
      <c r="A1549" t="str">
        <f>"300365"</f>
        <v>300365</v>
      </c>
      <c r="B1549" t="s">
        <v>4154</v>
      </c>
      <c r="C1549">
        <v>33.14</v>
      </c>
      <c r="D1549">
        <v>33.380000000000003</v>
      </c>
      <c r="E1549">
        <v>32.659999999999997</v>
      </c>
      <c r="F1549">
        <v>33.159999999999997</v>
      </c>
      <c r="G1549">
        <v>8621</v>
      </c>
      <c r="H1549">
        <v>28476666</v>
      </c>
      <c r="I1549">
        <v>0.67</v>
      </c>
      <c r="J1549" t="s">
        <v>758</v>
      </c>
      <c r="K1549" t="s">
        <v>34</v>
      </c>
      <c r="L1549">
        <v>0.15</v>
      </c>
      <c r="M1549">
        <v>33.03</v>
      </c>
      <c r="N1549">
        <v>4427</v>
      </c>
      <c r="O1549">
        <v>4193</v>
      </c>
      <c r="P1549">
        <v>1.06</v>
      </c>
      <c r="Q1549">
        <v>17</v>
      </c>
      <c r="R1549">
        <v>67</v>
      </c>
      <c r="S1549" t="s">
        <v>3</v>
      </c>
      <c r="T1549">
        <v>2174.39</v>
      </c>
      <c r="U1549" t="s">
        <v>4155</v>
      </c>
      <c r="V1549" t="s">
        <v>4156</v>
      </c>
      <c r="W1549">
        <v>0.31</v>
      </c>
    </row>
    <row r="1550" spans="1:23">
      <c r="A1550" t="str">
        <f>"300366"</f>
        <v>300366</v>
      </c>
      <c r="B1550" t="s">
        <v>4157</v>
      </c>
      <c r="C1550">
        <v>45.73</v>
      </c>
      <c r="D1550">
        <v>46.58</v>
      </c>
      <c r="E1550">
        <v>45.73</v>
      </c>
      <c r="F1550">
        <v>46.31</v>
      </c>
      <c r="G1550">
        <v>8952</v>
      </c>
      <c r="H1550">
        <v>41419904</v>
      </c>
      <c r="I1550">
        <v>0.78</v>
      </c>
      <c r="J1550" t="s">
        <v>758</v>
      </c>
      <c r="K1550" t="s">
        <v>225</v>
      </c>
      <c r="L1550">
        <v>1.0900000000000001</v>
      </c>
      <c r="M1550">
        <v>46.27</v>
      </c>
      <c r="N1550">
        <v>3804</v>
      </c>
      <c r="O1550">
        <v>5148</v>
      </c>
      <c r="P1550">
        <v>0.74</v>
      </c>
      <c r="Q1550">
        <v>8</v>
      </c>
      <c r="R1550">
        <v>18</v>
      </c>
      <c r="S1550" t="s">
        <v>3</v>
      </c>
      <c r="T1550">
        <v>1428.75</v>
      </c>
      <c r="U1550" t="s">
        <v>4158</v>
      </c>
      <c r="V1550" t="s">
        <v>4159</v>
      </c>
      <c r="W1550">
        <v>1.25</v>
      </c>
    </row>
    <row r="1551" spans="1:23">
      <c r="A1551" t="str">
        <f>"300367"</f>
        <v>300367</v>
      </c>
      <c r="B1551" t="s">
        <v>4160</v>
      </c>
      <c r="C1551">
        <v>87.52</v>
      </c>
      <c r="D1551">
        <v>88.4</v>
      </c>
      <c r="E1551">
        <v>84.61</v>
      </c>
      <c r="F1551">
        <v>85.26</v>
      </c>
      <c r="G1551">
        <v>13414</v>
      </c>
      <c r="H1551">
        <v>115577800</v>
      </c>
      <c r="I1551">
        <v>1.1000000000000001</v>
      </c>
      <c r="J1551" t="s">
        <v>66</v>
      </c>
      <c r="K1551" t="s">
        <v>34</v>
      </c>
      <c r="L1551">
        <v>-3.23</v>
      </c>
      <c r="M1551">
        <v>86.16</v>
      </c>
      <c r="N1551">
        <v>9439</v>
      </c>
      <c r="O1551">
        <v>3975</v>
      </c>
      <c r="P1551">
        <v>2.37</v>
      </c>
      <c r="Q1551">
        <v>3</v>
      </c>
      <c r="R1551">
        <v>2</v>
      </c>
      <c r="S1551" t="s">
        <v>3</v>
      </c>
      <c r="T1551">
        <v>2940.5</v>
      </c>
      <c r="U1551" t="s">
        <v>4161</v>
      </c>
      <c r="V1551" t="s">
        <v>4162</v>
      </c>
      <c r="W1551">
        <v>-3.08</v>
      </c>
    </row>
    <row r="1552" spans="1:23">
      <c r="A1552" t="str">
        <f>"300368"</f>
        <v>300368</v>
      </c>
      <c r="B1552" t="s">
        <v>4163</v>
      </c>
      <c r="C1552">
        <v>32.159999999999997</v>
      </c>
      <c r="D1552">
        <v>33.799999999999997</v>
      </c>
      <c r="E1552">
        <v>32.03</v>
      </c>
      <c r="F1552">
        <v>32.119999999999997</v>
      </c>
      <c r="G1552">
        <v>24542</v>
      </c>
      <c r="H1552">
        <v>80070816</v>
      </c>
      <c r="I1552">
        <v>1.48</v>
      </c>
      <c r="J1552" t="s">
        <v>269</v>
      </c>
      <c r="K1552" t="s">
        <v>238</v>
      </c>
      <c r="L1552">
        <v>-0.8</v>
      </c>
      <c r="M1552">
        <v>32.630000000000003</v>
      </c>
      <c r="N1552">
        <v>14379</v>
      </c>
      <c r="O1552">
        <v>10162</v>
      </c>
      <c r="P1552">
        <v>1.41</v>
      </c>
      <c r="Q1552">
        <v>367</v>
      </c>
      <c r="R1552">
        <v>5</v>
      </c>
      <c r="S1552" t="s">
        <v>3</v>
      </c>
      <c r="T1552">
        <v>3095</v>
      </c>
      <c r="U1552" t="s">
        <v>4164</v>
      </c>
      <c r="V1552" t="s">
        <v>3423</v>
      </c>
      <c r="W1552">
        <v>-0.64</v>
      </c>
    </row>
    <row r="1553" spans="1:23">
      <c r="A1553" t="str">
        <f>"300369"</f>
        <v>300369</v>
      </c>
      <c r="B1553" t="s">
        <v>4165</v>
      </c>
      <c r="C1553" t="s">
        <v>3</v>
      </c>
      <c r="D1553" t="s">
        <v>3</v>
      </c>
      <c r="E1553" t="s">
        <v>3</v>
      </c>
      <c r="F1553">
        <v>0</v>
      </c>
      <c r="G1553">
        <v>0</v>
      </c>
      <c r="H1553">
        <v>0</v>
      </c>
      <c r="I1553">
        <v>0</v>
      </c>
      <c r="J1553" t="s">
        <v>758</v>
      </c>
      <c r="K1553" t="s">
        <v>34</v>
      </c>
      <c r="L1553" t="s">
        <v>3</v>
      </c>
      <c r="M1553">
        <v>61.27</v>
      </c>
      <c r="N1553">
        <v>0</v>
      </c>
      <c r="O1553">
        <v>0</v>
      </c>
      <c r="P1553" t="s">
        <v>3</v>
      </c>
      <c r="Q1553">
        <v>0</v>
      </c>
      <c r="R1553">
        <v>0</v>
      </c>
      <c r="S1553" t="s">
        <v>3</v>
      </c>
      <c r="T1553">
        <v>3384</v>
      </c>
      <c r="U1553" t="s">
        <v>4166</v>
      </c>
      <c r="V1553" t="s">
        <v>4167</v>
      </c>
      <c r="W1553">
        <v>0.16</v>
      </c>
    </row>
    <row r="1554" spans="1:23">
      <c r="A1554" t="str">
        <f>"300370"</f>
        <v>300370</v>
      </c>
      <c r="B1554" t="s">
        <v>4168</v>
      </c>
      <c r="C1554">
        <v>28.67</v>
      </c>
      <c r="D1554">
        <v>29.63</v>
      </c>
      <c r="E1554">
        <v>28.3</v>
      </c>
      <c r="F1554">
        <v>29.03</v>
      </c>
      <c r="G1554">
        <v>31763</v>
      </c>
      <c r="H1554">
        <v>91685952</v>
      </c>
      <c r="I1554">
        <v>1.68</v>
      </c>
      <c r="J1554" t="s">
        <v>617</v>
      </c>
      <c r="K1554" t="s">
        <v>34</v>
      </c>
      <c r="L1554">
        <v>1.75</v>
      </c>
      <c r="M1554">
        <v>28.87</v>
      </c>
      <c r="N1554">
        <v>14464</v>
      </c>
      <c r="O1554">
        <v>17298</v>
      </c>
      <c r="P1554">
        <v>0.84</v>
      </c>
      <c r="Q1554">
        <v>57</v>
      </c>
      <c r="R1554">
        <v>74</v>
      </c>
      <c r="S1554" t="s">
        <v>3</v>
      </c>
      <c r="T1554">
        <v>2690</v>
      </c>
      <c r="U1554" t="s">
        <v>4169</v>
      </c>
      <c r="V1554" t="s">
        <v>4170</v>
      </c>
      <c r="W1554">
        <v>1.91</v>
      </c>
    </row>
    <row r="1555" spans="1:23">
      <c r="A1555" t="str">
        <f>"300371"</f>
        <v>300371</v>
      </c>
      <c r="B1555" t="s">
        <v>4171</v>
      </c>
      <c r="C1555">
        <v>26.9</v>
      </c>
      <c r="D1555">
        <v>27.23</v>
      </c>
      <c r="E1555">
        <v>26.8</v>
      </c>
      <c r="F1555">
        <v>27.1</v>
      </c>
      <c r="G1555">
        <v>14759</v>
      </c>
      <c r="H1555">
        <v>39847100</v>
      </c>
      <c r="I1555">
        <v>0.76</v>
      </c>
      <c r="J1555" t="s">
        <v>617</v>
      </c>
      <c r="K1555" t="s">
        <v>238</v>
      </c>
      <c r="L1555">
        <v>0.22</v>
      </c>
      <c r="M1555">
        <v>27</v>
      </c>
      <c r="N1555">
        <v>7577</v>
      </c>
      <c r="O1555">
        <v>7182</v>
      </c>
      <c r="P1555">
        <v>1.05</v>
      </c>
      <c r="Q1555">
        <v>141</v>
      </c>
      <c r="R1555">
        <v>33</v>
      </c>
      <c r="S1555" t="s">
        <v>3</v>
      </c>
      <c r="T1555">
        <v>2400</v>
      </c>
      <c r="U1555" t="s">
        <v>3937</v>
      </c>
      <c r="V1555" t="s">
        <v>2562</v>
      </c>
      <c r="W1555">
        <v>0.38</v>
      </c>
    </row>
    <row r="1556" spans="1:23">
      <c r="A1556" t="str">
        <f>"300372"</f>
        <v>300372</v>
      </c>
      <c r="B1556" t="s">
        <v>4172</v>
      </c>
      <c r="C1556">
        <v>26.2</v>
      </c>
      <c r="D1556">
        <v>27.31</v>
      </c>
      <c r="E1556">
        <v>25.99</v>
      </c>
      <c r="F1556">
        <v>27.05</v>
      </c>
      <c r="G1556">
        <v>37371</v>
      </c>
      <c r="H1556">
        <v>99873592</v>
      </c>
      <c r="I1556">
        <v>2.0499999999999998</v>
      </c>
      <c r="J1556" t="s">
        <v>145</v>
      </c>
      <c r="K1556" t="s">
        <v>162</v>
      </c>
      <c r="L1556">
        <v>3.48</v>
      </c>
      <c r="M1556">
        <v>26.72</v>
      </c>
      <c r="N1556">
        <v>15706</v>
      </c>
      <c r="O1556">
        <v>21665</v>
      </c>
      <c r="P1556">
        <v>0.72</v>
      </c>
      <c r="Q1556">
        <v>527</v>
      </c>
      <c r="R1556">
        <v>144</v>
      </c>
      <c r="S1556" t="s">
        <v>3</v>
      </c>
      <c r="T1556">
        <v>2144.5</v>
      </c>
      <c r="U1556" t="s">
        <v>4173</v>
      </c>
      <c r="V1556" t="s">
        <v>4174</v>
      </c>
      <c r="W1556">
        <v>3.64</v>
      </c>
    </row>
    <row r="1557" spans="1:23">
      <c r="A1557" t="str">
        <f>"300373"</f>
        <v>300373</v>
      </c>
      <c r="B1557" t="s">
        <v>4175</v>
      </c>
      <c r="C1557">
        <v>28.7</v>
      </c>
      <c r="D1557">
        <v>29.15</v>
      </c>
      <c r="E1557">
        <v>28.45</v>
      </c>
      <c r="F1557">
        <v>28.95</v>
      </c>
      <c r="G1557">
        <v>32872</v>
      </c>
      <c r="H1557">
        <v>94934488</v>
      </c>
      <c r="I1557">
        <v>0.79</v>
      </c>
      <c r="J1557" t="s">
        <v>1581</v>
      </c>
      <c r="K1557" t="s">
        <v>244</v>
      </c>
      <c r="L1557">
        <v>1.1200000000000001</v>
      </c>
      <c r="M1557">
        <v>28.88</v>
      </c>
      <c r="N1557">
        <v>17168</v>
      </c>
      <c r="O1557">
        <v>15703</v>
      </c>
      <c r="P1557">
        <v>1.0900000000000001</v>
      </c>
      <c r="Q1557">
        <v>107</v>
      </c>
      <c r="R1557">
        <v>175</v>
      </c>
      <c r="S1557" t="s">
        <v>3</v>
      </c>
      <c r="T1557">
        <v>4120</v>
      </c>
      <c r="U1557" t="s">
        <v>4176</v>
      </c>
      <c r="V1557" t="s">
        <v>4177</v>
      </c>
      <c r="W1557">
        <v>1.28</v>
      </c>
    </row>
    <row r="1558" spans="1:23">
      <c r="A1558" t="str">
        <f>"300375"</f>
        <v>300375</v>
      </c>
      <c r="B1558" t="s">
        <v>4178</v>
      </c>
      <c r="C1558">
        <v>38.51</v>
      </c>
      <c r="D1558">
        <v>38.64</v>
      </c>
      <c r="E1558">
        <v>37.880000000000003</v>
      </c>
      <c r="F1558">
        <v>38.36</v>
      </c>
      <c r="G1558">
        <v>12067</v>
      </c>
      <c r="H1558">
        <v>45989732</v>
      </c>
      <c r="I1558">
        <v>0.88</v>
      </c>
      <c r="J1558" t="s">
        <v>98</v>
      </c>
      <c r="K1558" t="s">
        <v>442</v>
      </c>
      <c r="L1558">
        <v>-0.36</v>
      </c>
      <c r="M1558">
        <v>38.11</v>
      </c>
      <c r="N1558">
        <v>6351</v>
      </c>
      <c r="O1558">
        <v>5716</v>
      </c>
      <c r="P1558">
        <v>1.1100000000000001</v>
      </c>
      <c r="Q1558">
        <v>1</v>
      </c>
      <c r="R1558">
        <v>52</v>
      </c>
      <c r="S1558" t="s">
        <v>3</v>
      </c>
      <c r="T1558">
        <v>2220</v>
      </c>
      <c r="U1558" t="s">
        <v>4179</v>
      </c>
      <c r="V1558" t="s">
        <v>3806</v>
      </c>
      <c r="W1558">
        <v>-0.21</v>
      </c>
    </row>
    <row r="1559" spans="1:23">
      <c r="A1559" t="str">
        <f>"300376"</f>
        <v>300376</v>
      </c>
      <c r="B1559" t="s">
        <v>4180</v>
      </c>
      <c r="C1559">
        <v>74.11</v>
      </c>
      <c r="D1559">
        <v>76</v>
      </c>
      <c r="E1559">
        <v>72.650000000000006</v>
      </c>
      <c r="F1559">
        <v>74.34</v>
      </c>
      <c r="G1559">
        <v>19295</v>
      </c>
      <c r="H1559">
        <v>143986832</v>
      </c>
      <c r="I1559">
        <v>0.76</v>
      </c>
      <c r="J1559" t="s">
        <v>145</v>
      </c>
      <c r="K1559" t="s">
        <v>211</v>
      </c>
      <c r="L1559">
        <v>0.46</v>
      </c>
      <c r="M1559">
        <v>74.62</v>
      </c>
      <c r="N1559">
        <v>9869</v>
      </c>
      <c r="O1559">
        <v>9426</v>
      </c>
      <c r="P1559">
        <v>1.05</v>
      </c>
      <c r="Q1559">
        <v>2</v>
      </c>
      <c r="R1559">
        <v>78</v>
      </c>
      <c r="S1559" t="s">
        <v>3</v>
      </c>
      <c r="T1559">
        <v>2239</v>
      </c>
      <c r="U1559" t="s">
        <v>2037</v>
      </c>
      <c r="V1559" t="s">
        <v>4181</v>
      </c>
      <c r="W1559">
        <v>0.62</v>
      </c>
    </row>
    <row r="1560" spans="1:23">
      <c r="A1560" t="str">
        <f>"300377"</f>
        <v>300377</v>
      </c>
      <c r="B1560" t="s">
        <v>4182</v>
      </c>
      <c r="C1560">
        <v>59.99</v>
      </c>
      <c r="D1560">
        <v>59.99</v>
      </c>
      <c r="E1560">
        <v>58.25</v>
      </c>
      <c r="F1560">
        <v>59.41</v>
      </c>
      <c r="G1560">
        <v>10076</v>
      </c>
      <c r="H1560">
        <v>59532860</v>
      </c>
      <c r="I1560">
        <v>0.78</v>
      </c>
      <c r="J1560" t="s">
        <v>758</v>
      </c>
      <c r="K1560" t="s">
        <v>2</v>
      </c>
      <c r="L1560">
        <v>-0.59</v>
      </c>
      <c r="M1560">
        <v>59.08</v>
      </c>
      <c r="N1560">
        <v>5194</v>
      </c>
      <c r="O1560">
        <v>4882</v>
      </c>
      <c r="P1560">
        <v>1.06</v>
      </c>
      <c r="Q1560">
        <v>25</v>
      </c>
      <c r="R1560">
        <v>2</v>
      </c>
      <c r="S1560" t="s">
        <v>3</v>
      </c>
      <c r="T1560">
        <v>1385</v>
      </c>
      <c r="U1560" t="s">
        <v>4183</v>
      </c>
      <c r="V1560" t="s">
        <v>2908</v>
      </c>
      <c r="W1560">
        <v>-0.43</v>
      </c>
    </row>
    <row r="1561" spans="1:23">
      <c r="A1561" t="str">
        <f>"300378"</f>
        <v>300378</v>
      </c>
      <c r="B1561" t="s">
        <v>4184</v>
      </c>
      <c r="C1561">
        <v>28.3</v>
      </c>
      <c r="D1561">
        <v>28.3</v>
      </c>
      <c r="E1561">
        <v>27.59</v>
      </c>
      <c r="F1561">
        <v>27.7</v>
      </c>
      <c r="G1561">
        <v>25422</v>
      </c>
      <c r="H1561">
        <v>70744944</v>
      </c>
      <c r="I1561">
        <v>0.54</v>
      </c>
      <c r="J1561" t="s">
        <v>758</v>
      </c>
      <c r="K1561" t="s">
        <v>727</v>
      </c>
      <c r="L1561">
        <v>-1.42</v>
      </c>
      <c r="M1561">
        <v>27.83</v>
      </c>
      <c r="N1561">
        <v>14182</v>
      </c>
      <c r="O1561">
        <v>11239</v>
      </c>
      <c r="P1561">
        <v>1.26</v>
      </c>
      <c r="Q1561">
        <v>26</v>
      </c>
      <c r="R1561">
        <v>252</v>
      </c>
      <c r="S1561" t="s">
        <v>3</v>
      </c>
      <c r="T1561">
        <v>3900</v>
      </c>
      <c r="U1561" t="s">
        <v>4185</v>
      </c>
      <c r="V1561" t="s">
        <v>4186</v>
      </c>
      <c r="W1561">
        <v>-1.26</v>
      </c>
    </row>
    <row r="1562" spans="1:23">
      <c r="A1562" t="str">
        <f>"300379"</f>
        <v>300379</v>
      </c>
      <c r="B1562" t="s">
        <v>4187</v>
      </c>
      <c r="C1562">
        <v>75.349999999999994</v>
      </c>
      <c r="D1562">
        <v>75.430000000000007</v>
      </c>
      <c r="E1562">
        <v>73.5</v>
      </c>
      <c r="F1562">
        <v>74.2</v>
      </c>
      <c r="G1562">
        <v>8155</v>
      </c>
      <c r="H1562">
        <v>60652940</v>
      </c>
      <c r="I1562">
        <v>0.77</v>
      </c>
      <c r="J1562" t="s">
        <v>758</v>
      </c>
      <c r="K1562" t="s">
        <v>34</v>
      </c>
      <c r="L1562">
        <v>-1.66</v>
      </c>
      <c r="M1562">
        <v>74.38</v>
      </c>
      <c r="N1562">
        <v>3889</v>
      </c>
      <c r="O1562">
        <v>4265</v>
      </c>
      <c r="P1562">
        <v>0.91</v>
      </c>
      <c r="Q1562">
        <v>1</v>
      </c>
      <c r="R1562">
        <v>33</v>
      </c>
      <c r="S1562" t="s">
        <v>3</v>
      </c>
      <c r="T1562">
        <v>1285.82</v>
      </c>
      <c r="U1562" t="s">
        <v>4188</v>
      </c>
      <c r="V1562" t="s">
        <v>3834</v>
      </c>
      <c r="W1562">
        <v>-1.5</v>
      </c>
    </row>
    <row r="1563" spans="1:23">
      <c r="A1563" t="str">
        <f>"300380"</f>
        <v>300380</v>
      </c>
      <c r="B1563" t="s">
        <v>4189</v>
      </c>
      <c r="C1563">
        <v>48.71</v>
      </c>
      <c r="D1563">
        <v>50</v>
      </c>
      <c r="E1563">
        <v>48.62</v>
      </c>
      <c r="F1563">
        <v>49.3</v>
      </c>
      <c r="G1563">
        <v>9108</v>
      </c>
      <c r="H1563">
        <v>45047020</v>
      </c>
      <c r="I1563">
        <v>0.6</v>
      </c>
      <c r="J1563" t="s">
        <v>758</v>
      </c>
      <c r="K1563" t="s">
        <v>727</v>
      </c>
      <c r="L1563">
        <v>1.17</v>
      </c>
      <c r="M1563">
        <v>49.46</v>
      </c>
      <c r="N1563">
        <v>4094</v>
      </c>
      <c r="O1563">
        <v>5013</v>
      </c>
      <c r="P1563">
        <v>0.82</v>
      </c>
      <c r="Q1563">
        <v>48</v>
      </c>
      <c r="R1563">
        <v>7</v>
      </c>
      <c r="S1563" t="s">
        <v>3</v>
      </c>
      <c r="T1563">
        <v>1718</v>
      </c>
      <c r="U1563" t="s">
        <v>4107</v>
      </c>
      <c r="V1563" t="s">
        <v>3554</v>
      </c>
      <c r="W1563">
        <v>1.33</v>
      </c>
    </row>
    <row r="1564" spans="1:23">
      <c r="A1564" t="str">
        <f>"300381"</f>
        <v>300381</v>
      </c>
      <c r="B1564" t="s">
        <v>4190</v>
      </c>
      <c r="C1564">
        <v>64.599999999999994</v>
      </c>
      <c r="D1564">
        <v>64.599999999999994</v>
      </c>
      <c r="E1564">
        <v>61.88</v>
      </c>
      <c r="F1564">
        <v>62.9</v>
      </c>
      <c r="G1564">
        <v>17330</v>
      </c>
      <c r="H1564">
        <v>108629000</v>
      </c>
      <c r="I1564">
        <v>0.98</v>
      </c>
      <c r="J1564" t="s">
        <v>141</v>
      </c>
      <c r="K1564" t="s">
        <v>211</v>
      </c>
      <c r="L1564">
        <v>-1.87</v>
      </c>
      <c r="M1564">
        <v>62.68</v>
      </c>
      <c r="N1564">
        <v>10556</v>
      </c>
      <c r="O1564">
        <v>6773</v>
      </c>
      <c r="P1564">
        <v>1.56</v>
      </c>
      <c r="Q1564">
        <v>10</v>
      </c>
      <c r="R1564">
        <v>34</v>
      </c>
      <c r="S1564" t="s">
        <v>3</v>
      </c>
      <c r="T1564">
        <v>1145</v>
      </c>
      <c r="U1564" t="s">
        <v>4191</v>
      </c>
      <c r="V1564" t="s">
        <v>4192</v>
      </c>
      <c r="W1564">
        <v>-1.71</v>
      </c>
    </row>
    <row r="1565" spans="1:23">
      <c r="A1565" t="str">
        <f>"300382"</f>
        <v>300382</v>
      </c>
      <c r="B1565" t="s">
        <v>4193</v>
      </c>
      <c r="C1565">
        <v>61.95</v>
      </c>
      <c r="D1565">
        <v>62.16</v>
      </c>
      <c r="E1565">
        <v>61.52</v>
      </c>
      <c r="F1565">
        <v>61.62</v>
      </c>
      <c r="G1565">
        <v>5640</v>
      </c>
      <c r="H1565">
        <v>34803088</v>
      </c>
      <c r="I1565">
        <v>0.69</v>
      </c>
      <c r="J1565" t="s">
        <v>269</v>
      </c>
      <c r="K1565" t="s">
        <v>244</v>
      </c>
      <c r="L1565">
        <v>-0.37</v>
      </c>
      <c r="M1565">
        <v>61.71</v>
      </c>
      <c r="N1565">
        <v>3682</v>
      </c>
      <c r="O1565">
        <v>1957</v>
      </c>
      <c r="P1565">
        <v>1.88</v>
      </c>
      <c r="Q1565">
        <v>27</v>
      </c>
      <c r="R1565">
        <v>9</v>
      </c>
      <c r="S1565" t="s">
        <v>3</v>
      </c>
      <c r="T1565">
        <v>1330.92</v>
      </c>
      <c r="U1565" t="s">
        <v>4194</v>
      </c>
      <c r="V1565" t="s">
        <v>4195</v>
      </c>
      <c r="W1565">
        <v>-0.21</v>
      </c>
    </row>
    <row r="1566" spans="1:23">
      <c r="A1566" t="str">
        <f>"300383"</f>
        <v>300383</v>
      </c>
      <c r="B1566" t="s">
        <v>4196</v>
      </c>
      <c r="C1566">
        <v>49.06</v>
      </c>
      <c r="D1566">
        <v>49.23</v>
      </c>
      <c r="E1566">
        <v>48.25</v>
      </c>
      <c r="F1566">
        <v>48.73</v>
      </c>
      <c r="G1566">
        <v>15592</v>
      </c>
      <c r="H1566">
        <v>75903656</v>
      </c>
      <c r="I1566">
        <v>0.73</v>
      </c>
      <c r="J1566" t="s">
        <v>1620</v>
      </c>
      <c r="K1566" t="s">
        <v>34</v>
      </c>
      <c r="L1566">
        <v>-0.67</v>
      </c>
      <c r="M1566">
        <v>48.68</v>
      </c>
      <c r="N1566">
        <v>8282</v>
      </c>
      <c r="O1566">
        <v>7309</v>
      </c>
      <c r="P1566">
        <v>1.1299999999999999</v>
      </c>
      <c r="Q1566">
        <v>6</v>
      </c>
      <c r="R1566">
        <v>6</v>
      </c>
      <c r="S1566" t="s">
        <v>3</v>
      </c>
      <c r="T1566">
        <v>2729</v>
      </c>
      <c r="U1566" t="s">
        <v>4197</v>
      </c>
      <c r="V1566" t="s">
        <v>3286</v>
      </c>
      <c r="W1566">
        <v>-0.51</v>
      </c>
    </row>
    <row r="1567" spans="1:23">
      <c r="A1567" t="str">
        <f>"300384"</f>
        <v>300384</v>
      </c>
      <c r="B1567" t="s">
        <v>4198</v>
      </c>
      <c r="C1567">
        <v>61.7</v>
      </c>
      <c r="D1567">
        <v>62.36</v>
      </c>
      <c r="E1567">
        <v>61.11</v>
      </c>
      <c r="F1567">
        <v>61.92</v>
      </c>
      <c r="G1567">
        <v>9248</v>
      </c>
      <c r="H1567">
        <v>57131092</v>
      </c>
      <c r="I1567">
        <v>0.59</v>
      </c>
      <c r="J1567" t="s">
        <v>721</v>
      </c>
      <c r="K1567" t="s">
        <v>34</v>
      </c>
      <c r="L1567">
        <v>0.26</v>
      </c>
      <c r="M1567">
        <v>61.78</v>
      </c>
      <c r="N1567">
        <v>5538</v>
      </c>
      <c r="O1567">
        <v>3709</v>
      </c>
      <c r="P1567">
        <v>1.49</v>
      </c>
      <c r="Q1567">
        <v>18</v>
      </c>
      <c r="R1567">
        <v>7</v>
      </c>
      <c r="S1567" t="s">
        <v>3</v>
      </c>
      <c r="T1567">
        <v>1334</v>
      </c>
      <c r="U1567" t="s">
        <v>4199</v>
      </c>
      <c r="V1567" t="s">
        <v>4200</v>
      </c>
      <c r="W1567">
        <v>0.42</v>
      </c>
    </row>
    <row r="1568" spans="1:23">
      <c r="A1568" t="str">
        <f>"300385"</f>
        <v>300385</v>
      </c>
      <c r="B1568" t="s">
        <v>4201</v>
      </c>
      <c r="C1568">
        <v>49.6</v>
      </c>
      <c r="D1568">
        <v>49.62</v>
      </c>
      <c r="E1568">
        <v>48.4</v>
      </c>
      <c r="F1568">
        <v>48.53</v>
      </c>
      <c r="G1568">
        <v>18900</v>
      </c>
      <c r="H1568">
        <v>92251512</v>
      </c>
      <c r="I1568">
        <v>0.64</v>
      </c>
      <c r="J1568" t="s">
        <v>269</v>
      </c>
      <c r="K1568" t="s">
        <v>244</v>
      </c>
      <c r="L1568">
        <v>-1.02</v>
      </c>
      <c r="M1568">
        <v>48.81</v>
      </c>
      <c r="N1568">
        <v>11637</v>
      </c>
      <c r="O1568">
        <v>7263</v>
      </c>
      <c r="P1568">
        <v>1.6</v>
      </c>
      <c r="Q1568">
        <v>93</v>
      </c>
      <c r="R1568">
        <v>2</v>
      </c>
      <c r="S1568" t="s">
        <v>3</v>
      </c>
      <c r="T1568">
        <v>2000</v>
      </c>
      <c r="U1568" t="s">
        <v>4202</v>
      </c>
      <c r="V1568" t="s">
        <v>4203</v>
      </c>
      <c r="W1568">
        <v>-0.86</v>
      </c>
    </row>
    <row r="1569" spans="1:23">
      <c r="A1569" t="str">
        <f>"300386"</f>
        <v>300386</v>
      </c>
      <c r="B1569" t="s">
        <v>4204</v>
      </c>
      <c r="C1569">
        <v>127.32</v>
      </c>
      <c r="D1569">
        <v>128.47999999999999</v>
      </c>
      <c r="E1569">
        <v>124.6</v>
      </c>
      <c r="F1569">
        <v>124.8</v>
      </c>
      <c r="G1569">
        <v>13485</v>
      </c>
      <c r="H1569">
        <v>169236256</v>
      </c>
      <c r="I1569">
        <v>0.69</v>
      </c>
      <c r="J1569" t="s">
        <v>758</v>
      </c>
      <c r="K1569" t="s">
        <v>34</v>
      </c>
      <c r="L1569">
        <v>-1.96</v>
      </c>
      <c r="M1569">
        <v>125.5</v>
      </c>
      <c r="N1569">
        <v>8020</v>
      </c>
      <c r="O1569">
        <v>5465</v>
      </c>
      <c r="P1569">
        <v>1.47</v>
      </c>
      <c r="Q1569">
        <v>9</v>
      </c>
      <c r="R1569">
        <v>16</v>
      </c>
      <c r="S1569" t="s">
        <v>3</v>
      </c>
      <c r="T1569">
        <v>2001</v>
      </c>
      <c r="U1569" t="s">
        <v>4205</v>
      </c>
      <c r="V1569" t="s">
        <v>4206</v>
      </c>
      <c r="W1569">
        <v>-1.81</v>
      </c>
    </row>
    <row r="1570" spans="1:23">
      <c r="A1570" t="str">
        <f>"300387"</f>
        <v>300387</v>
      </c>
      <c r="B1570" t="s">
        <v>4207</v>
      </c>
      <c r="C1570">
        <v>50.25</v>
      </c>
      <c r="D1570">
        <v>50.27</v>
      </c>
      <c r="E1570">
        <v>49.5</v>
      </c>
      <c r="F1570">
        <v>49.72</v>
      </c>
      <c r="G1570">
        <v>10341</v>
      </c>
      <c r="H1570">
        <v>51458328</v>
      </c>
      <c r="I1570">
        <v>0.55000000000000004</v>
      </c>
      <c r="J1570" t="s">
        <v>376</v>
      </c>
      <c r="K1570" t="s">
        <v>317</v>
      </c>
      <c r="L1570">
        <v>-0.9</v>
      </c>
      <c r="M1570">
        <v>49.76</v>
      </c>
      <c r="N1570">
        <v>6035</v>
      </c>
      <c r="O1570">
        <v>4305</v>
      </c>
      <c r="P1570">
        <v>1.4</v>
      </c>
      <c r="Q1570">
        <v>4</v>
      </c>
      <c r="R1570">
        <v>94</v>
      </c>
      <c r="S1570" t="s">
        <v>3</v>
      </c>
      <c r="T1570">
        <v>1299</v>
      </c>
      <c r="U1570" t="s">
        <v>4208</v>
      </c>
      <c r="V1570" t="s">
        <v>2210</v>
      </c>
      <c r="W1570">
        <v>-0.74</v>
      </c>
    </row>
    <row r="1571" spans="1:23">
      <c r="A1571" t="str">
        <f>"300388"</f>
        <v>300388</v>
      </c>
      <c r="B1571" t="s">
        <v>4209</v>
      </c>
      <c r="C1571">
        <v>34.82</v>
      </c>
      <c r="D1571">
        <v>35.020000000000003</v>
      </c>
      <c r="E1571">
        <v>34.29</v>
      </c>
      <c r="F1571">
        <v>34.840000000000003</v>
      </c>
      <c r="G1571">
        <v>24260</v>
      </c>
      <c r="H1571">
        <v>84235584</v>
      </c>
      <c r="I1571">
        <v>0.5</v>
      </c>
      <c r="J1571" t="s">
        <v>462</v>
      </c>
      <c r="K1571" t="s">
        <v>220</v>
      </c>
      <c r="L1571">
        <v>-0.23</v>
      </c>
      <c r="M1571">
        <v>34.72</v>
      </c>
      <c r="N1571">
        <v>12873</v>
      </c>
      <c r="O1571">
        <v>11387</v>
      </c>
      <c r="P1571">
        <v>1.1299999999999999</v>
      </c>
      <c r="Q1571">
        <v>119</v>
      </c>
      <c r="R1571">
        <v>47</v>
      </c>
      <c r="S1571" t="s">
        <v>3</v>
      </c>
      <c r="T1571">
        <v>2206</v>
      </c>
      <c r="U1571" t="s">
        <v>4210</v>
      </c>
      <c r="V1571" t="s">
        <v>4211</v>
      </c>
      <c r="W1571">
        <v>-7.0000000000000007E-2</v>
      </c>
    </row>
    <row r="1572" spans="1:23">
      <c r="A1572" t="str">
        <f>"300389"</f>
        <v>300389</v>
      </c>
      <c r="B1572" t="s">
        <v>4212</v>
      </c>
      <c r="C1572">
        <v>84.43</v>
      </c>
      <c r="D1572">
        <v>84.8</v>
      </c>
      <c r="E1572">
        <v>82.53</v>
      </c>
      <c r="F1572">
        <v>83.62</v>
      </c>
      <c r="G1572">
        <v>10599</v>
      </c>
      <c r="H1572">
        <v>88702048</v>
      </c>
      <c r="I1572">
        <v>0.49</v>
      </c>
      <c r="J1572" t="s">
        <v>1581</v>
      </c>
      <c r="K1572" t="s">
        <v>2</v>
      </c>
      <c r="L1572">
        <v>-0.67</v>
      </c>
      <c r="M1572">
        <v>83.69</v>
      </c>
      <c r="N1572">
        <v>6061</v>
      </c>
      <c r="O1572">
        <v>4537</v>
      </c>
      <c r="P1572">
        <v>1.34</v>
      </c>
      <c r="Q1572">
        <v>10</v>
      </c>
      <c r="R1572">
        <v>4</v>
      </c>
      <c r="S1572" t="s">
        <v>3</v>
      </c>
      <c r="T1572">
        <v>1547</v>
      </c>
      <c r="U1572" t="s">
        <v>857</v>
      </c>
      <c r="V1572" t="s">
        <v>4213</v>
      </c>
      <c r="W1572">
        <v>-0.51</v>
      </c>
    </row>
    <row r="1573" spans="1:23">
      <c r="A1573" t="str">
        <f>"300390"</f>
        <v>300390</v>
      </c>
      <c r="B1573" t="s">
        <v>4214</v>
      </c>
      <c r="C1573">
        <v>36.81</v>
      </c>
      <c r="D1573">
        <v>37.4</v>
      </c>
      <c r="E1573">
        <v>35.909999999999997</v>
      </c>
      <c r="F1573">
        <v>36.28</v>
      </c>
      <c r="G1573">
        <v>20219</v>
      </c>
      <c r="H1573">
        <v>73492552</v>
      </c>
      <c r="I1573">
        <v>0.37</v>
      </c>
      <c r="J1573" t="s">
        <v>66</v>
      </c>
      <c r="K1573" t="s">
        <v>244</v>
      </c>
      <c r="L1573">
        <v>-1.31</v>
      </c>
      <c r="M1573">
        <v>36.35</v>
      </c>
      <c r="N1573">
        <v>12207</v>
      </c>
      <c r="O1573">
        <v>8012</v>
      </c>
      <c r="P1573">
        <v>1.52</v>
      </c>
      <c r="Q1573">
        <v>163</v>
      </c>
      <c r="R1573">
        <v>59</v>
      </c>
      <c r="S1573" t="s">
        <v>3</v>
      </c>
      <c r="T1573">
        <v>1558</v>
      </c>
      <c r="U1573" t="s">
        <v>4215</v>
      </c>
      <c r="V1573" t="s">
        <v>4216</v>
      </c>
      <c r="W1573">
        <v>-1.1499999999999999</v>
      </c>
    </row>
    <row r="1574" spans="1:23">
      <c r="A1574" t="str">
        <f>"300391"</f>
        <v>300391</v>
      </c>
      <c r="B1574" t="s">
        <v>4217</v>
      </c>
      <c r="C1574">
        <v>29.6</v>
      </c>
      <c r="D1574">
        <v>29.76</v>
      </c>
      <c r="E1574">
        <v>28.78</v>
      </c>
      <c r="F1574">
        <v>29.16</v>
      </c>
      <c r="G1574">
        <v>18466</v>
      </c>
      <c r="H1574">
        <v>53769236</v>
      </c>
      <c r="I1574">
        <v>0.45</v>
      </c>
      <c r="J1574" t="s">
        <v>398</v>
      </c>
      <c r="K1574" t="s">
        <v>250</v>
      </c>
      <c r="L1574">
        <v>-1.29</v>
      </c>
      <c r="M1574">
        <v>29.12</v>
      </c>
      <c r="N1574">
        <v>11088</v>
      </c>
      <c r="O1574">
        <v>7378</v>
      </c>
      <c r="P1574">
        <v>1.5</v>
      </c>
      <c r="Q1574">
        <v>73</v>
      </c>
      <c r="R1574">
        <v>19</v>
      </c>
      <c r="S1574" t="s">
        <v>3</v>
      </c>
      <c r="T1574">
        <v>1667</v>
      </c>
      <c r="U1574" t="s">
        <v>4218</v>
      </c>
      <c r="V1574" t="s">
        <v>4219</v>
      </c>
      <c r="W1574">
        <v>-1.1299999999999999</v>
      </c>
    </row>
    <row r="1575" spans="1:23">
      <c r="A1575" t="str">
        <f>"600000"</f>
        <v>600000</v>
      </c>
      <c r="B1575" t="s">
        <v>4220</v>
      </c>
      <c r="C1575">
        <v>9.75</v>
      </c>
      <c r="D1575">
        <v>9.82</v>
      </c>
      <c r="E1575">
        <v>9.68</v>
      </c>
      <c r="F1575">
        <v>9.6999999999999993</v>
      </c>
      <c r="G1575">
        <v>1238661</v>
      </c>
      <c r="H1575">
        <v>1205605760</v>
      </c>
      <c r="I1575">
        <v>1.1200000000000001</v>
      </c>
      <c r="J1575" t="s">
        <v>1</v>
      </c>
      <c r="K1575" t="s">
        <v>727</v>
      </c>
      <c r="L1575">
        <v>-0.41</v>
      </c>
      <c r="M1575">
        <v>9.73</v>
      </c>
      <c r="N1575">
        <v>673745</v>
      </c>
      <c r="O1575">
        <v>564915</v>
      </c>
      <c r="P1575">
        <v>1.19</v>
      </c>
      <c r="Q1575">
        <v>3685</v>
      </c>
      <c r="R1575">
        <v>2138</v>
      </c>
      <c r="S1575" t="s">
        <v>3</v>
      </c>
      <c r="T1575">
        <v>1492277.75</v>
      </c>
      <c r="U1575" t="s">
        <v>4221</v>
      </c>
      <c r="V1575" t="s">
        <v>4222</v>
      </c>
      <c r="W1575">
        <v>-0.41</v>
      </c>
    </row>
    <row r="1576" spans="1:23">
      <c r="A1576" t="str">
        <f>"600004"</f>
        <v>600004</v>
      </c>
      <c r="B1576" t="s">
        <v>4223</v>
      </c>
      <c r="C1576">
        <v>7.82</v>
      </c>
      <c r="D1576">
        <v>8.0299999999999994</v>
      </c>
      <c r="E1576">
        <v>7.81</v>
      </c>
      <c r="F1576">
        <v>8.01</v>
      </c>
      <c r="G1576">
        <v>174156</v>
      </c>
      <c r="H1576">
        <v>138626064</v>
      </c>
      <c r="I1576">
        <v>1.77</v>
      </c>
      <c r="J1576" t="s">
        <v>198</v>
      </c>
      <c r="K1576" t="s">
        <v>211</v>
      </c>
      <c r="L1576">
        <v>2.2999999999999998</v>
      </c>
      <c r="M1576">
        <v>7.96</v>
      </c>
      <c r="N1576">
        <v>73564</v>
      </c>
      <c r="O1576">
        <v>100591</v>
      </c>
      <c r="P1576">
        <v>0.73</v>
      </c>
      <c r="Q1576">
        <v>21</v>
      </c>
      <c r="R1576">
        <v>1225</v>
      </c>
      <c r="S1576" t="s">
        <v>3</v>
      </c>
      <c r="T1576">
        <v>115000</v>
      </c>
      <c r="U1576" t="s">
        <v>4224</v>
      </c>
      <c r="V1576" t="s">
        <v>4224</v>
      </c>
      <c r="W1576">
        <v>2.29</v>
      </c>
    </row>
    <row r="1577" spans="1:23">
      <c r="A1577" t="str">
        <f>"600005"</f>
        <v>600005</v>
      </c>
      <c r="B1577" t="s">
        <v>4225</v>
      </c>
      <c r="C1577">
        <v>2.2200000000000002</v>
      </c>
      <c r="D1577">
        <v>2.2799999999999998</v>
      </c>
      <c r="E1577">
        <v>2.21</v>
      </c>
      <c r="F1577">
        <v>2.25</v>
      </c>
      <c r="G1577">
        <v>909513</v>
      </c>
      <c r="H1577">
        <v>204185856</v>
      </c>
      <c r="I1577">
        <v>2.2000000000000002</v>
      </c>
      <c r="J1577" t="s">
        <v>279</v>
      </c>
      <c r="K1577" t="s">
        <v>317</v>
      </c>
      <c r="L1577">
        <v>1.35</v>
      </c>
      <c r="M1577">
        <v>2.25</v>
      </c>
      <c r="N1577">
        <v>304470</v>
      </c>
      <c r="O1577">
        <v>605043</v>
      </c>
      <c r="P1577">
        <v>0.5</v>
      </c>
      <c r="Q1577">
        <v>9384</v>
      </c>
      <c r="R1577">
        <v>32869</v>
      </c>
      <c r="S1577" t="s">
        <v>3</v>
      </c>
      <c r="T1577">
        <v>1009378</v>
      </c>
      <c r="U1577" t="s">
        <v>4226</v>
      </c>
      <c r="V1577" t="s">
        <v>4226</v>
      </c>
      <c r="W1577">
        <v>1.35</v>
      </c>
    </row>
    <row r="1578" spans="1:23">
      <c r="A1578" t="str">
        <f>"600006"</f>
        <v>600006</v>
      </c>
      <c r="B1578" t="s">
        <v>4227</v>
      </c>
      <c r="C1578">
        <v>4.45</v>
      </c>
      <c r="D1578">
        <v>4.88</v>
      </c>
      <c r="E1578">
        <v>4.41</v>
      </c>
      <c r="F1578">
        <v>4.88</v>
      </c>
      <c r="G1578">
        <v>1278569</v>
      </c>
      <c r="H1578">
        <v>607569792</v>
      </c>
      <c r="I1578">
        <v>2.6</v>
      </c>
      <c r="J1578" t="s">
        <v>476</v>
      </c>
      <c r="K1578" t="s">
        <v>317</v>
      </c>
      <c r="L1578">
        <v>9.91</v>
      </c>
      <c r="M1578">
        <v>4.75</v>
      </c>
      <c r="N1578">
        <v>569946</v>
      </c>
      <c r="O1578">
        <v>708623</v>
      </c>
      <c r="P1578">
        <v>0.8</v>
      </c>
      <c r="Q1578">
        <v>173811</v>
      </c>
      <c r="R1578">
        <v>0</v>
      </c>
      <c r="S1578" t="s">
        <v>3</v>
      </c>
      <c r="T1578">
        <v>200000</v>
      </c>
      <c r="U1578" t="s">
        <v>4228</v>
      </c>
      <c r="V1578" t="s">
        <v>4228</v>
      </c>
      <c r="W1578">
        <v>9.91</v>
      </c>
    </row>
    <row r="1579" spans="1:23">
      <c r="A1579" t="str">
        <f>"600007"</f>
        <v>600007</v>
      </c>
      <c r="B1579" t="s">
        <v>4229</v>
      </c>
      <c r="C1579">
        <v>11.18</v>
      </c>
      <c r="D1579">
        <v>11.28</v>
      </c>
      <c r="E1579">
        <v>11.1</v>
      </c>
      <c r="F1579">
        <v>11.27</v>
      </c>
      <c r="G1579">
        <v>21281</v>
      </c>
      <c r="H1579">
        <v>23792342</v>
      </c>
      <c r="I1579">
        <v>0.72</v>
      </c>
      <c r="J1579" t="s">
        <v>663</v>
      </c>
      <c r="K1579" t="s">
        <v>34</v>
      </c>
      <c r="L1579">
        <v>1.08</v>
      </c>
      <c r="M1579">
        <v>11.18</v>
      </c>
      <c r="N1579">
        <v>11174</v>
      </c>
      <c r="O1579">
        <v>10106</v>
      </c>
      <c r="P1579">
        <v>1.1100000000000001</v>
      </c>
      <c r="Q1579">
        <v>70</v>
      </c>
      <c r="R1579">
        <v>2134</v>
      </c>
      <c r="S1579" t="s">
        <v>3</v>
      </c>
      <c r="T1579">
        <v>100728.25</v>
      </c>
      <c r="U1579" t="s">
        <v>4230</v>
      </c>
      <c r="V1579" t="s">
        <v>4230</v>
      </c>
      <c r="W1579">
        <v>1.07</v>
      </c>
    </row>
    <row r="1580" spans="1:23">
      <c r="A1580" t="str">
        <f>"600008"</f>
        <v>600008</v>
      </c>
      <c r="B1580" t="s">
        <v>4231</v>
      </c>
      <c r="C1580">
        <v>7.25</v>
      </c>
      <c r="D1580">
        <v>7.42</v>
      </c>
      <c r="E1580">
        <v>7.2</v>
      </c>
      <c r="F1580">
        <v>7.26</v>
      </c>
      <c r="G1580">
        <v>276770</v>
      </c>
      <c r="H1580">
        <v>202413488</v>
      </c>
      <c r="I1580">
        <v>1.0900000000000001</v>
      </c>
      <c r="J1580" t="s">
        <v>462</v>
      </c>
      <c r="K1580" t="s">
        <v>34</v>
      </c>
      <c r="L1580">
        <v>0.69</v>
      </c>
      <c r="M1580">
        <v>7.31</v>
      </c>
      <c r="N1580">
        <v>162025</v>
      </c>
      <c r="O1580">
        <v>114744</v>
      </c>
      <c r="P1580">
        <v>1.41</v>
      </c>
      <c r="Q1580">
        <v>408</v>
      </c>
      <c r="R1580">
        <v>708</v>
      </c>
      <c r="S1580" t="s">
        <v>3</v>
      </c>
      <c r="T1580">
        <v>220000</v>
      </c>
      <c r="U1580" t="s">
        <v>4232</v>
      </c>
      <c r="V1580" t="s">
        <v>4232</v>
      </c>
      <c r="W1580">
        <v>0.69</v>
      </c>
    </row>
    <row r="1581" spans="1:23">
      <c r="A1581" t="str">
        <f>"600009"</f>
        <v>600009</v>
      </c>
      <c r="B1581" t="s">
        <v>4233</v>
      </c>
      <c r="C1581">
        <v>14.59</v>
      </c>
      <c r="D1581">
        <v>14.68</v>
      </c>
      <c r="E1581">
        <v>14.43</v>
      </c>
      <c r="F1581">
        <v>14.49</v>
      </c>
      <c r="G1581">
        <v>150115</v>
      </c>
      <c r="H1581">
        <v>218120528</v>
      </c>
      <c r="I1581">
        <v>0.78</v>
      </c>
      <c r="J1581" t="s">
        <v>198</v>
      </c>
      <c r="K1581" t="s">
        <v>727</v>
      </c>
      <c r="L1581">
        <v>-0.48</v>
      </c>
      <c r="M1581">
        <v>14.53</v>
      </c>
      <c r="N1581">
        <v>82515</v>
      </c>
      <c r="O1581">
        <v>67599</v>
      </c>
      <c r="P1581">
        <v>1.22</v>
      </c>
      <c r="Q1581">
        <v>108</v>
      </c>
      <c r="R1581">
        <v>30</v>
      </c>
      <c r="S1581" t="s">
        <v>3</v>
      </c>
      <c r="T1581">
        <v>109347.64</v>
      </c>
      <c r="U1581" t="s">
        <v>4234</v>
      </c>
      <c r="V1581" t="s">
        <v>4235</v>
      </c>
      <c r="W1581">
        <v>-0.49</v>
      </c>
    </row>
    <row r="1582" spans="1:23">
      <c r="A1582" t="str">
        <f>"600010"</f>
        <v>600010</v>
      </c>
      <c r="B1582" t="s">
        <v>4236</v>
      </c>
      <c r="C1582">
        <v>5.0199999999999996</v>
      </c>
      <c r="D1582">
        <v>5.18</v>
      </c>
      <c r="E1582">
        <v>5.0199999999999996</v>
      </c>
      <c r="F1582">
        <v>5.09</v>
      </c>
      <c r="G1582">
        <v>1927833</v>
      </c>
      <c r="H1582">
        <v>984711744</v>
      </c>
      <c r="I1582">
        <v>1.39</v>
      </c>
      <c r="J1582" t="s">
        <v>279</v>
      </c>
      <c r="K1582" t="s">
        <v>329</v>
      </c>
      <c r="L1582">
        <v>0.79</v>
      </c>
      <c r="M1582">
        <v>5.1100000000000003</v>
      </c>
      <c r="N1582">
        <v>832929</v>
      </c>
      <c r="O1582">
        <v>1094904</v>
      </c>
      <c r="P1582">
        <v>0.76</v>
      </c>
      <c r="Q1582">
        <v>5042</v>
      </c>
      <c r="R1582">
        <v>14428</v>
      </c>
      <c r="S1582" t="s">
        <v>3</v>
      </c>
      <c r="T1582">
        <v>787101.19</v>
      </c>
      <c r="U1582" t="s">
        <v>4237</v>
      </c>
      <c r="V1582" t="s">
        <v>4238</v>
      </c>
      <c r="W1582">
        <v>0.79</v>
      </c>
    </row>
    <row r="1583" spans="1:23">
      <c r="A1583" t="str">
        <f>"600011"</f>
        <v>600011</v>
      </c>
      <c r="B1583" t="s">
        <v>4239</v>
      </c>
      <c r="C1583">
        <v>6.4</v>
      </c>
      <c r="D1583">
        <v>6.44</v>
      </c>
      <c r="E1583">
        <v>6.3</v>
      </c>
      <c r="F1583">
        <v>6.35</v>
      </c>
      <c r="G1583">
        <v>152533</v>
      </c>
      <c r="H1583">
        <v>96790504</v>
      </c>
      <c r="I1583">
        <v>0.71</v>
      </c>
      <c r="J1583" t="s">
        <v>87</v>
      </c>
      <c r="K1583" t="s">
        <v>34</v>
      </c>
      <c r="L1583">
        <v>-0.94</v>
      </c>
      <c r="M1583">
        <v>6.35</v>
      </c>
      <c r="N1583">
        <v>80855</v>
      </c>
      <c r="O1583">
        <v>71677</v>
      </c>
      <c r="P1583">
        <v>1.1299999999999999</v>
      </c>
      <c r="Q1583">
        <v>235</v>
      </c>
      <c r="R1583">
        <v>1278</v>
      </c>
      <c r="S1583" t="s">
        <v>3</v>
      </c>
      <c r="T1583">
        <v>1050000</v>
      </c>
      <c r="U1583" t="s">
        <v>4240</v>
      </c>
      <c r="V1583" t="s">
        <v>4240</v>
      </c>
      <c r="W1583">
        <v>-0.94</v>
      </c>
    </row>
    <row r="1584" spans="1:23">
      <c r="A1584" t="str">
        <f>"600012"</f>
        <v>600012</v>
      </c>
      <c r="B1584" t="s">
        <v>4241</v>
      </c>
      <c r="C1584">
        <v>4.59</v>
      </c>
      <c r="D1584">
        <v>4.6100000000000003</v>
      </c>
      <c r="E1584">
        <v>4.54</v>
      </c>
      <c r="F1584">
        <v>4.59</v>
      </c>
      <c r="G1584">
        <v>43997</v>
      </c>
      <c r="H1584">
        <v>20175828</v>
      </c>
      <c r="I1584">
        <v>0.97</v>
      </c>
      <c r="J1584" t="s">
        <v>336</v>
      </c>
      <c r="K1584" t="s">
        <v>220</v>
      </c>
      <c r="L1584">
        <v>0</v>
      </c>
      <c r="M1584">
        <v>4.59</v>
      </c>
      <c r="N1584">
        <v>17176</v>
      </c>
      <c r="O1584">
        <v>26820</v>
      </c>
      <c r="P1584">
        <v>0.64</v>
      </c>
      <c r="Q1584">
        <v>2431</v>
      </c>
      <c r="R1584">
        <v>120</v>
      </c>
      <c r="S1584" t="s">
        <v>3</v>
      </c>
      <c r="T1584">
        <v>116560</v>
      </c>
      <c r="U1584" t="s">
        <v>4242</v>
      </c>
      <c r="V1584" t="s">
        <v>4242</v>
      </c>
      <c r="W1584">
        <v>0</v>
      </c>
    </row>
    <row r="1585" spans="1:23">
      <c r="A1585" t="str">
        <f>"600015"</f>
        <v>600015</v>
      </c>
      <c r="B1585" t="s">
        <v>4243</v>
      </c>
      <c r="C1585">
        <v>8.6999999999999993</v>
      </c>
      <c r="D1585">
        <v>8.7200000000000006</v>
      </c>
      <c r="E1585">
        <v>8.59</v>
      </c>
      <c r="F1585">
        <v>8.6300000000000008</v>
      </c>
      <c r="G1585">
        <v>258769</v>
      </c>
      <c r="H1585">
        <v>223582848</v>
      </c>
      <c r="I1585">
        <v>0.75</v>
      </c>
      <c r="J1585" t="s">
        <v>1</v>
      </c>
      <c r="K1585" t="s">
        <v>34</v>
      </c>
      <c r="L1585">
        <v>-0.8</v>
      </c>
      <c r="M1585">
        <v>8.64</v>
      </c>
      <c r="N1585">
        <v>135968</v>
      </c>
      <c r="O1585">
        <v>122801</v>
      </c>
      <c r="P1585">
        <v>1.1100000000000001</v>
      </c>
      <c r="Q1585">
        <v>353</v>
      </c>
      <c r="R1585">
        <v>1820</v>
      </c>
      <c r="S1585" t="s">
        <v>3</v>
      </c>
      <c r="T1585">
        <v>648768.68999999994</v>
      </c>
      <c r="U1585" t="s">
        <v>4244</v>
      </c>
      <c r="V1585" t="s">
        <v>4245</v>
      </c>
      <c r="W1585">
        <v>-0.81</v>
      </c>
    </row>
    <row r="1586" spans="1:23">
      <c r="A1586" t="str">
        <f>"600016"</f>
        <v>600016</v>
      </c>
      <c r="B1586" t="s">
        <v>4246</v>
      </c>
      <c r="C1586">
        <v>6.45</v>
      </c>
      <c r="D1586">
        <v>6.46</v>
      </c>
      <c r="E1586">
        <v>6.38</v>
      </c>
      <c r="F1586">
        <v>6.4</v>
      </c>
      <c r="G1586">
        <v>965774</v>
      </c>
      <c r="H1586">
        <v>618626368</v>
      </c>
      <c r="I1586">
        <v>0.64</v>
      </c>
      <c r="J1586" t="s">
        <v>1</v>
      </c>
      <c r="K1586" t="s">
        <v>34</v>
      </c>
      <c r="L1586">
        <v>-0.62</v>
      </c>
      <c r="M1586">
        <v>6.41</v>
      </c>
      <c r="N1586">
        <v>572373</v>
      </c>
      <c r="O1586">
        <v>393400</v>
      </c>
      <c r="P1586">
        <v>1.45</v>
      </c>
      <c r="Q1586">
        <v>3594</v>
      </c>
      <c r="R1586">
        <v>19897</v>
      </c>
      <c r="S1586" t="s">
        <v>3</v>
      </c>
      <c r="T1586">
        <v>2710604.5</v>
      </c>
      <c r="U1586" t="s">
        <v>4247</v>
      </c>
      <c r="V1586" t="s">
        <v>4247</v>
      </c>
      <c r="W1586">
        <v>-0.63</v>
      </c>
    </row>
    <row r="1587" spans="1:23">
      <c r="A1587" t="str">
        <f>"600017"</f>
        <v>600017</v>
      </c>
      <c r="B1587" t="s">
        <v>4248</v>
      </c>
      <c r="C1587">
        <v>3.37</v>
      </c>
      <c r="D1587">
        <v>3.52</v>
      </c>
      <c r="E1587">
        <v>3.31</v>
      </c>
      <c r="F1587">
        <v>3.45</v>
      </c>
      <c r="G1587">
        <v>899117</v>
      </c>
      <c r="H1587">
        <v>310293376</v>
      </c>
      <c r="I1587">
        <v>1.29</v>
      </c>
      <c r="J1587" t="s">
        <v>70</v>
      </c>
      <c r="K1587" t="s">
        <v>250</v>
      </c>
      <c r="L1587">
        <v>2.37</v>
      </c>
      <c r="M1587">
        <v>3.45</v>
      </c>
      <c r="N1587">
        <v>447309</v>
      </c>
      <c r="O1587">
        <v>451807</v>
      </c>
      <c r="P1587">
        <v>0.99</v>
      </c>
      <c r="Q1587">
        <v>6192</v>
      </c>
      <c r="R1587">
        <v>5976</v>
      </c>
      <c r="S1587" t="s">
        <v>3</v>
      </c>
      <c r="T1587">
        <v>263063.15999999997</v>
      </c>
      <c r="U1587" t="s">
        <v>4249</v>
      </c>
      <c r="V1587" t="s">
        <v>4250</v>
      </c>
      <c r="W1587">
        <v>2.37</v>
      </c>
    </row>
    <row r="1588" spans="1:23">
      <c r="A1588" t="str">
        <f>"600018"</f>
        <v>600018</v>
      </c>
      <c r="B1588" t="s">
        <v>4251</v>
      </c>
      <c r="C1588" t="s">
        <v>3</v>
      </c>
      <c r="D1588" t="s">
        <v>3</v>
      </c>
      <c r="E1588" t="s">
        <v>3</v>
      </c>
      <c r="F1588">
        <v>5.3</v>
      </c>
      <c r="G1588">
        <v>0</v>
      </c>
      <c r="H1588">
        <v>0</v>
      </c>
      <c r="I1588">
        <v>0</v>
      </c>
      <c r="J1588" t="s">
        <v>70</v>
      </c>
      <c r="K1588" t="s">
        <v>727</v>
      </c>
      <c r="L1588">
        <v>0</v>
      </c>
      <c r="M1588">
        <v>5.3</v>
      </c>
      <c r="N1588">
        <v>0</v>
      </c>
      <c r="O1588">
        <v>0</v>
      </c>
      <c r="P1588" t="s">
        <v>3</v>
      </c>
      <c r="Q1588">
        <v>0</v>
      </c>
      <c r="R1588">
        <v>0</v>
      </c>
      <c r="S1588" t="s">
        <v>3</v>
      </c>
      <c r="T1588">
        <v>2275518</v>
      </c>
      <c r="U1588" t="s">
        <v>4252</v>
      </c>
      <c r="V1588" t="s">
        <v>4252</v>
      </c>
      <c r="W1588">
        <v>0</v>
      </c>
    </row>
    <row r="1589" spans="1:23">
      <c r="A1589" t="str">
        <f>"600019"</f>
        <v>600019</v>
      </c>
      <c r="B1589" t="s">
        <v>4253</v>
      </c>
      <c r="C1589">
        <v>4.54</v>
      </c>
      <c r="D1589">
        <v>4.58</v>
      </c>
      <c r="E1589">
        <v>4.51</v>
      </c>
      <c r="F1589">
        <v>4.57</v>
      </c>
      <c r="G1589">
        <v>299289</v>
      </c>
      <c r="H1589">
        <v>136482592</v>
      </c>
      <c r="I1589">
        <v>0.96</v>
      </c>
      <c r="J1589" t="s">
        <v>279</v>
      </c>
      <c r="K1589" t="s">
        <v>727</v>
      </c>
      <c r="L1589">
        <v>0.66</v>
      </c>
      <c r="M1589">
        <v>4.5599999999999996</v>
      </c>
      <c r="N1589">
        <v>110342</v>
      </c>
      <c r="O1589">
        <v>188946</v>
      </c>
      <c r="P1589">
        <v>0.57999999999999996</v>
      </c>
      <c r="Q1589">
        <v>872</v>
      </c>
      <c r="R1589">
        <v>11112</v>
      </c>
      <c r="S1589" t="s">
        <v>3</v>
      </c>
      <c r="T1589">
        <v>1642427.88</v>
      </c>
      <c r="U1589" t="s">
        <v>4254</v>
      </c>
      <c r="V1589" t="s">
        <v>4255</v>
      </c>
      <c r="W1589">
        <v>0.66</v>
      </c>
    </row>
    <row r="1590" spans="1:23">
      <c r="A1590" t="str">
        <f>"600020"</f>
        <v>600020</v>
      </c>
      <c r="B1590" t="s">
        <v>4256</v>
      </c>
      <c r="C1590">
        <v>2.48</v>
      </c>
      <c r="D1590">
        <v>2.4900000000000002</v>
      </c>
      <c r="E1590">
        <v>2.46</v>
      </c>
      <c r="F1590">
        <v>2.48</v>
      </c>
      <c r="G1590">
        <v>101513</v>
      </c>
      <c r="H1590">
        <v>25089102</v>
      </c>
      <c r="I1590">
        <v>0.85</v>
      </c>
      <c r="J1590" t="s">
        <v>336</v>
      </c>
      <c r="K1590" t="s">
        <v>254</v>
      </c>
      <c r="L1590">
        <v>0</v>
      </c>
      <c r="M1590">
        <v>2.4700000000000002</v>
      </c>
      <c r="N1590">
        <v>52988</v>
      </c>
      <c r="O1590">
        <v>48524</v>
      </c>
      <c r="P1590">
        <v>1.0900000000000001</v>
      </c>
      <c r="Q1590">
        <v>2373</v>
      </c>
      <c r="R1590">
        <v>6684</v>
      </c>
      <c r="S1590" t="s">
        <v>3</v>
      </c>
      <c r="T1590">
        <v>224737.19</v>
      </c>
      <c r="U1590" t="s">
        <v>4257</v>
      </c>
      <c r="V1590" t="s">
        <v>4257</v>
      </c>
      <c r="W1590">
        <v>0</v>
      </c>
    </row>
    <row r="1591" spans="1:23">
      <c r="A1591" t="str">
        <f>"600021"</f>
        <v>600021</v>
      </c>
      <c r="B1591" t="s">
        <v>4258</v>
      </c>
      <c r="C1591">
        <v>4.79</v>
      </c>
      <c r="D1591">
        <v>4.83</v>
      </c>
      <c r="E1591">
        <v>4.7699999999999996</v>
      </c>
      <c r="F1591">
        <v>4.8</v>
      </c>
      <c r="G1591">
        <v>185662</v>
      </c>
      <c r="H1591">
        <v>89038768</v>
      </c>
      <c r="I1591">
        <v>0.95</v>
      </c>
      <c r="J1591" t="s">
        <v>87</v>
      </c>
      <c r="K1591" t="s">
        <v>727</v>
      </c>
      <c r="L1591">
        <v>0.21</v>
      </c>
      <c r="M1591">
        <v>4.8</v>
      </c>
      <c r="N1591">
        <v>100893</v>
      </c>
      <c r="O1591">
        <v>84769</v>
      </c>
      <c r="P1591">
        <v>1.19</v>
      </c>
      <c r="Q1591">
        <v>1540</v>
      </c>
      <c r="R1591">
        <v>3305</v>
      </c>
      <c r="S1591" t="s">
        <v>3</v>
      </c>
      <c r="T1591">
        <v>213973.92</v>
      </c>
      <c r="U1591" t="s">
        <v>4259</v>
      </c>
      <c r="V1591" t="s">
        <v>4259</v>
      </c>
      <c r="W1591">
        <v>0.2</v>
      </c>
    </row>
    <row r="1592" spans="1:23">
      <c r="A1592" t="str">
        <f>"600022"</f>
        <v>600022</v>
      </c>
      <c r="B1592" t="s">
        <v>4260</v>
      </c>
      <c r="C1592">
        <v>1.81</v>
      </c>
      <c r="D1592">
        <v>1.84</v>
      </c>
      <c r="E1592">
        <v>1.8</v>
      </c>
      <c r="F1592">
        <v>1.83</v>
      </c>
      <c r="G1592">
        <v>474956</v>
      </c>
      <c r="H1592">
        <v>86549280</v>
      </c>
      <c r="I1592">
        <v>1.69</v>
      </c>
      <c r="J1592" t="s">
        <v>279</v>
      </c>
      <c r="K1592" t="s">
        <v>250</v>
      </c>
      <c r="L1592">
        <v>1.1000000000000001</v>
      </c>
      <c r="M1592">
        <v>1.82</v>
      </c>
      <c r="N1592">
        <v>131202</v>
      </c>
      <c r="O1592">
        <v>343754</v>
      </c>
      <c r="P1592">
        <v>0.38</v>
      </c>
      <c r="Q1592">
        <v>4707</v>
      </c>
      <c r="R1592">
        <v>40859</v>
      </c>
      <c r="S1592" t="s">
        <v>3</v>
      </c>
      <c r="T1592">
        <v>534315.81000000006</v>
      </c>
      <c r="U1592" t="s">
        <v>4261</v>
      </c>
      <c r="V1592" t="s">
        <v>4262</v>
      </c>
      <c r="W1592">
        <v>1.1000000000000001</v>
      </c>
    </row>
    <row r="1593" spans="1:23">
      <c r="A1593" t="str">
        <f>"600023"</f>
        <v>600023</v>
      </c>
      <c r="B1593" t="s">
        <v>4263</v>
      </c>
      <c r="C1593">
        <v>5.56</v>
      </c>
      <c r="D1593">
        <v>5.56</v>
      </c>
      <c r="E1593">
        <v>5.42</v>
      </c>
      <c r="F1593">
        <v>5.45</v>
      </c>
      <c r="G1593">
        <v>372005</v>
      </c>
      <c r="H1593">
        <v>203540896</v>
      </c>
      <c r="I1593">
        <v>0.85</v>
      </c>
      <c r="J1593" t="s">
        <v>87</v>
      </c>
      <c r="K1593" t="s">
        <v>229</v>
      </c>
      <c r="L1593">
        <v>-1.98</v>
      </c>
      <c r="M1593">
        <v>5.47</v>
      </c>
      <c r="N1593">
        <v>221711</v>
      </c>
      <c r="O1593">
        <v>150293</v>
      </c>
      <c r="P1593">
        <v>1.48</v>
      </c>
      <c r="Q1593">
        <v>3984</v>
      </c>
      <c r="R1593">
        <v>613</v>
      </c>
      <c r="S1593" t="s">
        <v>3</v>
      </c>
      <c r="T1593">
        <v>79063.02</v>
      </c>
      <c r="U1593" t="s">
        <v>4264</v>
      </c>
      <c r="V1593" t="s">
        <v>4265</v>
      </c>
      <c r="W1593">
        <v>-1.98</v>
      </c>
    </row>
    <row r="1594" spans="1:23">
      <c r="A1594" t="str">
        <f>"600026"</f>
        <v>600026</v>
      </c>
      <c r="B1594" t="s">
        <v>4266</v>
      </c>
      <c r="C1594">
        <v>5.65</v>
      </c>
      <c r="D1594">
        <v>5.77</v>
      </c>
      <c r="E1594">
        <v>5.62</v>
      </c>
      <c r="F1594">
        <v>5.66</v>
      </c>
      <c r="G1594">
        <v>87336</v>
      </c>
      <c r="H1594">
        <v>49708052</v>
      </c>
      <c r="I1594">
        <v>0.69</v>
      </c>
      <c r="J1594" t="s">
        <v>2226</v>
      </c>
      <c r="K1594" t="s">
        <v>727</v>
      </c>
      <c r="L1594">
        <v>0.53</v>
      </c>
      <c r="M1594">
        <v>5.69</v>
      </c>
      <c r="N1594">
        <v>43507</v>
      </c>
      <c r="O1594">
        <v>43829</v>
      </c>
      <c r="P1594">
        <v>0.99</v>
      </c>
      <c r="Q1594">
        <v>373</v>
      </c>
      <c r="R1594">
        <v>270</v>
      </c>
      <c r="S1594" t="s">
        <v>3</v>
      </c>
      <c r="T1594">
        <v>210855.63</v>
      </c>
      <c r="U1594" t="s">
        <v>4267</v>
      </c>
      <c r="V1594" t="s">
        <v>4267</v>
      </c>
      <c r="W1594">
        <v>0.53</v>
      </c>
    </row>
    <row r="1595" spans="1:23">
      <c r="A1595" t="str">
        <f>"600027"</f>
        <v>600027</v>
      </c>
      <c r="B1595" t="s">
        <v>4268</v>
      </c>
      <c r="C1595">
        <v>3.9</v>
      </c>
      <c r="D1595">
        <v>3.94</v>
      </c>
      <c r="E1595">
        <v>3.89</v>
      </c>
      <c r="F1595">
        <v>3.91</v>
      </c>
      <c r="G1595">
        <v>334942</v>
      </c>
      <c r="H1595">
        <v>131381888</v>
      </c>
      <c r="I1595">
        <v>0.6</v>
      </c>
      <c r="J1595" t="s">
        <v>87</v>
      </c>
      <c r="K1595" t="s">
        <v>250</v>
      </c>
      <c r="L1595">
        <v>0.51</v>
      </c>
      <c r="M1595">
        <v>3.92</v>
      </c>
      <c r="N1595">
        <v>132221</v>
      </c>
      <c r="O1595">
        <v>202720</v>
      </c>
      <c r="P1595">
        <v>0.65</v>
      </c>
      <c r="Q1595">
        <v>571</v>
      </c>
      <c r="R1595">
        <v>4909</v>
      </c>
      <c r="S1595" t="s">
        <v>3</v>
      </c>
      <c r="T1595">
        <v>588005.63</v>
      </c>
      <c r="U1595" t="s">
        <v>4269</v>
      </c>
      <c r="V1595" t="s">
        <v>4270</v>
      </c>
      <c r="W1595">
        <v>0.51</v>
      </c>
    </row>
    <row r="1596" spans="1:23">
      <c r="A1596" t="str">
        <f>"600028"</f>
        <v>600028</v>
      </c>
      <c r="B1596" t="s">
        <v>4271</v>
      </c>
      <c r="C1596">
        <v>5.74</v>
      </c>
      <c r="D1596">
        <v>5.75</v>
      </c>
      <c r="E1596">
        <v>5.67</v>
      </c>
      <c r="F1596">
        <v>5.7</v>
      </c>
      <c r="G1596">
        <v>618805</v>
      </c>
      <c r="H1596">
        <v>353381792</v>
      </c>
      <c r="I1596">
        <v>0.73</v>
      </c>
      <c r="J1596" t="s">
        <v>161</v>
      </c>
      <c r="K1596" t="s">
        <v>34</v>
      </c>
      <c r="L1596">
        <v>-0.7</v>
      </c>
      <c r="M1596">
        <v>5.71</v>
      </c>
      <c r="N1596">
        <v>306722</v>
      </c>
      <c r="O1596">
        <v>312083</v>
      </c>
      <c r="P1596">
        <v>0.98</v>
      </c>
      <c r="Q1596">
        <v>3859</v>
      </c>
      <c r="R1596">
        <v>1481</v>
      </c>
      <c r="S1596" t="s">
        <v>3</v>
      </c>
      <c r="T1596">
        <v>9128210</v>
      </c>
      <c r="U1596" t="s">
        <v>4272</v>
      </c>
      <c r="V1596" t="s">
        <v>4272</v>
      </c>
      <c r="W1596">
        <v>-0.7</v>
      </c>
    </row>
    <row r="1597" spans="1:23">
      <c r="A1597" t="str">
        <f>"600029"</f>
        <v>600029</v>
      </c>
      <c r="B1597" t="s">
        <v>4273</v>
      </c>
      <c r="C1597">
        <v>2.63</v>
      </c>
      <c r="D1597">
        <v>2.7</v>
      </c>
      <c r="E1597">
        <v>2.61</v>
      </c>
      <c r="F1597">
        <v>2.65</v>
      </c>
      <c r="G1597">
        <v>740179</v>
      </c>
      <c r="H1597">
        <v>196281744</v>
      </c>
      <c r="I1597">
        <v>1.56</v>
      </c>
      <c r="J1597" t="s">
        <v>208</v>
      </c>
      <c r="K1597" t="s">
        <v>211</v>
      </c>
      <c r="L1597">
        <v>0.76</v>
      </c>
      <c r="M1597">
        <v>2.65</v>
      </c>
      <c r="N1597">
        <v>365394</v>
      </c>
      <c r="O1597">
        <v>374785</v>
      </c>
      <c r="P1597">
        <v>0.97</v>
      </c>
      <c r="Q1597">
        <v>1574</v>
      </c>
      <c r="R1597">
        <v>5740</v>
      </c>
      <c r="S1597" t="s">
        <v>3</v>
      </c>
      <c r="T1597">
        <v>702265</v>
      </c>
      <c r="U1597" t="s">
        <v>4274</v>
      </c>
      <c r="V1597" t="s">
        <v>4274</v>
      </c>
      <c r="W1597">
        <v>0.76</v>
      </c>
    </row>
    <row r="1598" spans="1:23">
      <c r="A1598" t="str">
        <f>"600030"</f>
        <v>600030</v>
      </c>
      <c r="B1598" t="s">
        <v>4275</v>
      </c>
      <c r="C1598">
        <v>13.64</v>
      </c>
      <c r="D1598">
        <v>13.64</v>
      </c>
      <c r="E1598">
        <v>13.37</v>
      </c>
      <c r="F1598">
        <v>13.43</v>
      </c>
      <c r="G1598">
        <v>1073653</v>
      </c>
      <c r="H1598">
        <v>1445851008</v>
      </c>
      <c r="I1598">
        <v>0.71</v>
      </c>
      <c r="J1598" t="s">
        <v>512</v>
      </c>
      <c r="K1598" t="s">
        <v>2</v>
      </c>
      <c r="L1598">
        <v>-1.47</v>
      </c>
      <c r="M1598">
        <v>13.47</v>
      </c>
      <c r="N1598">
        <v>527810</v>
      </c>
      <c r="O1598">
        <v>545842</v>
      </c>
      <c r="P1598">
        <v>0.97</v>
      </c>
      <c r="Q1598">
        <v>1321</v>
      </c>
      <c r="R1598">
        <v>1728</v>
      </c>
      <c r="S1598" t="s">
        <v>3</v>
      </c>
      <c r="T1598">
        <v>981466.19</v>
      </c>
      <c r="U1598" t="s">
        <v>4276</v>
      </c>
      <c r="V1598" t="s">
        <v>4277</v>
      </c>
      <c r="W1598">
        <v>-1.47</v>
      </c>
    </row>
    <row r="1599" spans="1:23">
      <c r="A1599" t="str">
        <f>"600031"</f>
        <v>600031</v>
      </c>
      <c r="B1599" t="s">
        <v>4278</v>
      </c>
      <c r="C1599">
        <v>5.72</v>
      </c>
      <c r="D1599">
        <v>5.77</v>
      </c>
      <c r="E1599">
        <v>5.66</v>
      </c>
      <c r="F1599">
        <v>5.71</v>
      </c>
      <c r="G1599">
        <v>449384</v>
      </c>
      <c r="H1599">
        <v>256699712</v>
      </c>
      <c r="I1599">
        <v>0.96</v>
      </c>
      <c r="J1599" t="s">
        <v>233</v>
      </c>
      <c r="K1599" t="s">
        <v>234</v>
      </c>
      <c r="L1599">
        <v>-0.7</v>
      </c>
      <c r="M1599">
        <v>5.71</v>
      </c>
      <c r="N1599">
        <v>235837</v>
      </c>
      <c r="O1599">
        <v>213546</v>
      </c>
      <c r="P1599">
        <v>1.1000000000000001</v>
      </c>
      <c r="Q1599">
        <v>6793</v>
      </c>
      <c r="R1599">
        <v>18</v>
      </c>
      <c r="S1599" t="s">
        <v>3</v>
      </c>
      <c r="T1599">
        <v>759370.63</v>
      </c>
      <c r="U1599" t="s">
        <v>4279</v>
      </c>
      <c r="V1599" t="s">
        <v>4280</v>
      </c>
      <c r="W1599">
        <v>-0.7</v>
      </c>
    </row>
    <row r="1600" spans="1:23">
      <c r="A1600" t="str">
        <f>"600033"</f>
        <v>600033</v>
      </c>
      <c r="B1600" t="s">
        <v>4281</v>
      </c>
      <c r="C1600">
        <v>2.4500000000000002</v>
      </c>
      <c r="D1600">
        <v>2.4700000000000002</v>
      </c>
      <c r="E1600">
        <v>2.42</v>
      </c>
      <c r="F1600">
        <v>2.44</v>
      </c>
      <c r="G1600">
        <v>283767</v>
      </c>
      <c r="H1600">
        <v>69162984</v>
      </c>
      <c r="I1600">
        <v>1.17</v>
      </c>
      <c r="J1600" t="s">
        <v>336</v>
      </c>
      <c r="K1600" t="s">
        <v>414</v>
      </c>
      <c r="L1600">
        <v>-0.41</v>
      </c>
      <c r="M1600">
        <v>2.44</v>
      </c>
      <c r="N1600">
        <v>135461</v>
      </c>
      <c r="O1600">
        <v>148306</v>
      </c>
      <c r="P1600">
        <v>0.91</v>
      </c>
      <c r="Q1600">
        <v>25256</v>
      </c>
      <c r="R1600">
        <v>4879</v>
      </c>
      <c r="S1600" t="s">
        <v>3</v>
      </c>
      <c r="T1600">
        <v>274440</v>
      </c>
      <c r="U1600" t="s">
        <v>4282</v>
      </c>
      <c r="V1600" t="s">
        <v>4282</v>
      </c>
      <c r="W1600">
        <v>-0.41</v>
      </c>
    </row>
    <row r="1601" spans="1:23">
      <c r="A1601" t="str">
        <f>"600035"</f>
        <v>600035</v>
      </c>
      <c r="B1601" t="s">
        <v>4283</v>
      </c>
      <c r="C1601">
        <v>2.91</v>
      </c>
      <c r="D1601">
        <v>3</v>
      </c>
      <c r="E1601">
        <v>2.86</v>
      </c>
      <c r="F1601">
        <v>2.93</v>
      </c>
      <c r="G1601">
        <v>259991</v>
      </c>
      <c r="H1601">
        <v>75860552</v>
      </c>
      <c r="I1601">
        <v>0.96</v>
      </c>
      <c r="J1601" t="s">
        <v>336</v>
      </c>
      <c r="K1601" t="s">
        <v>317</v>
      </c>
      <c r="L1601">
        <v>-1.68</v>
      </c>
      <c r="M1601">
        <v>2.92</v>
      </c>
      <c r="N1601">
        <v>136289</v>
      </c>
      <c r="O1601">
        <v>123702</v>
      </c>
      <c r="P1601">
        <v>1.1000000000000001</v>
      </c>
      <c r="Q1601">
        <v>1075</v>
      </c>
      <c r="R1601">
        <v>2924</v>
      </c>
      <c r="S1601" t="s">
        <v>3</v>
      </c>
      <c r="T1601">
        <v>121114.82</v>
      </c>
      <c r="U1601" t="s">
        <v>4284</v>
      </c>
      <c r="V1601" t="s">
        <v>4284</v>
      </c>
      <c r="W1601">
        <v>-1.68</v>
      </c>
    </row>
    <row r="1602" spans="1:23">
      <c r="A1602" t="str">
        <f>"600036"</f>
        <v>600036</v>
      </c>
      <c r="B1602" t="s">
        <v>4285</v>
      </c>
      <c r="C1602">
        <v>10.93</v>
      </c>
      <c r="D1602">
        <v>10.97</v>
      </c>
      <c r="E1602">
        <v>10.79</v>
      </c>
      <c r="F1602">
        <v>10.8</v>
      </c>
      <c r="G1602">
        <v>526756</v>
      </c>
      <c r="H1602">
        <v>571253568</v>
      </c>
      <c r="I1602">
        <v>0.77</v>
      </c>
      <c r="J1602" t="s">
        <v>1</v>
      </c>
      <c r="K1602" t="s">
        <v>2</v>
      </c>
      <c r="L1602">
        <v>-1.19</v>
      </c>
      <c r="M1602">
        <v>10.84</v>
      </c>
      <c r="N1602">
        <v>303862</v>
      </c>
      <c r="O1602">
        <v>222894</v>
      </c>
      <c r="P1602">
        <v>1.36</v>
      </c>
      <c r="Q1602">
        <v>5007</v>
      </c>
      <c r="R1602">
        <v>1016</v>
      </c>
      <c r="S1602" t="s">
        <v>3</v>
      </c>
      <c r="T1602">
        <v>2062894.5</v>
      </c>
      <c r="U1602" t="s">
        <v>4286</v>
      </c>
      <c r="V1602" t="s">
        <v>4286</v>
      </c>
      <c r="W1602">
        <v>-1.19</v>
      </c>
    </row>
    <row r="1603" spans="1:23">
      <c r="A1603" t="str">
        <f>"600037"</f>
        <v>600037</v>
      </c>
      <c r="B1603" t="s">
        <v>4287</v>
      </c>
      <c r="C1603">
        <v>12.69</v>
      </c>
      <c r="D1603">
        <v>13.8</v>
      </c>
      <c r="E1603">
        <v>12.45</v>
      </c>
      <c r="F1603">
        <v>13.57</v>
      </c>
      <c r="G1603">
        <v>330333</v>
      </c>
      <c r="H1603">
        <v>434253504</v>
      </c>
      <c r="I1603">
        <v>1.26</v>
      </c>
      <c r="J1603" t="s">
        <v>228</v>
      </c>
      <c r="K1603" t="s">
        <v>34</v>
      </c>
      <c r="L1603">
        <v>6.93</v>
      </c>
      <c r="M1603">
        <v>13.15</v>
      </c>
      <c r="N1603">
        <v>130434</v>
      </c>
      <c r="O1603">
        <v>199899</v>
      </c>
      <c r="P1603">
        <v>0.65</v>
      </c>
      <c r="Q1603">
        <v>67</v>
      </c>
      <c r="R1603">
        <v>1</v>
      </c>
      <c r="S1603" t="s">
        <v>3</v>
      </c>
      <c r="T1603">
        <v>106038.2</v>
      </c>
      <c r="U1603" t="s">
        <v>4288</v>
      </c>
      <c r="V1603" t="s">
        <v>4288</v>
      </c>
      <c r="W1603">
        <v>6.93</v>
      </c>
    </row>
    <row r="1604" spans="1:23">
      <c r="A1604" t="str">
        <f>"600038"</f>
        <v>600038</v>
      </c>
      <c r="B1604" t="s">
        <v>4289</v>
      </c>
      <c r="C1604">
        <v>33.880000000000003</v>
      </c>
      <c r="D1604">
        <v>35.14</v>
      </c>
      <c r="E1604">
        <v>33.83</v>
      </c>
      <c r="F1604">
        <v>34.29</v>
      </c>
      <c r="G1604">
        <v>75073</v>
      </c>
      <c r="H1604">
        <v>258377872</v>
      </c>
      <c r="I1604">
        <v>0.66</v>
      </c>
      <c r="J1604" t="s">
        <v>892</v>
      </c>
      <c r="K1604" t="s">
        <v>565</v>
      </c>
      <c r="L1604">
        <v>2.42</v>
      </c>
      <c r="M1604">
        <v>34.42</v>
      </c>
      <c r="N1604">
        <v>35940</v>
      </c>
      <c r="O1604">
        <v>39133</v>
      </c>
      <c r="P1604">
        <v>0.92</v>
      </c>
      <c r="Q1604">
        <v>7</v>
      </c>
      <c r="R1604">
        <v>198</v>
      </c>
      <c r="S1604" t="s">
        <v>3</v>
      </c>
      <c r="T1604">
        <v>33735</v>
      </c>
      <c r="U1604" t="s">
        <v>4290</v>
      </c>
      <c r="V1604" t="s">
        <v>4291</v>
      </c>
      <c r="W1604">
        <v>2.42</v>
      </c>
    </row>
    <row r="1605" spans="1:23">
      <c r="A1605" t="str">
        <f>"600039"</f>
        <v>600039</v>
      </c>
      <c r="B1605" t="s">
        <v>4292</v>
      </c>
      <c r="C1605">
        <v>7.2</v>
      </c>
      <c r="D1605">
        <v>7.8</v>
      </c>
      <c r="E1605">
        <v>7.18</v>
      </c>
      <c r="F1605">
        <v>7.78</v>
      </c>
      <c r="G1605">
        <v>462099</v>
      </c>
      <c r="H1605">
        <v>347409120</v>
      </c>
      <c r="I1605">
        <v>1.39</v>
      </c>
      <c r="J1605" t="s">
        <v>33</v>
      </c>
      <c r="K1605" t="s">
        <v>225</v>
      </c>
      <c r="L1605">
        <v>9.1199999999999992</v>
      </c>
      <c r="M1605">
        <v>7.52</v>
      </c>
      <c r="N1605">
        <v>192936</v>
      </c>
      <c r="O1605">
        <v>269162</v>
      </c>
      <c r="P1605">
        <v>0.72</v>
      </c>
      <c r="Q1605">
        <v>9</v>
      </c>
      <c r="R1605">
        <v>3785</v>
      </c>
      <c r="S1605" t="s">
        <v>3</v>
      </c>
      <c r="T1605">
        <v>54720</v>
      </c>
      <c r="U1605" t="s">
        <v>4293</v>
      </c>
      <c r="V1605" t="s">
        <v>4294</v>
      </c>
      <c r="W1605">
        <v>9.11</v>
      </c>
    </row>
    <row r="1606" spans="1:23">
      <c r="A1606" t="str">
        <f>"600048"</f>
        <v>600048</v>
      </c>
      <c r="B1606" t="s">
        <v>4295</v>
      </c>
      <c r="C1606">
        <v>5.93</v>
      </c>
      <c r="D1606">
        <v>5.99</v>
      </c>
      <c r="E1606">
        <v>5.77</v>
      </c>
      <c r="F1606">
        <v>5.8</v>
      </c>
      <c r="G1606">
        <v>1259089</v>
      </c>
      <c r="H1606">
        <v>736342336</v>
      </c>
      <c r="I1606">
        <v>1.2</v>
      </c>
      <c r="J1606" t="s">
        <v>7</v>
      </c>
      <c r="K1606" t="s">
        <v>211</v>
      </c>
      <c r="L1606">
        <v>-2.0299999999999998</v>
      </c>
      <c r="M1606">
        <v>5.85</v>
      </c>
      <c r="N1606">
        <v>567150</v>
      </c>
      <c r="O1606">
        <v>691938</v>
      </c>
      <c r="P1606">
        <v>0.82</v>
      </c>
      <c r="Q1606">
        <v>8876</v>
      </c>
      <c r="R1606">
        <v>13586</v>
      </c>
      <c r="S1606" t="s">
        <v>3</v>
      </c>
      <c r="T1606">
        <v>1070699.1299999999</v>
      </c>
      <c r="U1606" t="s">
        <v>4296</v>
      </c>
      <c r="V1606" t="s">
        <v>4296</v>
      </c>
      <c r="W1606">
        <v>-2.0299999999999998</v>
      </c>
    </row>
    <row r="1607" spans="1:23">
      <c r="A1607" t="str">
        <f>"600050"</f>
        <v>600050</v>
      </c>
      <c r="B1607" t="s">
        <v>4297</v>
      </c>
      <c r="C1607">
        <v>3.6</v>
      </c>
      <c r="D1607">
        <v>3.6</v>
      </c>
      <c r="E1607">
        <v>3.56</v>
      </c>
      <c r="F1607">
        <v>3.57</v>
      </c>
      <c r="G1607">
        <v>616616</v>
      </c>
      <c r="H1607">
        <v>220404176</v>
      </c>
      <c r="I1607">
        <v>0.46</v>
      </c>
      <c r="J1607" t="s">
        <v>1620</v>
      </c>
      <c r="K1607" t="s">
        <v>727</v>
      </c>
      <c r="L1607">
        <v>-0.56000000000000005</v>
      </c>
      <c r="M1607">
        <v>3.57</v>
      </c>
      <c r="N1607">
        <v>308126</v>
      </c>
      <c r="O1607">
        <v>308489</v>
      </c>
      <c r="P1607">
        <v>1</v>
      </c>
      <c r="Q1607">
        <v>11736</v>
      </c>
      <c r="R1607">
        <v>11482</v>
      </c>
      <c r="S1607" t="s">
        <v>3</v>
      </c>
      <c r="T1607">
        <v>2119659.75</v>
      </c>
      <c r="U1607" t="s">
        <v>4298</v>
      </c>
      <c r="V1607" t="s">
        <v>4298</v>
      </c>
      <c r="W1607">
        <v>-0.56000000000000005</v>
      </c>
    </row>
    <row r="1608" spans="1:23">
      <c r="A1608" t="str">
        <f>"600051"</f>
        <v>600051</v>
      </c>
      <c r="B1608" t="s">
        <v>4299</v>
      </c>
      <c r="C1608">
        <v>9.3800000000000008</v>
      </c>
      <c r="D1608">
        <v>9.41</v>
      </c>
      <c r="E1608">
        <v>9.23</v>
      </c>
      <c r="F1608">
        <v>9.33</v>
      </c>
      <c r="G1608">
        <v>75291</v>
      </c>
      <c r="H1608">
        <v>70044440</v>
      </c>
      <c r="I1608">
        <v>0.5</v>
      </c>
      <c r="J1608" t="s">
        <v>26</v>
      </c>
      <c r="K1608" t="s">
        <v>229</v>
      </c>
      <c r="L1608">
        <v>-0.64</v>
      </c>
      <c r="M1608">
        <v>9.3000000000000007</v>
      </c>
      <c r="N1608">
        <v>42908</v>
      </c>
      <c r="O1608">
        <v>32382</v>
      </c>
      <c r="P1608">
        <v>1.33</v>
      </c>
      <c r="Q1608">
        <v>1132</v>
      </c>
      <c r="R1608">
        <v>109</v>
      </c>
      <c r="S1608" t="s">
        <v>3</v>
      </c>
      <c r="T1608">
        <v>30240</v>
      </c>
      <c r="U1608" t="s">
        <v>2863</v>
      </c>
      <c r="V1608" t="s">
        <v>4300</v>
      </c>
      <c r="W1608">
        <v>-0.64</v>
      </c>
    </row>
    <row r="1609" spans="1:23">
      <c r="A1609" t="str">
        <f>"600052"</f>
        <v>600052</v>
      </c>
      <c r="B1609" t="s">
        <v>4301</v>
      </c>
      <c r="C1609">
        <v>5.8</v>
      </c>
      <c r="D1609">
        <v>5.82</v>
      </c>
      <c r="E1609">
        <v>5.64</v>
      </c>
      <c r="F1609">
        <v>5.69</v>
      </c>
      <c r="G1609">
        <v>136812</v>
      </c>
      <c r="H1609">
        <v>77915704</v>
      </c>
      <c r="I1609">
        <v>0.87</v>
      </c>
      <c r="J1609" t="s">
        <v>15</v>
      </c>
      <c r="K1609" t="s">
        <v>229</v>
      </c>
      <c r="L1609">
        <v>-1.39</v>
      </c>
      <c r="M1609">
        <v>5.7</v>
      </c>
      <c r="N1609">
        <v>78485</v>
      </c>
      <c r="O1609">
        <v>58327</v>
      </c>
      <c r="P1609">
        <v>1.35</v>
      </c>
      <c r="Q1609">
        <v>1241</v>
      </c>
      <c r="R1609">
        <v>815</v>
      </c>
      <c r="S1609" t="s">
        <v>3</v>
      </c>
      <c r="T1609">
        <v>87178.9</v>
      </c>
      <c r="U1609" t="s">
        <v>840</v>
      </c>
      <c r="V1609" t="s">
        <v>840</v>
      </c>
      <c r="W1609">
        <v>-1.39</v>
      </c>
    </row>
    <row r="1610" spans="1:23">
      <c r="A1610" t="str">
        <f>"600053"</f>
        <v>600053</v>
      </c>
      <c r="B1610" t="s">
        <v>4302</v>
      </c>
      <c r="C1610">
        <v>9.19</v>
      </c>
      <c r="D1610">
        <v>9.25</v>
      </c>
      <c r="E1610">
        <v>9</v>
      </c>
      <c r="F1610">
        <v>9.11</v>
      </c>
      <c r="G1610">
        <v>24259</v>
      </c>
      <c r="H1610">
        <v>22125242</v>
      </c>
      <c r="I1610">
        <v>0.96</v>
      </c>
      <c r="J1610" t="s">
        <v>15</v>
      </c>
      <c r="K1610" t="s">
        <v>265</v>
      </c>
      <c r="L1610">
        <v>-1.0900000000000001</v>
      </c>
      <c r="M1610">
        <v>9.1199999999999992</v>
      </c>
      <c r="N1610">
        <v>14333</v>
      </c>
      <c r="O1610">
        <v>9925</v>
      </c>
      <c r="P1610">
        <v>1.44</v>
      </c>
      <c r="Q1610">
        <v>26</v>
      </c>
      <c r="R1610">
        <v>158</v>
      </c>
      <c r="S1610" t="s">
        <v>3</v>
      </c>
      <c r="T1610">
        <v>43354.07</v>
      </c>
      <c r="U1610" t="s">
        <v>4303</v>
      </c>
      <c r="V1610" t="s">
        <v>4303</v>
      </c>
      <c r="W1610">
        <v>-1.0900000000000001</v>
      </c>
    </row>
    <row r="1611" spans="1:23">
      <c r="A1611" t="str">
        <f>"600054"</f>
        <v>600054</v>
      </c>
      <c r="B1611" t="s">
        <v>4304</v>
      </c>
      <c r="C1611">
        <v>14.33</v>
      </c>
      <c r="D1611">
        <v>14.36</v>
      </c>
      <c r="E1611">
        <v>14.2</v>
      </c>
      <c r="F1611">
        <v>14.3</v>
      </c>
      <c r="G1611">
        <v>24807</v>
      </c>
      <c r="H1611">
        <v>35452928</v>
      </c>
      <c r="I1611">
        <v>0.46</v>
      </c>
      <c r="J1611" t="s">
        <v>185</v>
      </c>
      <c r="K1611" t="s">
        <v>220</v>
      </c>
      <c r="L1611">
        <v>0.21</v>
      </c>
      <c r="M1611">
        <v>14.29</v>
      </c>
      <c r="N1611">
        <v>12824</v>
      </c>
      <c r="O1611">
        <v>11983</v>
      </c>
      <c r="P1611">
        <v>1.07</v>
      </c>
      <c r="Q1611">
        <v>73</v>
      </c>
      <c r="R1611">
        <v>465</v>
      </c>
      <c r="S1611" t="s">
        <v>3</v>
      </c>
      <c r="T1611">
        <v>11762</v>
      </c>
      <c r="U1611" t="s">
        <v>4305</v>
      </c>
      <c r="V1611" t="s">
        <v>4306</v>
      </c>
      <c r="W1611">
        <v>0.21</v>
      </c>
    </row>
    <row r="1612" spans="1:23">
      <c r="A1612" t="str">
        <f>"600055"</f>
        <v>600055</v>
      </c>
      <c r="B1612" t="s">
        <v>4307</v>
      </c>
      <c r="C1612" t="s">
        <v>3</v>
      </c>
      <c r="D1612" t="s">
        <v>3</v>
      </c>
      <c r="E1612" t="s">
        <v>3</v>
      </c>
      <c r="F1612">
        <v>13.35</v>
      </c>
      <c r="G1612">
        <v>0</v>
      </c>
      <c r="H1612">
        <v>0</v>
      </c>
      <c r="I1612">
        <v>0</v>
      </c>
      <c r="J1612" t="s">
        <v>1971</v>
      </c>
      <c r="K1612" t="s">
        <v>34</v>
      </c>
      <c r="L1612">
        <v>0</v>
      </c>
      <c r="M1612">
        <v>13.35</v>
      </c>
      <c r="N1612">
        <v>0</v>
      </c>
      <c r="O1612">
        <v>0</v>
      </c>
      <c r="P1612" t="s">
        <v>3</v>
      </c>
      <c r="Q1612">
        <v>0</v>
      </c>
      <c r="R1612">
        <v>0</v>
      </c>
      <c r="S1612" t="s">
        <v>3</v>
      </c>
      <c r="T1612">
        <v>21645</v>
      </c>
      <c r="U1612" t="s">
        <v>4308</v>
      </c>
      <c r="V1612" t="s">
        <v>4308</v>
      </c>
      <c r="W1612">
        <v>0</v>
      </c>
    </row>
    <row r="1613" spans="1:23">
      <c r="A1613" t="str">
        <f>"600056"</f>
        <v>600056</v>
      </c>
      <c r="B1613" t="s">
        <v>4309</v>
      </c>
      <c r="C1613">
        <v>12.72</v>
      </c>
      <c r="D1613">
        <v>13.76</v>
      </c>
      <c r="E1613">
        <v>12.72</v>
      </c>
      <c r="F1613">
        <v>13.5</v>
      </c>
      <c r="G1613">
        <v>590064</v>
      </c>
      <c r="H1613">
        <v>785831808</v>
      </c>
      <c r="I1613">
        <v>4.75</v>
      </c>
      <c r="J1613" t="s">
        <v>91</v>
      </c>
      <c r="K1613" t="s">
        <v>34</v>
      </c>
      <c r="L1613">
        <v>7.91</v>
      </c>
      <c r="M1613">
        <v>13.32</v>
      </c>
      <c r="N1613">
        <v>261521</v>
      </c>
      <c r="O1613">
        <v>328543</v>
      </c>
      <c r="P1613">
        <v>0.8</v>
      </c>
      <c r="Q1613">
        <v>319</v>
      </c>
      <c r="R1613">
        <v>14</v>
      </c>
      <c r="S1613" t="s">
        <v>3</v>
      </c>
      <c r="T1613">
        <v>88445.85</v>
      </c>
      <c r="U1613" t="s">
        <v>4310</v>
      </c>
      <c r="V1613" t="s">
        <v>4311</v>
      </c>
      <c r="W1613">
        <v>7.91</v>
      </c>
    </row>
    <row r="1614" spans="1:23">
      <c r="A1614" t="str">
        <f>"600057"</f>
        <v>600057</v>
      </c>
      <c r="B1614" t="s">
        <v>4312</v>
      </c>
      <c r="C1614">
        <v>7.86</v>
      </c>
      <c r="D1614">
        <v>8.59</v>
      </c>
      <c r="E1614">
        <v>7.8</v>
      </c>
      <c r="F1614">
        <v>8.33</v>
      </c>
      <c r="G1614">
        <v>326708</v>
      </c>
      <c r="H1614">
        <v>267707712</v>
      </c>
      <c r="I1614">
        <v>2.37</v>
      </c>
      <c r="J1614" t="s">
        <v>1859</v>
      </c>
      <c r="K1614" t="s">
        <v>414</v>
      </c>
      <c r="L1614">
        <v>5.98</v>
      </c>
      <c r="M1614">
        <v>8.19</v>
      </c>
      <c r="N1614">
        <v>140126</v>
      </c>
      <c r="O1614">
        <v>186582</v>
      </c>
      <c r="P1614">
        <v>0.75</v>
      </c>
      <c r="Q1614">
        <v>10</v>
      </c>
      <c r="R1614">
        <v>7</v>
      </c>
      <c r="S1614" t="s">
        <v>3</v>
      </c>
      <c r="T1614">
        <v>29016.77</v>
      </c>
      <c r="U1614" t="s">
        <v>4313</v>
      </c>
      <c r="V1614" t="s">
        <v>4314</v>
      </c>
      <c r="W1614">
        <v>5.98</v>
      </c>
    </row>
    <row r="1615" spans="1:23">
      <c r="A1615" t="str">
        <f>"600058"</f>
        <v>600058</v>
      </c>
      <c r="B1615" t="s">
        <v>4315</v>
      </c>
      <c r="C1615">
        <v>11.98</v>
      </c>
      <c r="D1615">
        <v>11.99</v>
      </c>
      <c r="E1615">
        <v>11.77</v>
      </c>
      <c r="F1615">
        <v>11.87</v>
      </c>
      <c r="G1615">
        <v>79572</v>
      </c>
      <c r="H1615">
        <v>94478464</v>
      </c>
      <c r="I1615">
        <v>0.9</v>
      </c>
      <c r="J1615" t="s">
        <v>173</v>
      </c>
      <c r="K1615" t="s">
        <v>34</v>
      </c>
      <c r="L1615">
        <v>0</v>
      </c>
      <c r="M1615">
        <v>11.87</v>
      </c>
      <c r="N1615">
        <v>42209</v>
      </c>
      <c r="O1615">
        <v>37362</v>
      </c>
      <c r="P1615">
        <v>1.1299999999999999</v>
      </c>
      <c r="Q1615">
        <v>172</v>
      </c>
      <c r="R1615">
        <v>1161</v>
      </c>
      <c r="S1615" t="s">
        <v>3</v>
      </c>
      <c r="T1615">
        <v>107191.07</v>
      </c>
      <c r="U1615" t="s">
        <v>4316</v>
      </c>
      <c r="V1615" t="s">
        <v>4316</v>
      </c>
      <c r="W1615">
        <v>0</v>
      </c>
    </row>
    <row r="1616" spans="1:23">
      <c r="A1616" t="str">
        <f>"600059"</f>
        <v>600059</v>
      </c>
      <c r="B1616" t="s">
        <v>4317</v>
      </c>
      <c r="C1616">
        <v>8.84</v>
      </c>
      <c r="D1616">
        <v>8.85</v>
      </c>
      <c r="E1616">
        <v>8.7200000000000006</v>
      </c>
      <c r="F1616">
        <v>8.7899999999999991</v>
      </c>
      <c r="G1616">
        <v>147521</v>
      </c>
      <c r="H1616">
        <v>129324912</v>
      </c>
      <c r="I1616">
        <v>0.76</v>
      </c>
      <c r="J1616" t="s">
        <v>495</v>
      </c>
      <c r="K1616" t="s">
        <v>229</v>
      </c>
      <c r="L1616">
        <v>-0.9</v>
      </c>
      <c r="M1616">
        <v>8.77</v>
      </c>
      <c r="N1616">
        <v>78438</v>
      </c>
      <c r="O1616">
        <v>69083</v>
      </c>
      <c r="P1616">
        <v>1.1399999999999999</v>
      </c>
      <c r="Q1616">
        <v>239</v>
      </c>
      <c r="R1616">
        <v>2881</v>
      </c>
      <c r="S1616" t="s">
        <v>3</v>
      </c>
      <c r="T1616">
        <v>80852.399999999994</v>
      </c>
      <c r="U1616" t="s">
        <v>4318</v>
      </c>
      <c r="V1616" t="s">
        <v>4318</v>
      </c>
      <c r="W1616">
        <v>-0.91</v>
      </c>
    </row>
    <row r="1617" spans="1:23">
      <c r="A1617" t="str">
        <f>"600060"</f>
        <v>600060</v>
      </c>
      <c r="B1617" t="s">
        <v>4319</v>
      </c>
      <c r="C1617">
        <v>10.37</v>
      </c>
      <c r="D1617">
        <v>10.43</v>
      </c>
      <c r="E1617">
        <v>10.25</v>
      </c>
      <c r="F1617">
        <v>10.39</v>
      </c>
      <c r="G1617">
        <v>245918</v>
      </c>
      <c r="H1617">
        <v>254365872</v>
      </c>
      <c r="I1617">
        <v>0.94</v>
      </c>
      <c r="J1617" t="s">
        <v>47</v>
      </c>
      <c r="K1617" t="s">
        <v>250</v>
      </c>
      <c r="L1617">
        <v>0.57999999999999996</v>
      </c>
      <c r="M1617">
        <v>10.34</v>
      </c>
      <c r="N1617">
        <v>118755</v>
      </c>
      <c r="O1617">
        <v>127163</v>
      </c>
      <c r="P1617">
        <v>0.93</v>
      </c>
      <c r="Q1617">
        <v>817</v>
      </c>
      <c r="R1617">
        <v>429</v>
      </c>
      <c r="S1617" t="s">
        <v>3</v>
      </c>
      <c r="T1617">
        <v>130848.13</v>
      </c>
      <c r="U1617" t="s">
        <v>4320</v>
      </c>
      <c r="V1617" t="s">
        <v>4320</v>
      </c>
      <c r="W1617">
        <v>0.57999999999999996</v>
      </c>
    </row>
    <row r="1618" spans="1:23">
      <c r="A1618" t="str">
        <f>"600061"</f>
        <v>600061</v>
      </c>
      <c r="B1618" t="s">
        <v>4321</v>
      </c>
      <c r="C1618" t="s">
        <v>3</v>
      </c>
      <c r="D1618" t="s">
        <v>3</v>
      </c>
      <c r="E1618" t="s">
        <v>3</v>
      </c>
      <c r="F1618">
        <v>6.44</v>
      </c>
      <c r="G1618">
        <v>0</v>
      </c>
      <c r="H1618">
        <v>0</v>
      </c>
      <c r="I1618">
        <v>0</v>
      </c>
      <c r="J1618" t="s">
        <v>310</v>
      </c>
      <c r="K1618" t="s">
        <v>727</v>
      </c>
      <c r="L1618">
        <v>0</v>
      </c>
      <c r="M1618">
        <v>6.44</v>
      </c>
      <c r="N1618">
        <v>0</v>
      </c>
      <c r="O1618">
        <v>0</v>
      </c>
      <c r="P1618" t="s">
        <v>3</v>
      </c>
      <c r="Q1618">
        <v>0</v>
      </c>
      <c r="R1618">
        <v>0</v>
      </c>
      <c r="S1618" t="s">
        <v>3</v>
      </c>
      <c r="T1618">
        <v>42908.28</v>
      </c>
      <c r="U1618" t="s">
        <v>545</v>
      </c>
      <c r="V1618" t="s">
        <v>545</v>
      </c>
      <c r="W1618">
        <v>0</v>
      </c>
    </row>
    <row r="1619" spans="1:23">
      <c r="A1619" t="str">
        <f>"600062"</f>
        <v>600062</v>
      </c>
      <c r="B1619" t="s">
        <v>4322</v>
      </c>
      <c r="C1619">
        <v>18.36</v>
      </c>
      <c r="D1619">
        <v>18.399999999999999</v>
      </c>
      <c r="E1619">
        <v>18.16</v>
      </c>
      <c r="F1619">
        <v>18.29</v>
      </c>
      <c r="G1619">
        <v>86343</v>
      </c>
      <c r="H1619">
        <v>157576608</v>
      </c>
      <c r="I1619">
        <v>1.07</v>
      </c>
      <c r="J1619" t="s">
        <v>219</v>
      </c>
      <c r="K1619" t="s">
        <v>34</v>
      </c>
      <c r="L1619">
        <v>-0.05</v>
      </c>
      <c r="M1619">
        <v>18.25</v>
      </c>
      <c r="N1619">
        <v>47040</v>
      </c>
      <c r="O1619">
        <v>39303</v>
      </c>
      <c r="P1619">
        <v>1.2</v>
      </c>
      <c r="Q1619">
        <v>5</v>
      </c>
      <c r="R1619">
        <v>49</v>
      </c>
      <c r="S1619" t="s">
        <v>3</v>
      </c>
      <c r="T1619">
        <v>57169.58</v>
      </c>
      <c r="U1619" t="s">
        <v>4323</v>
      </c>
      <c r="V1619" t="s">
        <v>4323</v>
      </c>
      <c r="W1619">
        <v>-0.06</v>
      </c>
    </row>
    <row r="1620" spans="1:23">
      <c r="A1620" t="str">
        <f>"600063"</f>
        <v>600063</v>
      </c>
      <c r="B1620" t="s">
        <v>4324</v>
      </c>
      <c r="C1620">
        <v>3.15</v>
      </c>
      <c r="D1620">
        <v>3.2</v>
      </c>
      <c r="E1620">
        <v>3.13</v>
      </c>
      <c r="F1620">
        <v>3.19</v>
      </c>
      <c r="G1620">
        <v>336228</v>
      </c>
      <c r="H1620">
        <v>106801888</v>
      </c>
      <c r="I1620">
        <v>1.25</v>
      </c>
      <c r="J1620" t="s">
        <v>310</v>
      </c>
      <c r="K1620" t="s">
        <v>220</v>
      </c>
      <c r="L1620">
        <v>1.27</v>
      </c>
      <c r="M1620">
        <v>3.18</v>
      </c>
      <c r="N1620">
        <v>149520</v>
      </c>
      <c r="O1620">
        <v>186708</v>
      </c>
      <c r="P1620">
        <v>0.8</v>
      </c>
      <c r="Q1620">
        <v>3042</v>
      </c>
      <c r="R1620">
        <v>20810</v>
      </c>
      <c r="S1620" t="s">
        <v>3</v>
      </c>
      <c r="T1620">
        <v>149785.31</v>
      </c>
      <c r="U1620" t="s">
        <v>1665</v>
      </c>
      <c r="V1620" t="s">
        <v>1665</v>
      </c>
      <c r="W1620">
        <v>1.27</v>
      </c>
    </row>
    <row r="1621" spans="1:23">
      <c r="A1621" t="str">
        <f>"600064"</f>
        <v>600064</v>
      </c>
      <c r="B1621" t="s">
        <v>4325</v>
      </c>
      <c r="C1621">
        <v>12.22</v>
      </c>
      <c r="D1621">
        <v>12.36</v>
      </c>
      <c r="E1621">
        <v>12.14</v>
      </c>
      <c r="F1621">
        <v>12.32</v>
      </c>
      <c r="G1621">
        <v>48657</v>
      </c>
      <c r="H1621">
        <v>59673452</v>
      </c>
      <c r="I1621">
        <v>1.05</v>
      </c>
      <c r="J1621" t="s">
        <v>663</v>
      </c>
      <c r="K1621" t="s">
        <v>244</v>
      </c>
      <c r="L1621">
        <v>1.1499999999999999</v>
      </c>
      <c r="M1621">
        <v>12.26</v>
      </c>
      <c r="N1621">
        <v>21909</v>
      </c>
      <c r="O1621">
        <v>26748</v>
      </c>
      <c r="P1621">
        <v>0.82</v>
      </c>
      <c r="Q1621">
        <v>572</v>
      </c>
      <c r="R1621">
        <v>413</v>
      </c>
      <c r="S1621" t="s">
        <v>3</v>
      </c>
      <c r="T1621">
        <v>51621.87</v>
      </c>
      <c r="U1621" t="s">
        <v>4326</v>
      </c>
      <c r="V1621" t="s">
        <v>4326</v>
      </c>
      <c r="W1621">
        <v>1.1499999999999999</v>
      </c>
    </row>
    <row r="1622" spans="1:23">
      <c r="A1622" t="str">
        <f>"600066"</f>
        <v>600066</v>
      </c>
      <c r="B1622" t="s">
        <v>4327</v>
      </c>
      <c r="C1622">
        <v>19.21</v>
      </c>
      <c r="D1622">
        <v>19.61</v>
      </c>
      <c r="E1622">
        <v>19.21</v>
      </c>
      <c r="F1622">
        <v>19.36</v>
      </c>
      <c r="G1622">
        <v>105939</v>
      </c>
      <c r="H1622">
        <v>205935520</v>
      </c>
      <c r="I1622">
        <v>0.79</v>
      </c>
      <c r="J1622" t="s">
        <v>476</v>
      </c>
      <c r="K1622" t="s">
        <v>254</v>
      </c>
      <c r="L1622">
        <v>0.78</v>
      </c>
      <c r="M1622">
        <v>19.440000000000001</v>
      </c>
      <c r="N1622">
        <v>39617</v>
      </c>
      <c r="O1622">
        <v>66321</v>
      </c>
      <c r="P1622">
        <v>0.6</v>
      </c>
      <c r="Q1622">
        <v>200</v>
      </c>
      <c r="R1622">
        <v>17</v>
      </c>
      <c r="S1622" t="s">
        <v>3</v>
      </c>
      <c r="T1622">
        <v>124421.64</v>
      </c>
      <c r="U1622" t="s">
        <v>4328</v>
      </c>
      <c r="V1622" t="s">
        <v>4329</v>
      </c>
      <c r="W1622">
        <v>0.78</v>
      </c>
    </row>
    <row r="1623" spans="1:23">
      <c r="A1623" t="str">
        <f>"600067"</f>
        <v>600067</v>
      </c>
      <c r="B1623" t="s">
        <v>4330</v>
      </c>
      <c r="C1623">
        <v>6.29</v>
      </c>
      <c r="D1623">
        <v>6.3</v>
      </c>
      <c r="E1623">
        <v>6.22</v>
      </c>
      <c r="F1623">
        <v>6.28</v>
      </c>
      <c r="G1623">
        <v>149764</v>
      </c>
      <c r="H1623">
        <v>93569824</v>
      </c>
      <c r="I1623">
        <v>1.03</v>
      </c>
      <c r="J1623" t="s">
        <v>7</v>
      </c>
      <c r="K1623" t="s">
        <v>414</v>
      </c>
      <c r="L1623">
        <v>0.32</v>
      </c>
      <c r="M1623">
        <v>6.25</v>
      </c>
      <c r="N1623">
        <v>87510</v>
      </c>
      <c r="O1623">
        <v>62253</v>
      </c>
      <c r="P1623">
        <v>1.41</v>
      </c>
      <c r="Q1623">
        <v>791</v>
      </c>
      <c r="R1623">
        <v>998</v>
      </c>
      <c r="S1623" t="s">
        <v>3</v>
      </c>
      <c r="T1623">
        <v>119055.79</v>
      </c>
      <c r="U1623" t="s">
        <v>4331</v>
      </c>
      <c r="V1623" t="s">
        <v>4331</v>
      </c>
      <c r="W1623">
        <v>0.32</v>
      </c>
    </row>
    <row r="1624" spans="1:23">
      <c r="A1624" t="str">
        <f>"600068"</f>
        <v>600068</v>
      </c>
      <c r="B1624" t="s">
        <v>4332</v>
      </c>
      <c r="C1624">
        <v>4.3899999999999997</v>
      </c>
      <c r="D1624">
        <v>4.43</v>
      </c>
      <c r="E1624">
        <v>4.32</v>
      </c>
      <c r="F1624">
        <v>4.34</v>
      </c>
      <c r="G1624">
        <v>503053</v>
      </c>
      <c r="H1624">
        <v>219536976</v>
      </c>
      <c r="I1624">
        <v>0.94</v>
      </c>
      <c r="J1624" t="s">
        <v>33</v>
      </c>
      <c r="K1624" t="s">
        <v>317</v>
      </c>
      <c r="L1624">
        <v>-0.69</v>
      </c>
      <c r="M1624">
        <v>4.3600000000000003</v>
      </c>
      <c r="N1624">
        <v>294295</v>
      </c>
      <c r="O1624">
        <v>208757</v>
      </c>
      <c r="P1624">
        <v>1.41</v>
      </c>
      <c r="Q1624">
        <v>1024</v>
      </c>
      <c r="R1624">
        <v>8419</v>
      </c>
      <c r="S1624" t="s">
        <v>3</v>
      </c>
      <c r="T1624">
        <v>348745.91</v>
      </c>
      <c r="U1624" t="s">
        <v>4333</v>
      </c>
      <c r="V1624" t="s">
        <v>4334</v>
      </c>
      <c r="W1624">
        <v>-0.69</v>
      </c>
    </row>
    <row r="1625" spans="1:23">
      <c r="A1625" t="str">
        <f>"600069"</f>
        <v>600069</v>
      </c>
      <c r="B1625" t="s">
        <v>4335</v>
      </c>
      <c r="C1625">
        <v>4.95</v>
      </c>
      <c r="D1625">
        <v>5.04</v>
      </c>
      <c r="E1625">
        <v>4.8600000000000003</v>
      </c>
      <c r="F1625">
        <v>4.93</v>
      </c>
      <c r="G1625">
        <v>284966</v>
      </c>
      <c r="H1625">
        <v>140780176</v>
      </c>
      <c r="I1625">
        <v>0.97</v>
      </c>
      <c r="J1625" t="s">
        <v>343</v>
      </c>
      <c r="K1625" t="s">
        <v>254</v>
      </c>
      <c r="L1625">
        <v>-1.6</v>
      </c>
      <c r="M1625">
        <v>4.9400000000000004</v>
      </c>
      <c r="N1625">
        <v>157716</v>
      </c>
      <c r="O1625">
        <v>127249</v>
      </c>
      <c r="P1625">
        <v>1.24</v>
      </c>
      <c r="Q1625">
        <v>303</v>
      </c>
      <c r="R1625">
        <v>1065</v>
      </c>
      <c r="S1625" t="s">
        <v>3</v>
      </c>
      <c r="T1625">
        <v>82537.399999999994</v>
      </c>
      <c r="U1625" t="s">
        <v>1351</v>
      </c>
      <c r="V1625" t="s">
        <v>1351</v>
      </c>
      <c r="W1625">
        <v>-1.6</v>
      </c>
    </row>
    <row r="1626" spans="1:23">
      <c r="A1626" t="str">
        <f>"600070"</f>
        <v>600070</v>
      </c>
      <c r="B1626" t="s">
        <v>4336</v>
      </c>
      <c r="C1626">
        <v>9.31</v>
      </c>
      <c r="D1626">
        <v>9.98</v>
      </c>
      <c r="E1626">
        <v>9.3000000000000007</v>
      </c>
      <c r="F1626">
        <v>9.59</v>
      </c>
      <c r="G1626">
        <v>111518</v>
      </c>
      <c r="H1626">
        <v>107976816</v>
      </c>
      <c r="I1626">
        <v>1.27</v>
      </c>
      <c r="J1626" t="s">
        <v>55</v>
      </c>
      <c r="K1626" t="s">
        <v>229</v>
      </c>
      <c r="L1626">
        <v>2.46</v>
      </c>
      <c r="M1626">
        <v>9.68</v>
      </c>
      <c r="N1626">
        <v>57741</v>
      </c>
      <c r="O1626">
        <v>53777</v>
      </c>
      <c r="P1626">
        <v>1.07</v>
      </c>
      <c r="Q1626">
        <v>456</v>
      </c>
      <c r="R1626">
        <v>249</v>
      </c>
      <c r="S1626" t="s">
        <v>3</v>
      </c>
      <c r="T1626">
        <v>27431.759999999998</v>
      </c>
      <c r="U1626" t="s">
        <v>4337</v>
      </c>
      <c r="V1626" t="s">
        <v>4337</v>
      </c>
      <c r="W1626">
        <v>2.4500000000000002</v>
      </c>
    </row>
    <row r="1627" spans="1:23">
      <c r="A1627" t="str">
        <f>"600071"</f>
        <v>600071</v>
      </c>
      <c r="B1627" t="s">
        <v>4338</v>
      </c>
      <c r="C1627">
        <v>15.4</v>
      </c>
      <c r="D1627">
        <v>15.53</v>
      </c>
      <c r="E1627">
        <v>15.21</v>
      </c>
      <c r="F1627">
        <v>15.38</v>
      </c>
      <c r="G1627">
        <v>51699</v>
      </c>
      <c r="H1627">
        <v>79330064</v>
      </c>
      <c r="I1627">
        <v>0.47</v>
      </c>
      <c r="J1627" t="s">
        <v>51</v>
      </c>
      <c r="K1627" t="s">
        <v>265</v>
      </c>
      <c r="L1627">
        <v>-0.13</v>
      </c>
      <c r="M1627">
        <v>15.34</v>
      </c>
      <c r="N1627">
        <v>27381</v>
      </c>
      <c r="O1627">
        <v>24317</v>
      </c>
      <c r="P1627">
        <v>1.1299999999999999</v>
      </c>
      <c r="Q1627">
        <v>81</v>
      </c>
      <c r="R1627">
        <v>363</v>
      </c>
      <c r="S1627" t="s">
        <v>3</v>
      </c>
      <c r="T1627">
        <v>23747.25</v>
      </c>
      <c r="U1627" t="s">
        <v>4339</v>
      </c>
      <c r="V1627" t="s">
        <v>4339</v>
      </c>
      <c r="W1627">
        <v>-0.13</v>
      </c>
    </row>
    <row r="1628" spans="1:23">
      <c r="A1628" t="str">
        <f>"600072"</f>
        <v>600072</v>
      </c>
      <c r="B1628" t="s">
        <v>4340</v>
      </c>
      <c r="C1628">
        <v>11.99</v>
      </c>
      <c r="D1628">
        <v>12.22</v>
      </c>
      <c r="E1628">
        <v>11.81</v>
      </c>
      <c r="F1628">
        <v>12.17</v>
      </c>
      <c r="G1628">
        <v>57220</v>
      </c>
      <c r="H1628">
        <v>69066784</v>
      </c>
      <c r="I1628">
        <v>0.81</v>
      </c>
      <c r="J1628" t="s">
        <v>2960</v>
      </c>
      <c r="K1628" t="s">
        <v>727</v>
      </c>
      <c r="L1628">
        <v>1.76</v>
      </c>
      <c r="M1628">
        <v>12.07</v>
      </c>
      <c r="N1628">
        <v>29167</v>
      </c>
      <c r="O1628">
        <v>28052</v>
      </c>
      <c r="P1628">
        <v>1.04</v>
      </c>
      <c r="Q1628">
        <v>78</v>
      </c>
      <c r="R1628">
        <v>126</v>
      </c>
      <c r="S1628" t="s">
        <v>3</v>
      </c>
      <c r="T1628">
        <v>47842.96</v>
      </c>
      <c r="U1628" t="s">
        <v>4341</v>
      </c>
      <c r="V1628" t="s">
        <v>4341</v>
      </c>
      <c r="W1628">
        <v>1.75</v>
      </c>
    </row>
    <row r="1629" spans="1:23">
      <c r="A1629" t="str">
        <f>"600073"</f>
        <v>600073</v>
      </c>
      <c r="B1629" t="s">
        <v>4342</v>
      </c>
      <c r="C1629">
        <v>8.92</v>
      </c>
      <c r="D1629">
        <v>9</v>
      </c>
      <c r="E1629">
        <v>8.75</v>
      </c>
      <c r="F1629">
        <v>8.86</v>
      </c>
      <c r="G1629">
        <v>263913</v>
      </c>
      <c r="H1629">
        <v>234772560</v>
      </c>
      <c r="I1629">
        <v>1.03</v>
      </c>
      <c r="J1629" t="s">
        <v>421</v>
      </c>
      <c r="K1629" t="s">
        <v>727</v>
      </c>
      <c r="L1629">
        <v>0.56999999999999995</v>
      </c>
      <c r="M1629">
        <v>8.9</v>
      </c>
      <c r="N1629">
        <v>154012</v>
      </c>
      <c r="O1629">
        <v>109901</v>
      </c>
      <c r="P1629">
        <v>1.4</v>
      </c>
      <c r="Q1629">
        <v>77</v>
      </c>
      <c r="R1629">
        <v>980</v>
      </c>
      <c r="S1629" t="s">
        <v>3</v>
      </c>
      <c r="T1629">
        <v>77580</v>
      </c>
      <c r="U1629" t="s">
        <v>1235</v>
      </c>
      <c r="V1629" t="s">
        <v>1446</v>
      </c>
      <c r="W1629">
        <v>0.56000000000000005</v>
      </c>
    </row>
    <row r="1630" spans="1:23">
      <c r="A1630" t="str">
        <f>"600074"</f>
        <v>600074</v>
      </c>
      <c r="B1630" t="s">
        <v>4343</v>
      </c>
      <c r="C1630">
        <v>6.55</v>
      </c>
      <c r="D1630">
        <v>6.99</v>
      </c>
      <c r="E1630">
        <v>6.5</v>
      </c>
      <c r="F1630">
        <v>6.76</v>
      </c>
      <c r="G1630">
        <v>752489</v>
      </c>
      <c r="H1630">
        <v>510675488</v>
      </c>
      <c r="I1630">
        <v>1.99</v>
      </c>
      <c r="J1630" t="s">
        <v>273</v>
      </c>
      <c r="K1630" t="s">
        <v>244</v>
      </c>
      <c r="L1630">
        <v>2.11</v>
      </c>
      <c r="M1630">
        <v>6.79</v>
      </c>
      <c r="N1630">
        <v>396194</v>
      </c>
      <c r="O1630">
        <v>356294</v>
      </c>
      <c r="P1630">
        <v>1.1100000000000001</v>
      </c>
      <c r="Q1630">
        <v>70</v>
      </c>
      <c r="R1630">
        <v>1315</v>
      </c>
      <c r="S1630" t="s">
        <v>3</v>
      </c>
      <c r="T1630">
        <v>89598.13</v>
      </c>
      <c r="U1630" t="s">
        <v>2656</v>
      </c>
      <c r="V1630" t="s">
        <v>2656</v>
      </c>
      <c r="W1630">
        <v>2.11</v>
      </c>
    </row>
    <row r="1631" spans="1:23">
      <c r="A1631" t="str">
        <f>"600075"</f>
        <v>600075</v>
      </c>
      <c r="B1631" t="s">
        <v>4344</v>
      </c>
      <c r="C1631">
        <v>6.18</v>
      </c>
      <c r="D1631">
        <v>6.23</v>
      </c>
      <c r="E1631">
        <v>6.12</v>
      </c>
      <c r="F1631">
        <v>6.21</v>
      </c>
      <c r="G1631">
        <v>38937</v>
      </c>
      <c r="H1631">
        <v>24072922</v>
      </c>
      <c r="I1631">
        <v>0.97</v>
      </c>
      <c r="J1631" t="s">
        <v>376</v>
      </c>
      <c r="K1631" t="s">
        <v>241</v>
      </c>
      <c r="L1631">
        <v>0.65</v>
      </c>
      <c r="M1631">
        <v>6.18</v>
      </c>
      <c r="N1631">
        <v>19393</v>
      </c>
      <c r="O1631">
        <v>19544</v>
      </c>
      <c r="P1631">
        <v>0.99</v>
      </c>
      <c r="Q1631">
        <v>202</v>
      </c>
      <c r="R1631">
        <v>137</v>
      </c>
      <c r="S1631" t="s">
        <v>3</v>
      </c>
      <c r="T1631">
        <v>43859.19</v>
      </c>
      <c r="U1631" t="s">
        <v>4345</v>
      </c>
      <c r="V1631" t="s">
        <v>4345</v>
      </c>
      <c r="W1631">
        <v>0.64</v>
      </c>
    </row>
    <row r="1632" spans="1:23">
      <c r="A1632" t="str">
        <f>"600076"</f>
        <v>600076</v>
      </c>
      <c r="B1632" t="s">
        <v>4346</v>
      </c>
      <c r="C1632">
        <v>6.12</v>
      </c>
      <c r="D1632">
        <v>6.39</v>
      </c>
      <c r="E1632">
        <v>6.06</v>
      </c>
      <c r="F1632">
        <v>6.36</v>
      </c>
      <c r="G1632">
        <v>155913</v>
      </c>
      <c r="H1632">
        <v>96940320</v>
      </c>
      <c r="I1632">
        <v>1.1599999999999999</v>
      </c>
      <c r="J1632" t="s">
        <v>112</v>
      </c>
      <c r="K1632" t="s">
        <v>250</v>
      </c>
      <c r="L1632">
        <v>3.58</v>
      </c>
      <c r="M1632">
        <v>6.22</v>
      </c>
      <c r="N1632">
        <v>60313</v>
      </c>
      <c r="O1632">
        <v>95600</v>
      </c>
      <c r="P1632">
        <v>0.63</v>
      </c>
      <c r="Q1632">
        <v>20</v>
      </c>
      <c r="R1632">
        <v>773</v>
      </c>
      <c r="S1632" t="s">
        <v>3</v>
      </c>
      <c r="T1632">
        <v>36553.599999999999</v>
      </c>
      <c r="U1632" t="s">
        <v>830</v>
      </c>
      <c r="V1632" t="s">
        <v>830</v>
      </c>
      <c r="W1632">
        <v>3.58</v>
      </c>
    </row>
    <row r="1633" spans="1:23">
      <c r="A1633" t="str">
        <f>"600077"</f>
        <v>600077</v>
      </c>
      <c r="B1633" t="s">
        <v>4347</v>
      </c>
      <c r="C1633">
        <v>4.88</v>
      </c>
      <c r="D1633">
        <v>5.12</v>
      </c>
      <c r="E1633">
        <v>4.88</v>
      </c>
      <c r="F1633">
        <v>5.05</v>
      </c>
      <c r="G1633">
        <v>187323</v>
      </c>
      <c r="H1633">
        <v>94265792</v>
      </c>
      <c r="I1633">
        <v>1.24</v>
      </c>
      <c r="J1633" t="s">
        <v>7</v>
      </c>
      <c r="K1633" t="s">
        <v>229</v>
      </c>
      <c r="L1633">
        <v>3.48</v>
      </c>
      <c r="M1633">
        <v>5.03</v>
      </c>
      <c r="N1633">
        <v>87913</v>
      </c>
      <c r="O1633">
        <v>99409</v>
      </c>
      <c r="P1633">
        <v>0.88</v>
      </c>
      <c r="Q1633">
        <v>734</v>
      </c>
      <c r="R1633">
        <v>640</v>
      </c>
      <c r="S1633" t="s">
        <v>3</v>
      </c>
      <c r="T1633">
        <v>48662.94</v>
      </c>
      <c r="U1633" t="s">
        <v>4348</v>
      </c>
      <c r="V1633" t="s">
        <v>4349</v>
      </c>
      <c r="W1633">
        <v>3.48</v>
      </c>
    </row>
    <row r="1634" spans="1:23">
      <c r="A1634" t="str">
        <f>"600078"</f>
        <v>600078</v>
      </c>
      <c r="B1634" t="s">
        <v>4350</v>
      </c>
      <c r="C1634">
        <v>6.73</v>
      </c>
      <c r="D1634">
        <v>6.83</v>
      </c>
      <c r="E1634">
        <v>6.69</v>
      </c>
      <c r="F1634">
        <v>6.76</v>
      </c>
      <c r="G1634">
        <v>99862</v>
      </c>
      <c r="H1634">
        <v>67466352</v>
      </c>
      <c r="I1634">
        <v>0.49</v>
      </c>
      <c r="J1634" t="s">
        <v>376</v>
      </c>
      <c r="K1634" t="s">
        <v>244</v>
      </c>
      <c r="L1634">
        <v>0.45</v>
      </c>
      <c r="M1634">
        <v>6.76</v>
      </c>
      <c r="N1634">
        <v>54891</v>
      </c>
      <c r="O1634">
        <v>44970</v>
      </c>
      <c r="P1634">
        <v>1.22</v>
      </c>
      <c r="Q1634">
        <v>9</v>
      </c>
      <c r="R1634">
        <v>667</v>
      </c>
      <c r="S1634" t="s">
        <v>3</v>
      </c>
      <c r="T1634">
        <v>66257.279999999999</v>
      </c>
      <c r="U1634" t="s">
        <v>4351</v>
      </c>
      <c r="V1634" t="s">
        <v>4351</v>
      </c>
      <c r="W1634">
        <v>0.44</v>
      </c>
    </row>
    <row r="1635" spans="1:23">
      <c r="A1635" t="str">
        <f>"600079"</f>
        <v>600079</v>
      </c>
      <c r="B1635" t="s">
        <v>4352</v>
      </c>
      <c r="C1635">
        <v>27.65</v>
      </c>
      <c r="D1635">
        <v>28.12</v>
      </c>
      <c r="E1635">
        <v>27.52</v>
      </c>
      <c r="F1635">
        <v>28</v>
      </c>
      <c r="G1635">
        <v>109371</v>
      </c>
      <c r="H1635">
        <v>304949056</v>
      </c>
      <c r="I1635">
        <v>1.21</v>
      </c>
      <c r="J1635" t="s">
        <v>219</v>
      </c>
      <c r="K1635" t="s">
        <v>317</v>
      </c>
      <c r="L1635">
        <v>1.52</v>
      </c>
      <c r="M1635">
        <v>27.88</v>
      </c>
      <c r="N1635">
        <v>51930</v>
      </c>
      <c r="O1635">
        <v>57441</v>
      </c>
      <c r="P1635">
        <v>0.9</v>
      </c>
      <c r="Q1635">
        <v>68</v>
      </c>
      <c r="R1635">
        <v>65</v>
      </c>
      <c r="S1635" t="s">
        <v>3</v>
      </c>
      <c r="T1635">
        <v>50592.05</v>
      </c>
      <c r="U1635" t="s">
        <v>4353</v>
      </c>
      <c r="V1635" t="s">
        <v>4354</v>
      </c>
      <c r="W1635">
        <v>1.52</v>
      </c>
    </row>
    <row r="1636" spans="1:23">
      <c r="A1636" t="str">
        <f>"600080"</f>
        <v>600080</v>
      </c>
      <c r="B1636" t="s">
        <v>4355</v>
      </c>
      <c r="C1636" t="s">
        <v>3</v>
      </c>
      <c r="D1636" t="s">
        <v>3</v>
      </c>
      <c r="E1636" t="s">
        <v>3</v>
      </c>
      <c r="F1636">
        <v>13.33</v>
      </c>
      <c r="G1636">
        <v>0</v>
      </c>
      <c r="H1636">
        <v>0</v>
      </c>
      <c r="I1636">
        <v>0</v>
      </c>
      <c r="J1636" t="s">
        <v>321</v>
      </c>
      <c r="K1636" t="s">
        <v>389</v>
      </c>
      <c r="L1636">
        <v>0</v>
      </c>
      <c r="M1636">
        <v>13.33</v>
      </c>
      <c r="N1636">
        <v>0</v>
      </c>
      <c r="O1636">
        <v>0</v>
      </c>
      <c r="P1636" t="s">
        <v>3</v>
      </c>
      <c r="Q1636">
        <v>0</v>
      </c>
      <c r="R1636">
        <v>0</v>
      </c>
      <c r="S1636" t="s">
        <v>3</v>
      </c>
      <c r="T1636">
        <v>30529.58</v>
      </c>
      <c r="U1636" t="s">
        <v>4356</v>
      </c>
      <c r="V1636" t="s">
        <v>4356</v>
      </c>
      <c r="W1636">
        <v>0</v>
      </c>
    </row>
    <row r="1637" spans="1:23">
      <c r="A1637" t="str">
        <f>"600081"</f>
        <v>600081</v>
      </c>
      <c r="B1637" t="s">
        <v>4357</v>
      </c>
      <c r="C1637">
        <v>13.88</v>
      </c>
      <c r="D1637">
        <v>13.89</v>
      </c>
      <c r="E1637">
        <v>13.66</v>
      </c>
      <c r="F1637">
        <v>13.78</v>
      </c>
      <c r="G1637">
        <v>31835</v>
      </c>
      <c r="H1637">
        <v>43781032</v>
      </c>
      <c r="I1637">
        <v>0.7</v>
      </c>
      <c r="J1637" t="s">
        <v>98</v>
      </c>
      <c r="K1637" t="s">
        <v>727</v>
      </c>
      <c r="L1637">
        <v>-0.93</v>
      </c>
      <c r="M1637">
        <v>13.75</v>
      </c>
      <c r="N1637">
        <v>18802</v>
      </c>
      <c r="O1637">
        <v>13033</v>
      </c>
      <c r="P1637">
        <v>1.44</v>
      </c>
      <c r="Q1637">
        <v>114</v>
      </c>
      <c r="R1637">
        <v>212</v>
      </c>
      <c r="S1637" t="s">
        <v>3</v>
      </c>
      <c r="T1637">
        <v>31356</v>
      </c>
      <c r="U1637" t="s">
        <v>2976</v>
      </c>
      <c r="V1637" t="s">
        <v>2976</v>
      </c>
      <c r="W1637">
        <v>-0.94</v>
      </c>
    </row>
    <row r="1638" spans="1:23">
      <c r="A1638" t="str">
        <f>"600082"</f>
        <v>600082</v>
      </c>
      <c r="B1638" t="s">
        <v>4358</v>
      </c>
      <c r="C1638">
        <v>5.33</v>
      </c>
      <c r="D1638">
        <v>5.42</v>
      </c>
      <c r="E1638">
        <v>5.26</v>
      </c>
      <c r="F1638">
        <v>5.36</v>
      </c>
      <c r="G1638">
        <v>183003</v>
      </c>
      <c r="H1638">
        <v>97447664</v>
      </c>
      <c r="I1638">
        <v>0.93</v>
      </c>
      <c r="J1638" t="s">
        <v>663</v>
      </c>
      <c r="K1638" t="s">
        <v>442</v>
      </c>
      <c r="L1638">
        <v>1.71</v>
      </c>
      <c r="M1638">
        <v>5.32</v>
      </c>
      <c r="N1638">
        <v>91482</v>
      </c>
      <c r="O1638">
        <v>91521</v>
      </c>
      <c r="P1638">
        <v>1</v>
      </c>
      <c r="Q1638">
        <v>749</v>
      </c>
      <c r="R1638">
        <v>816</v>
      </c>
      <c r="S1638" t="s">
        <v>3</v>
      </c>
      <c r="T1638">
        <v>62998.89</v>
      </c>
      <c r="U1638" t="s">
        <v>4359</v>
      </c>
      <c r="V1638" t="s">
        <v>4360</v>
      </c>
      <c r="W1638">
        <v>1.7</v>
      </c>
    </row>
    <row r="1639" spans="1:23">
      <c r="A1639" t="str">
        <f>"600083"</f>
        <v>600083</v>
      </c>
      <c r="B1639" t="s">
        <v>4361</v>
      </c>
      <c r="C1639">
        <v>8.89</v>
      </c>
      <c r="D1639">
        <v>9.1999999999999993</v>
      </c>
      <c r="E1639">
        <v>8.8000000000000007</v>
      </c>
      <c r="F1639">
        <v>9.1199999999999992</v>
      </c>
      <c r="G1639">
        <v>39387</v>
      </c>
      <c r="H1639">
        <v>35645120</v>
      </c>
      <c r="I1639">
        <v>1.1100000000000001</v>
      </c>
      <c r="J1639" t="s">
        <v>62</v>
      </c>
      <c r="K1639" t="s">
        <v>211</v>
      </c>
      <c r="L1639">
        <v>2.36</v>
      </c>
      <c r="M1639">
        <v>9.0500000000000007</v>
      </c>
      <c r="N1639">
        <v>15637</v>
      </c>
      <c r="O1639">
        <v>23750</v>
      </c>
      <c r="P1639">
        <v>0.66</v>
      </c>
      <c r="Q1639">
        <v>77</v>
      </c>
      <c r="R1639">
        <v>7</v>
      </c>
      <c r="S1639" t="s">
        <v>3</v>
      </c>
      <c r="T1639">
        <v>22598.080000000002</v>
      </c>
      <c r="U1639" t="s">
        <v>4362</v>
      </c>
      <c r="V1639" t="s">
        <v>4363</v>
      </c>
      <c r="W1639">
        <v>2.35</v>
      </c>
    </row>
    <row r="1640" spans="1:23">
      <c r="A1640" t="str">
        <f>"600084"</f>
        <v>600084</v>
      </c>
      <c r="B1640" t="s">
        <v>4364</v>
      </c>
      <c r="C1640">
        <v>5</v>
      </c>
      <c r="D1640">
        <v>5.03</v>
      </c>
      <c r="E1640">
        <v>4.95</v>
      </c>
      <c r="F1640">
        <v>4.99</v>
      </c>
      <c r="G1640">
        <v>74742</v>
      </c>
      <c r="H1640">
        <v>37249224</v>
      </c>
      <c r="I1640">
        <v>0.67</v>
      </c>
      <c r="J1640" t="s">
        <v>495</v>
      </c>
      <c r="K1640" t="s">
        <v>241</v>
      </c>
      <c r="L1640">
        <v>-0.2</v>
      </c>
      <c r="M1640">
        <v>4.9800000000000004</v>
      </c>
      <c r="N1640">
        <v>44187</v>
      </c>
      <c r="O1640">
        <v>30554</v>
      </c>
      <c r="P1640">
        <v>1.45</v>
      </c>
      <c r="Q1640">
        <v>3131</v>
      </c>
      <c r="R1640">
        <v>469</v>
      </c>
      <c r="S1640" t="s">
        <v>3</v>
      </c>
      <c r="T1640">
        <v>80991.92</v>
      </c>
      <c r="U1640" t="s">
        <v>2191</v>
      </c>
      <c r="V1640" t="s">
        <v>2191</v>
      </c>
      <c r="W1640">
        <v>-0.2</v>
      </c>
    </row>
    <row r="1641" spans="1:23">
      <c r="A1641" t="str">
        <f>"600085"</f>
        <v>600085</v>
      </c>
      <c r="B1641" t="s">
        <v>4365</v>
      </c>
      <c r="C1641">
        <v>19.16</v>
      </c>
      <c r="D1641">
        <v>19.170000000000002</v>
      </c>
      <c r="E1641">
        <v>18.88</v>
      </c>
      <c r="F1641">
        <v>19.02</v>
      </c>
      <c r="G1641">
        <v>77926</v>
      </c>
      <c r="H1641">
        <v>147894944</v>
      </c>
      <c r="I1641">
        <v>0.97</v>
      </c>
      <c r="J1641" t="s">
        <v>321</v>
      </c>
      <c r="K1641" t="s">
        <v>34</v>
      </c>
      <c r="L1641">
        <v>-0.57999999999999996</v>
      </c>
      <c r="M1641">
        <v>18.98</v>
      </c>
      <c r="N1641">
        <v>44468</v>
      </c>
      <c r="O1641">
        <v>33457</v>
      </c>
      <c r="P1641">
        <v>1.33</v>
      </c>
      <c r="Q1641">
        <v>2</v>
      </c>
      <c r="R1641">
        <v>129</v>
      </c>
      <c r="S1641" t="s">
        <v>3</v>
      </c>
      <c r="T1641">
        <v>131113.76999999999</v>
      </c>
      <c r="U1641" t="s">
        <v>4366</v>
      </c>
      <c r="V1641" t="s">
        <v>4366</v>
      </c>
      <c r="W1641">
        <v>-0.57999999999999996</v>
      </c>
    </row>
    <row r="1642" spans="1:23">
      <c r="A1642" t="str">
        <f>"600086"</f>
        <v>600086</v>
      </c>
      <c r="B1642" t="s">
        <v>4367</v>
      </c>
      <c r="C1642">
        <v>20.71</v>
      </c>
      <c r="D1642">
        <v>21.49</v>
      </c>
      <c r="E1642">
        <v>20.71</v>
      </c>
      <c r="F1642">
        <v>21.23</v>
      </c>
      <c r="G1642">
        <v>55221</v>
      </c>
      <c r="H1642">
        <v>116923536</v>
      </c>
      <c r="I1642">
        <v>1.0900000000000001</v>
      </c>
      <c r="J1642" t="s">
        <v>1373</v>
      </c>
      <c r="K1642" t="s">
        <v>317</v>
      </c>
      <c r="L1642">
        <v>2.66</v>
      </c>
      <c r="M1642">
        <v>21.17</v>
      </c>
      <c r="N1642">
        <v>23884</v>
      </c>
      <c r="O1642">
        <v>31336</v>
      </c>
      <c r="P1642">
        <v>0.76</v>
      </c>
      <c r="Q1642">
        <v>82</v>
      </c>
      <c r="R1642">
        <v>118</v>
      </c>
      <c r="S1642" t="s">
        <v>3</v>
      </c>
      <c r="T1642">
        <v>35228.17</v>
      </c>
      <c r="U1642" t="s">
        <v>4368</v>
      </c>
      <c r="V1642" t="s">
        <v>4368</v>
      </c>
      <c r="W1642">
        <v>2.66</v>
      </c>
    </row>
    <row r="1643" spans="1:23">
      <c r="A1643" t="str">
        <f>"600088"</f>
        <v>600088</v>
      </c>
      <c r="B1643" t="s">
        <v>4369</v>
      </c>
      <c r="C1643">
        <v>20.3</v>
      </c>
      <c r="D1643">
        <v>20.9</v>
      </c>
      <c r="E1643">
        <v>19.809999999999999</v>
      </c>
      <c r="F1643">
        <v>20.41</v>
      </c>
      <c r="G1643">
        <v>144938</v>
      </c>
      <c r="H1643">
        <v>295852224</v>
      </c>
      <c r="I1643">
        <v>0.75</v>
      </c>
      <c r="J1643" t="s">
        <v>228</v>
      </c>
      <c r="K1643" t="s">
        <v>727</v>
      </c>
      <c r="L1643">
        <v>2.36</v>
      </c>
      <c r="M1643">
        <v>20.41</v>
      </c>
      <c r="N1643">
        <v>66364</v>
      </c>
      <c r="O1643">
        <v>78573</v>
      </c>
      <c r="P1643">
        <v>0.84</v>
      </c>
      <c r="Q1643">
        <v>146</v>
      </c>
      <c r="R1643">
        <v>88</v>
      </c>
      <c r="S1643" t="s">
        <v>3</v>
      </c>
      <c r="T1643">
        <v>33142.19</v>
      </c>
      <c r="U1643" t="s">
        <v>4135</v>
      </c>
      <c r="V1643" t="s">
        <v>4135</v>
      </c>
      <c r="W1643">
        <v>2.35</v>
      </c>
    </row>
    <row r="1644" spans="1:23">
      <c r="A1644" t="str">
        <f>"600089"</f>
        <v>600089</v>
      </c>
      <c r="B1644" t="s">
        <v>4370</v>
      </c>
      <c r="C1644">
        <v>10</v>
      </c>
      <c r="D1644">
        <v>10.27</v>
      </c>
      <c r="E1644">
        <v>9.86</v>
      </c>
      <c r="F1644">
        <v>10.07</v>
      </c>
      <c r="G1644">
        <v>958828</v>
      </c>
      <c r="H1644">
        <v>964747904</v>
      </c>
      <c r="I1644">
        <v>1.01</v>
      </c>
      <c r="J1644" t="s">
        <v>145</v>
      </c>
      <c r="K1644" t="s">
        <v>241</v>
      </c>
      <c r="L1644">
        <v>1.31</v>
      </c>
      <c r="M1644">
        <v>10.06</v>
      </c>
      <c r="N1644">
        <v>500271</v>
      </c>
      <c r="O1644">
        <v>458556</v>
      </c>
      <c r="P1644">
        <v>1.0900000000000001</v>
      </c>
      <c r="Q1644">
        <v>478</v>
      </c>
      <c r="R1644">
        <v>572</v>
      </c>
      <c r="S1644" t="s">
        <v>3</v>
      </c>
      <c r="T1644">
        <v>316591.31</v>
      </c>
      <c r="U1644" t="s">
        <v>4371</v>
      </c>
      <c r="V1644" t="s">
        <v>4372</v>
      </c>
      <c r="W1644">
        <v>1.3</v>
      </c>
    </row>
    <row r="1645" spans="1:23">
      <c r="A1645" t="str">
        <f>"600090"</f>
        <v>600090</v>
      </c>
      <c r="B1645" t="s">
        <v>4373</v>
      </c>
      <c r="C1645" t="s">
        <v>3</v>
      </c>
      <c r="D1645" t="s">
        <v>3</v>
      </c>
      <c r="E1645" t="s">
        <v>3</v>
      </c>
      <c r="F1645">
        <v>8.1300000000000008</v>
      </c>
      <c r="G1645">
        <v>0</v>
      </c>
      <c r="H1645">
        <v>0</v>
      </c>
      <c r="I1645">
        <v>0</v>
      </c>
      <c r="J1645" t="s">
        <v>871</v>
      </c>
      <c r="K1645" t="s">
        <v>241</v>
      </c>
      <c r="L1645">
        <v>0</v>
      </c>
      <c r="M1645">
        <v>8.1300000000000008</v>
      </c>
      <c r="N1645">
        <v>0</v>
      </c>
      <c r="O1645">
        <v>0</v>
      </c>
      <c r="P1645" t="s">
        <v>3</v>
      </c>
      <c r="Q1645">
        <v>0</v>
      </c>
      <c r="R1645">
        <v>0</v>
      </c>
      <c r="S1645" t="s">
        <v>3</v>
      </c>
      <c r="T1645">
        <v>36791.660000000003</v>
      </c>
      <c r="U1645" t="s">
        <v>4374</v>
      </c>
      <c r="V1645" t="s">
        <v>4374</v>
      </c>
      <c r="W1645">
        <v>0</v>
      </c>
    </row>
    <row r="1646" spans="1:23">
      <c r="A1646" t="str">
        <f>"600091"</f>
        <v>600091</v>
      </c>
      <c r="B1646" t="s">
        <v>4375</v>
      </c>
      <c r="C1646" t="s">
        <v>3</v>
      </c>
      <c r="D1646" t="s">
        <v>3</v>
      </c>
      <c r="E1646" t="s">
        <v>3</v>
      </c>
      <c r="F1646">
        <v>7.02</v>
      </c>
      <c r="G1646">
        <v>0</v>
      </c>
      <c r="H1646">
        <v>0</v>
      </c>
      <c r="I1646">
        <v>0</v>
      </c>
      <c r="J1646" t="s">
        <v>376</v>
      </c>
      <c r="K1646" t="s">
        <v>329</v>
      </c>
      <c r="L1646">
        <v>0</v>
      </c>
      <c r="M1646">
        <v>7.02</v>
      </c>
      <c r="N1646">
        <v>0</v>
      </c>
      <c r="O1646">
        <v>0</v>
      </c>
      <c r="P1646" t="s">
        <v>3</v>
      </c>
      <c r="Q1646">
        <v>0</v>
      </c>
      <c r="R1646">
        <v>0</v>
      </c>
      <c r="S1646" t="s">
        <v>3</v>
      </c>
      <c r="T1646">
        <v>33652.6</v>
      </c>
      <c r="U1646" t="s">
        <v>2585</v>
      </c>
      <c r="V1646" t="s">
        <v>2585</v>
      </c>
      <c r="W1646">
        <v>0</v>
      </c>
    </row>
    <row r="1647" spans="1:23">
      <c r="A1647" t="str">
        <f>"600093"</f>
        <v>600093</v>
      </c>
      <c r="B1647" t="s">
        <v>4376</v>
      </c>
      <c r="C1647" t="s">
        <v>3</v>
      </c>
      <c r="D1647" t="s">
        <v>3</v>
      </c>
      <c r="E1647" t="s">
        <v>3</v>
      </c>
      <c r="F1647">
        <v>6.95</v>
      </c>
      <c r="G1647">
        <v>0</v>
      </c>
      <c r="H1647">
        <v>0</v>
      </c>
      <c r="I1647">
        <v>0</v>
      </c>
      <c r="J1647" t="s">
        <v>98</v>
      </c>
      <c r="K1647" t="s">
        <v>225</v>
      </c>
      <c r="L1647">
        <v>0</v>
      </c>
      <c r="M1647">
        <v>6.95</v>
      </c>
      <c r="N1647">
        <v>0</v>
      </c>
      <c r="O1647">
        <v>0</v>
      </c>
      <c r="P1647" t="s">
        <v>3</v>
      </c>
      <c r="Q1647">
        <v>0</v>
      </c>
      <c r="R1647">
        <v>0</v>
      </c>
      <c r="S1647" t="s">
        <v>3</v>
      </c>
      <c r="T1647">
        <v>32244.75</v>
      </c>
      <c r="U1647" t="s">
        <v>2361</v>
      </c>
      <c r="V1647" t="s">
        <v>2361</v>
      </c>
      <c r="W1647">
        <v>0</v>
      </c>
    </row>
    <row r="1648" spans="1:23">
      <c r="A1648" t="str">
        <f>"600094"</f>
        <v>600094</v>
      </c>
      <c r="B1648" t="s">
        <v>4377</v>
      </c>
      <c r="C1648">
        <v>7.69</v>
      </c>
      <c r="D1648">
        <v>7.84</v>
      </c>
      <c r="E1648">
        <v>7.65</v>
      </c>
      <c r="F1648">
        <v>7.82</v>
      </c>
      <c r="G1648">
        <v>36273</v>
      </c>
      <c r="H1648">
        <v>28190908</v>
      </c>
      <c r="I1648">
        <v>1.28</v>
      </c>
      <c r="J1648" t="s">
        <v>15</v>
      </c>
      <c r="K1648" t="s">
        <v>727</v>
      </c>
      <c r="L1648">
        <v>2.2200000000000002</v>
      </c>
      <c r="M1648">
        <v>7.77</v>
      </c>
      <c r="N1648">
        <v>18641</v>
      </c>
      <c r="O1648">
        <v>17631</v>
      </c>
      <c r="P1648">
        <v>1.06</v>
      </c>
      <c r="Q1648">
        <v>209</v>
      </c>
      <c r="R1648">
        <v>72</v>
      </c>
      <c r="S1648" t="s">
        <v>3</v>
      </c>
      <c r="T1648">
        <v>19937.8</v>
      </c>
      <c r="U1648" t="s">
        <v>4378</v>
      </c>
      <c r="V1648" t="s">
        <v>4379</v>
      </c>
      <c r="W1648">
        <v>2.2200000000000002</v>
      </c>
    </row>
    <row r="1649" spans="1:23">
      <c r="A1649" t="str">
        <f>"600095"</f>
        <v>600095</v>
      </c>
      <c r="B1649" t="s">
        <v>4380</v>
      </c>
      <c r="C1649">
        <v>6.06</v>
      </c>
      <c r="D1649">
        <v>6.2</v>
      </c>
      <c r="E1649">
        <v>6.06</v>
      </c>
      <c r="F1649">
        <v>6.16</v>
      </c>
      <c r="G1649">
        <v>104895</v>
      </c>
      <c r="H1649">
        <v>64337924</v>
      </c>
      <c r="I1649">
        <v>1.08</v>
      </c>
      <c r="J1649" t="s">
        <v>421</v>
      </c>
      <c r="K1649" t="s">
        <v>565</v>
      </c>
      <c r="L1649">
        <v>2.16</v>
      </c>
      <c r="M1649">
        <v>6.13</v>
      </c>
      <c r="N1649">
        <v>47727</v>
      </c>
      <c r="O1649">
        <v>57168</v>
      </c>
      <c r="P1649">
        <v>0.83</v>
      </c>
      <c r="Q1649">
        <v>116</v>
      </c>
      <c r="R1649">
        <v>408</v>
      </c>
      <c r="S1649" t="s">
        <v>3</v>
      </c>
      <c r="T1649">
        <v>36126.35</v>
      </c>
      <c r="U1649" t="s">
        <v>4381</v>
      </c>
      <c r="V1649" t="s">
        <v>4381</v>
      </c>
      <c r="W1649">
        <v>2.15</v>
      </c>
    </row>
    <row r="1650" spans="1:23">
      <c r="A1650" t="str">
        <f>"600096"</f>
        <v>600096</v>
      </c>
      <c r="B1650" t="s">
        <v>4382</v>
      </c>
      <c r="C1650">
        <v>9</v>
      </c>
      <c r="D1650">
        <v>9.4</v>
      </c>
      <c r="E1650">
        <v>8.81</v>
      </c>
      <c r="F1650">
        <v>9.39</v>
      </c>
      <c r="G1650">
        <v>183163</v>
      </c>
      <c r="H1650">
        <v>166630048</v>
      </c>
      <c r="I1650">
        <v>1.86</v>
      </c>
      <c r="J1650" t="s">
        <v>224</v>
      </c>
      <c r="K1650" t="s">
        <v>445</v>
      </c>
      <c r="L1650">
        <v>4.22</v>
      </c>
      <c r="M1650">
        <v>9.1</v>
      </c>
      <c r="N1650">
        <v>72716</v>
      </c>
      <c r="O1650">
        <v>110446</v>
      </c>
      <c r="P1650">
        <v>0.66</v>
      </c>
      <c r="Q1650">
        <v>804</v>
      </c>
      <c r="R1650">
        <v>63</v>
      </c>
      <c r="S1650" t="s">
        <v>3</v>
      </c>
      <c r="T1650">
        <v>52126.35</v>
      </c>
      <c r="U1650" t="s">
        <v>1076</v>
      </c>
      <c r="V1650" t="s">
        <v>4383</v>
      </c>
      <c r="W1650">
        <v>4.21</v>
      </c>
    </row>
    <row r="1651" spans="1:23">
      <c r="A1651" t="str">
        <f>"600097"</f>
        <v>600097</v>
      </c>
      <c r="B1651" t="s">
        <v>4384</v>
      </c>
      <c r="C1651" t="s">
        <v>3</v>
      </c>
      <c r="D1651" t="s">
        <v>3</v>
      </c>
      <c r="E1651" t="s">
        <v>3</v>
      </c>
      <c r="F1651">
        <v>12.44</v>
      </c>
      <c r="G1651">
        <v>0</v>
      </c>
      <c r="H1651">
        <v>0</v>
      </c>
      <c r="I1651">
        <v>0</v>
      </c>
      <c r="J1651" t="s">
        <v>988</v>
      </c>
      <c r="K1651" t="s">
        <v>727</v>
      </c>
      <c r="L1651">
        <v>0</v>
      </c>
      <c r="M1651">
        <v>12.44</v>
      </c>
      <c r="N1651">
        <v>0</v>
      </c>
      <c r="O1651">
        <v>0</v>
      </c>
      <c r="P1651" t="s">
        <v>3</v>
      </c>
      <c r="Q1651">
        <v>0</v>
      </c>
      <c r="R1651">
        <v>0</v>
      </c>
      <c r="S1651" t="s">
        <v>3</v>
      </c>
      <c r="T1651">
        <v>11544.99</v>
      </c>
      <c r="U1651" t="s">
        <v>4385</v>
      </c>
      <c r="V1651" t="s">
        <v>4386</v>
      </c>
      <c r="W1651">
        <v>0</v>
      </c>
    </row>
    <row r="1652" spans="1:23">
      <c r="A1652" t="str">
        <f>"600098"</f>
        <v>600098</v>
      </c>
      <c r="B1652" t="s">
        <v>4387</v>
      </c>
      <c r="C1652">
        <v>5.27</v>
      </c>
      <c r="D1652">
        <v>5.27</v>
      </c>
      <c r="E1652">
        <v>5.2</v>
      </c>
      <c r="F1652">
        <v>5.24</v>
      </c>
      <c r="G1652">
        <v>91711</v>
      </c>
      <c r="H1652">
        <v>47961828</v>
      </c>
      <c r="I1652">
        <v>0.76</v>
      </c>
      <c r="J1652" t="s">
        <v>87</v>
      </c>
      <c r="K1652" t="s">
        <v>211</v>
      </c>
      <c r="L1652">
        <v>-0.19</v>
      </c>
      <c r="M1652">
        <v>5.23</v>
      </c>
      <c r="N1652">
        <v>55054</v>
      </c>
      <c r="O1652">
        <v>36657</v>
      </c>
      <c r="P1652">
        <v>1.5</v>
      </c>
      <c r="Q1652">
        <v>742</v>
      </c>
      <c r="R1652">
        <v>142</v>
      </c>
      <c r="S1652" t="s">
        <v>3</v>
      </c>
      <c r="T1652">
        <v>243737.45</v>
      </c>
      <c r="U1652" t="s">
        <v>4388</v>
      </c>
      <c r="V1652" t="s">
        <v>4389</v>
      </c>
      <c r="W1652">
        <v>-0.19</v>
      </c>
    </row>
    <row r="1653" spans="1:23">
      <c r="A1653" t="str">
        <f>"600099"</f>
        <v>600099</v>
      </c>
      <c r="B1653" t="s">
        <v>4390</v>
      </c>
      <c r="C1653">
        <v>9</v>
      </c>
      <c r="D1653">
        <v>9.01</v>
      </c>
      <c r="E1653">
        <v>8.77</v>
      </c>
      <c r="F1653">
        <v>8.9499999999999993</v>
      </c>
      <c r="G1653">
        <v>27392</v>
      </c>
      <c r="H1653">
        <v>24397616</v>
      </c>
      <c r="I1653">
        <v>0.79</v>
      </c>
      <c r="J1653" t="s">
        <v>1191</v>
      </c>
      <c r="K1653" t="s">
        <v>244</v>
      </c>
      <c r="L1653">
        <v>0.22</v>
      </c>
      <c r="M1653">
        <v>8.91</v>
      </c>
      <c r="N1653">
        <v>15392</v>
      </c>
      <c r="O1653">
        <v>12000</v>
      </c>
      <c r="P1653">
        <v>1.28</v>
      </c>
      <c r="Q1653">
        <v>20</v>
      </c>
      <c r="R1653">
        <v>8</v>
      </c>
      <c r="S1653" t="s">
        <v>3</v>
      </c>
      <c r="T1653">
        <v>21912</v>
      </c>
      <c r="U1653" t="s">
        <v>3030</v>
      </c>
      <c r="V1653" t="s">
        <v>3030</v>
      </c>
      <c r="W1653">
        <v>0.22</v>
      </c>
    </row>
    <row r="1654" spans="1:23">
      <c r="A1654" t="str">
        <f>"600100"</f>
        <v>600100</v>
      </c>
      <c r="B1654" t="s">
        <v>4391</v>
      </c>
      <c r="C1654">
        <v>10.59</v>
      </c>
      <c r="D1654">
        <v>10.6</v>
      </c>
      <c r="E1654">
        <v>10.34</v>
      </c>
      <c r="F1654">
        <v>10.41</v>
      </c>
      <c r="G1654">
        <v>424199</v>
      </c>
      <c r="H1654">
        <v>441606944</v>
      </c>
      <c r="I1654">
        <v>0.9</v>
      </c>
      <c r="J1654" t="s">
        <v>66</v>
      </c>
      <c r="K1654" t="s">
        <v>34</v>
      </c>
      <c r="L1654">
        <v>-1.51</v>
      </c>
      <c r="M1654">
        <v>10.41</v>
      </c>
      <c r="N1654">
        <v>229307</v>
      </c>
      <c r="O1654">
        <v>194892</v>
      </c>
      <c r="P1654">
        <v>1.18</v>
      </c>
      <c r="Q1654">
        <v>805</v>
      </c>
      <c r="R1654">
        <v>76</v>
      </c>
      <c r="S1654" t="s">
        <v>3</v>
      </c>
      <c r="T1654">
        <v>207020.14</v>
      </c>
      <c r="U1654" t="s">
        <v>4392</v>
      </c>
      <c r="V1654" t="s">
        <v>4393</v>
      </c>
      <c r="W1654">
        <v>-1.52</v>
      </c>
    </row>
    <row r="1655" spans="1:23">
      <c r="A1655" t="str">
        <f>"600101"</f>
        <v>600101</v>
      </c>
      <c r="B1655" t="s">
        <v>4394</v>
      </c>
      <c r="C1655">
        <v>8.49</v>
      </c>
      <c r="D1655">
        <v>8.56</v>
      </c>
      <c r="E1655">
        <v>8.44</v>
      </c>
      <c r="F1655">
        <v>8.5399999999999991</v>
      </c>
      <c r="G1655">
        <v>66826</v>
      </c>
      <c r="H1655">
        <v>56804960</v>
      </c>
      <c r="I1655">
        <v>1.05</v>
      </c>
      <c r="J1655" t="s">
        <v>852</v>
      </c>
      <c r="K1655" t="s">
        <v>225</v>
      </c>
      <c r="L1655">
        <v>0.59</v>
      </c>
      <c r="M1655">
        <v>8.5</v>
      </c>
      <c r="N1655">
        <v>34376</v>
      </c>
      <c r="O1655">
        <v>32450</v>
      </c>
      <c r="P1655">
        <v>1.06</v>
      </c>
      <c r="Q1655">
        <v>364</v>
      </c>
      <c r="R1655">
        <v>578</v>
      </c>
      <c r="S1655" t="s">
        <v>3</v>
      </c>
      <c r="T1655">
        <v>32417.9</v>
      </c>
      <c r="U1655" t="s">
        <v>4395</v>
      </c>
      <c r="V1655" t="s">
        <v>4395</v>
      </c>
      <c r="W1655">
        <v>0.57999999999999996</v>
      </c>
    </row>
    <row r="1656" spans="1:23">
      <c r="A1656" t="str">
        <f>"600103"</f>
        <v>600103</v>
      </c>
      <c r="B1656" t="s">
        <v>4396</v>
      </c>
      <c r="C1656">
        <v>2.87</v>
      </c>
      <c r="D1656">
        <v>2.88</v>
      </c>
      <c r="E1656">
        <v>2.84</v>
      </c>
      <c r="F1656">
        <v>2.88</v>
      </c>
      <c r="G1656">
        <v>163864</v>
      </c>
      <c r="H1656">
        <v>46933144</v>
      </c>
      <c r="I1656">
        <v>1.1100000000000001</v>
      </c>
      <c r="J1656" t="s">
        <v>343</v>
      </c>
      <c r="K1656" t="s">
        <v>414</v>
      </c>
      <c r="L1656">
        <v>0.7</v>
      </c>
      <c r="M1656">
        <v>2.86</v>
      </c>
      <c r="N1656">
        <v>74615</v>
      </c>
      <c r="O1656">
        <v>89248</v>
      </c>
      <c r="P1656">
        <v>0.84</v>
      </c>
      <c r="Q1656">
        <v>3292</v>
      </c>
      <c r="R1656">
        <v>3890</v>
      </c>
      <c r="S1656" t="s">
        <v>3</v>
      </c>
      <c r="T1656">
        <v>106184.15</v>
      </c>
      <c r="U1656" t="s">
        <v>4397</v>
      </c>
      <c r="V1656" t="s">
        <v>4397</v>
      </c>
      <c r="W1656">
        <v>0.69</v>
      </c>
    </row>
    <row r="1657" spans="1:23">
      <c r="A1657" t="str">
        <f>"600104"</f>
        <v>600104</v>
      </c>
      <c r="B1657" t="s">
        <v>4398</v>
      </c>
      <c r="C1657">
        <v>18.7</v>
      </c>
      <c r="D1657">
        <v>18.87</v>
      </c>
      <c r="E1657">
        <v>18.350000000000001</v>
      </c>
      <c r="F1657">
        <v>18.64</v>
      </c>
      <c r="G1657">
        <v>228984</v>
      </c>
      <c r="H1657">
        <v>426972416</v>
      </c>
      <c r="I1657">
        <v>0.77</v>
      </c>
      <c r="J1657" t="s">
        <v>476</v>
      </c>
      <c r="K1657" t="s">
        <v>727</v>
      </c>
      <c r="L1657">
        <v>-0.27</v>
      </c>
      <c r="M1657">
        <v>18.649999999999999</v>
      </c>
      <c r="N1657">
        <v>94061</v>
      </c>
      <c r="O1657">
        <v>134923</v>
      </c>
      <c r="P1657">
        <v>0.7</v>
      </c>
      <c r="Q1657">
        <v>1064</v>
      </c>
      <c r="R1657">
        <v>80</v>
      </c>
      <c r="S1657" t="s">
        <v>3</v>
      </c>
      <c r="T1657">
        <v>924242.19</v>
      </c>
      <c r="U1657" t="s">
        <v>4399</v>
      </c>
      <c r="V1657" t="s">
        <v>4400</v>
      </c>
      <c r="W1657">
        <v>-0.27</v>
      </c>
    </row>
    <row r="1658" spans="1:23">
      <c r="A1658" t="str">
        <f>"600105"</f>
        <v>600105</v>
      </c>
      <c r="B1658" t="s">
        <v>4401</v>
      </c>
      <c r="C1658">
        <v>8.8800000000000008</v>
      </c>
      <c r="D1658">
        <v>8.98</v>
      </c>
      <c r="E1658">
        <v>8.76</v>
      </c>
      <c r="F1658">
        <v>8.8800000000000008</v>
      </c>
      <c r="G1658">
        <v>116232</v>
      </c>
      <c r="H1658">
        <v>103188968</v>
      </c>
      <c r="I1658">
        <v>0.68</v>
      </c>
      <c r="J1658" t="s">
        <v>112</v>
      </c>
      <c r="K1658" t="s">
        <v>244</v>
      </c>
      <c r="L1658">
        <v>0</v>
      </c>
      <c r="M1658">
        <v>8.8800000000000008</v>
      </c>
      <c r="N1658">
        <v>63213</v>
      </c>
      <c r="O1658">
        <v>53019</v>
      </c>
      <c r="P1658">
        <v>1.19</v>
      </c>
      <c r="Q1658">
        <v>74</v>
      </c>
      <c r="R1658">
        <v>596</v>
      </c>
      <c r="S1658" t="s">
        <v>3</v>
      </c>
      <c r="T1658">
        <v>38095.46</v>
      </c>
      <c r="U1658" t="s">
        <v>4402</v>
      </c>
      <c r="V1658" t="s">
        <v>4402</v>
      </c>
      <c r="W1658">
        <v>0</v>
      </c>
    </row>
    <row r="1659" spans="1:23">
      <c r="A1659" t="str">
        <f>"600106"</f>
        <v>600106</v>
      </c>
      <c r="B1659" t="s">
        <v>4403</v>
      </c>
      <c r="C1659">
        <v>4.37</v>
      </c>
      <c r="D1659">
        <v>4.47</v>
      </c>
      <c r="E1659">
        <v>4.3499999999999996</v>
      </c>
      <c r="F1659">
        <v>4.42</v>
      </c>
      <c r="G1659">
        <v>294588</v>
      </c>
      <c r="H1659">
        <v>129631128</v>
      </c>
      <c r="I1659">
        <v>1.22</v>
      </c>
      <c r="J1659" t="s">
        <v>336</v>
      </c>
      <c r="K1659" t="s">
        <v>386</v>
      </c>
      <c r="L1659">
        <v>1.38</v>
      </c>
      <c r="M1659">
        <v>4.4000000000000004</v>
      </c>
      <c r="N1659">
        <v>135129</v>
      </c>
      <c r="O1659">
        <v>159458</v>
      </c>
      <c r="P1659">
        <v>0.85</v>
      </c>
      <c r="Q1659">
        <v>7</v>
      </c>
      <c r="R1659">
        <v>2135</v>
      </c>
      <c r="S1659" t="s">
        <v>3</v>
      </c>
      <c r="T1659">
        <v>90774.2</v>
      </c>
      <c r="U1659" t="s">
        <v>4404</v>
      </c>
      <c r="V1659" t="s">
        <v>4404</v>
      </c>
      <c r="W1659">
        <v>1.37</v>
      </c>
    </row>
    <row r="1660" spans="1:23">
      <c r="A1660" t="str">
        <f>"600107"</f>
        <v>600107</v>
      </c>
      <c r="B1660" t="s">
        <v>4405</v>
      </c>
      <c r="C1660">
        <v>6.84</v>
      </c>
      <c r="D1660">
        <v>7.01</v>
      </c>
      <c r="E1660">
        <v>6.76</v>
      </c>
      <c r="F1660">
        <v>6.91</v>
      </c>
      <c r="G1660">
        <v>112770</v>
      </c>
      <c r="H1660">
        <v>77846672</v>
      </c>
      <c r="I1660">
        <v>1.04</v>
      </c>
      <c r="J1660" t="s">
        <v>1373</v>
      </c>
      <c r="K1660" t="s">
        <v>317</v>
      </c>
      <c r="L1660">
        <v>1.17</v>
      </c>
      <c r="M1660">
        <v>6.9</v>
      </c>
      <c r="N1660">
        <v>52910</v>
      </c>
      <c r="O1660">
        <v>59859</v>
      </c>
      <c r="P1660">
        <v>0.88</v>
      </c>
      <c r="Q1660">
        <v>213</v>
      </c>
      <c r="R1660">
        <v>419</v>
      </c>
      <c r="S1660" t="s">
        <v>3</v>
      </c>
      <c r="T1660">
        <v>36000</v>
      </c>
      <c r="U1660" t="s">
        <v>716</v>
      </c>
      <c r="V1660" t="s">
        <v>716</v>
      </c>
      <c r="W1660">
        <v>1.17</v>
      </c>
    </row>
    <row r="1661" spans="1:23">
      <c r="A1661" t="str">
        <f>"600108"</f>
        <v>600108</v>
      </c>
      <c r="B1661" t="s">
        <v>4406</v>
      </c>
      <c r="C1661">
        <v>7.15</v>
      </c>
      <c r="D1661">
        <v>7.17</v>
      </c>
      <c r="E1661">
        <v>7.02</v>
      </c>
      <c r="F1661">
        <v>7.12</v>
      </c>
      <c r="G1661">
        <v>459398</v>
      </c>
      <c r="H1661">
        <v>325413504</v>
      </c>
      <c r="I1661">
        <v>0.89</v>
      </c>
      <c r="J1661" t="s">
        <v>169</v>
      </c>
      <c r="K1661" t="s">
        <v>483</v>
      </c>
      <c r="L1661">
        <v>-0.42</v>
      </c>
      <c r="M1661">
        <v>7.08</v>
      </c>
      <c r="N1661">
        <v>256042</v>
      </c>
      <c r="O1661">
        <v>203355</v>
      </c>
      <c r="P1661">
        <v>1.26</v>
      </c>
      <c r="Q1661">
        <v>641</v>
      </c>
      <c r="R1661">
        <v>283</v>
      </c>
      <c r="S1661" t="s">
        <v>3</v>
      </c>
      <c r="T1661">
        <v>194691.52</v>
      </c>
      <c r="U1661" t="s">
        <v>4407</v>
      </c>
      <c r="V1661" t="s">
        <v>4407</v>
      </c>
      <c r="W1661">
        <v>-0.42</v>
      </c>
    </row>
    <row r="1662" spans="1:23">
      <c r="A1662" t="str">
        <f>"600109"</f>
        <v>600109</v>
      </c>
      <c r="B1662" t="s">
        <v>4408</v>
      </c>
      <c r="C1662">
        <v>22.72</v>
      </c>
      <c r="D1662">
        <v>22.84</v>
      </c>
      <c r="E1662">
        <v>22.4</v>
      </c>
      <c r="F1662">
        <v>22.44</v>
      </c>
      <c r="G1662">
        <v>330532</v>
      </c>
      <c r="H1662">
        <v>744022528</v>
      </c>
      <c r="I1662">
        <v>0.68</v>
      </c>
      <c r="J1662" t="s">
        <v>512</v>
      </c>
      <c r="K1662" t="s">
        <v>225</v>
      </c>
      <c r="L1662">
        <v>-1.58</v>
      </c>
      <c r="M1662">
        <v>22.51</v>
      </c>
      <c r="N1662">
        <v>189648</v>
      </c>
      <c r="O1662">
        <v>140883</v>
      </c>
      <c r="P1662">
        <v>1.35</v>
      </c>
      <c r="Q1662">
        <v>3</v>
      </c>
      <c r="R1662">
        <v>100</v>
      </c>
      <c r="S1662" t="s">
        <v>3</v>
      </c>
      <c r="T1662">
        <v>129407.17</v>
      </c>
      <c r="U1662" t="s">
        <v>4409</v>
      </c>
      <c r="V1662" t="s">
        <v>4409</v>
      </c>
      <c r="W1662">
        <v>-1.58</v>
      </c>
    </row>
    <row r="1663" spans="1:23">
      <c r="A1663" t="str">
        <f>"600110"</f>
        <v>600110</v>
      </c>
      <c r="B1663" t="s">
        <v>4410</v>
      </c>
      <c r="C1663">
        <v>6.38</v>
      </c>
      <c r="D1663">
        <v>6.43</v>
      </c>
      <c r="E1663">
        <v>6.24</v>
      </c>
      <c r="F1663">
        <v>6.38</v>
      </c>
      <c r="G1663">
        <v>338068</v>
      </c>
      <c r="H1663">
        <v>213888240</v>
      </c>
      <c r="I1663">
        <v>1.27</v>
      </c>
      <c r="J1663" t="s">
        <v>145</v>
      </c>
      <c r="K1663" t="s">
        <v>99</v>
      </c>
      <c r="L1663">
        <v>-1.39</v>
      </c>
      <c r="M1663">
        <v>6.33</v>
      </c>
      <c r="N1663">
        <v>174450</v>
      </c>
      <c r="O1663">
        <v>163617</v>
      </c>
      <c r="P1663">
        <v>1.07</v>
      </c>
      <c r="Q1663">
        <v>251</v>
      </c>
      <c r="R1663">
        <v>1121</v>
      </c>
      <c r="S1663" t="s">
        <v>3</v>
      </c>
      <c r="T1663">
        <v>115031.21</v>
      </c>
      <c r="U1663" t="s">
        <v>4411</v>
      </c>
      <c r="V1663" t="s">
        <v>4411</v>
      </c>
      <c r="W1663">
        <v>-1.4</v>
      </c>
    </row>
    <row r="1664" spans="1:23">
      <c r="A1664" t="str">
        <f>"600111"</f>
        <v>600111</v>
      </c>
      <c r="B1664" t="s">
        <v>4412</v>
      </c>
      <c r="C1664">
        <v>22.96</v>
      </c>
      <c r="D1664">
        <v>23.09</v>
      </c>
      <c r="E1664">
        <v>22.73</v>
      </c>
      <c r="F1664">
        <v>22.79</v>
      </c>
      <c r="G1664">
        <v>252392</v>
      </c>
      <c r="H1664">
        <v>576230656</v>
      </c>
      <c r="I1664">
        <v>0.75</v>
      </c>
      <c r="J1664" t="s">
        <v>328</v>
      </c>
      <c r="K1664" t="s">
        <v>329</v>
      </c>
      <c r="L1664">
        <v>-0.7</v>
      </c>
      <c r="M1664">
        <v>22.83</v>
      </c>
      <c r="N1664">
        <v>137961</v>
      </c>
      <c r="O1664">
        <v>114430</v>
      </c>
      <c r="P1664">
        <v>1.21</v>
      </c>
      <c r="Q1664">
        <v>274</v>
      </c>
      <c r="R1664">
        <v>233</v>
      </c>
      <c r="S1664" t="s">
        <v>3</v>
      </c>
      <c r="T1664">
        <v>147946.98000000001</v>
      </c>
      <c r="U1664" t="s">
        <v>4413</v>
      </c>
      <c r="V1664" t="s">
        <v>4414</v>
      </c>
      <c r="W1664">
        <v>-0.7</v>
      </c>
    </row>
    <row r="1665" spans="1:23">
      <c r="A1665" t="str">
        <f>"600112"</f>
        <v>600112</v>
      </c>
      <c r="B1665" t="s">
        <v>4415</v>
      </c>
      <c r="C1665" t="s">
        <v>3</v>
      </c>
      <c r="D1665" t="s">
        <v>3</v>
      </c>
      <c r="E1665" t="s">
        <v>3</v>
      </c>
      <c r="F1665">
        <v>16.09</v>
      </c>
      <c r="G1665">
        <v>0</v>
      </c>
      <c r="H1665">
        <v>0</v>
      </c>
      <c r="I1665">
        <v>0</v>
      </c>
      <c r="J1665" t="s">
        <v>145</v>
      </c>
      <c r="K1665" t="s">
        <v>452</v>
      </c>
      <c r="L1665">
        <v>0</v>
      </c>
      <c r="M1665">
        <v>16.09</v>
      </c>
      <c r="N1665">
        <v>0</v>
      </c>
      <c r="O1665">
        <v>0</v>
      </c>
      <c r="P1665" t="s">
        <v>3</v>
      </c>
      <c r="Q1665">
        <v>0</v>
      </c>
      <c r="R1665">
        <v>0</v>
      </c>
      <c r="S1665" t="s">
        <v>3</v>
      </c>
      <c r="T1665">
        <v>50920.480000000003</v>
      </c>
      <c r="U1665" t="s">
        <v>4416</v>
      </c>
      <c r="V1665" t="s">
        <v>4416</v>
      </c>
      <c r="W1665">
        <v>0</v>
      </c>
    </row>
    <row r="1666" spans="1:23">
      <c r="A1666" t="str">
        <f>"600113"</f>
        <v>600113</v>
      </c>
      <c r="B1666" t="s">
        <v>4417</v>
      </c>
      <c r="C1666" t="s">
        <v>3</v>
      </c>
      <c r="D1666" t="s">
        <v>3</v>
      </c>
      <c r="E1666" t="s">
        <v>3</v>
      </c>
      <c r="F1666">
        <v>8.32</v>
      </c>
      <c r="G1666">
        <v>0</v>
      </c>
      <c r="H1666">
        <v>0</v>
      </c>
      <c r="I1666">
        <v>0</v>
      </c>
      <c r="J1666" t="s">
        <v>15</v>
      </c>
      <c r="K1666" t="s">
        <v>229</v>
      </c>
      <c r="L1666">
        <v>0</v>
      </c>
      <c r="M1666">
        <v>8.32</v>
      </c>
      <c r="N1666">
        <v>0</v>
      </c>
      <c r="O1666">
        <v>0</v>
      </c>
      <c r="P1666" t="s">
        <v>3</v>
      </c>
      <c r="Q1666">
        <v>0</v>
      </c>
      <c r="R1666">
        <v>0</v>
      </c>
      <c r="S1666" t="s">
        <v>3</v>
      </c>
      <c r="T1666">
        <v>31860</v>
      </c>
      <c r="U1666" t="s">
        <v>2920</v>
      </c>
      <c r="V1666" t="s">
        <v>2920</v>
      </c>
      <c r="W1666">
        <v>0</v>
      </c>
    </row>
    <row r="1667" spans="1:23">
      <c r="A1667" t="str">
        <f>"600114"</f>
        <v>600114</v>
      </c>
      <c r="B1667" t="s">
        <v>4418</v>
      </c>
      <c r="C1667">
        <v>12.9</v>
      </c>
      <c r="D1667">
        <v>13.29</v>
      </c>
      <c r="E1667">
        <v>12.77</v>
      </c>
      <c r="F1667">
        <v>13.16</v>
      </c>
      <c r="G1667">
        <v>92592</v>
      </c>
      <c r="H1667">
        <v>120550128</v>
      </c>
      <c r="I1667">
        <v>1.73</v>
      </c>
      <c r="J1667" t="s">
        <v>398</v>
      </c>
      <c r="K1667" t="s">
        <v>229</v>
      </c>
      <c r="L1667">
        <v>1.94</v>
      </c>
      <c r="M1667">
        <v>13.02</v>
      </c>
      <c r="N1667">
        <v>47291</v>
      </c>
      <c r="O1667">
        <v>45300</v>
      </c>
      <c r="P1667">
        <v>1.04</v>
      </c>
      <c r="Q1667">
        <v>49</v>
      </c>
      <c r="R1667">
        <v>124</v>
      </c>
      <c r="S1667" t="s">
        <v>3</v>
      </c>
      <c r="T1667">
        <v>16601.689999999999</v>
      </c>
      <c r="U1667" t="s">
        <v>4419</v>
      </c>
      <c r="V1667" t="s">
        <v>4420</v>
      </c>
      <c r="W1667">
        <v>1.93</v>
      </c>
    </row>
    <row r="1668" spans="1:23">
      <c r="A1668" t="str">
        <f>"600115"</f>
        <v>600115</v>
      </c>
      <c r="B1668" t="s">
        <v>4421</v>
      </c>
      <c r="C1668">
        <v>2.76</v>
      </c>
      <c r="D1668">
        <v>2.93</v>
      </c>
      <c r="E1668">
        <v>2.74</v>
      </c>
      <c r="F1668">
        <v>2.85</v>
      </c>
      <c r="G1668">
        <v>587469</v>
      </c>
      <c r="H1668">
        <v>166079024</v>
      </c>
      <c r="I1668">
        <v>1.51</v>
      </c>
      <c r="J1668" t="s">
        <v>208</v>
      </c>
      <c r="K1668" t="s">
        <v>727</v>
      </c>
      <c r="L1668">
        <v>2.89</v>
      </c>
      <c r="M1668">
        <v>2.83</v>
      </c>
      <c r="N1668">
        <v>240007</v>
      </c>
      <c r="O1668">
        <v>347461</v>
      </c>
      <c r="P1668">
        <v>0.69</v>
      </c>
      <c r="Q1668">
        <v>2072</v>
      </c>
      <c r="R1668">
        <v>8833</v>
      </c>
      <c r="S1668" t="s">
        <v>3</v>
      </c>
      <c r="T1668">
        <v>778221.38</v>
      </c>
      <c r="U1668" t="s">
        <v>4422</v>
      </c>
      <c r="V1668" t="s">
        <v>4423</v>
      </c>
      <c r="W1668">
        <v>2.88</v>
      </c>
    </row>
    <row r="1669" spans="1:23">
      <c r="A1669" t="str">
        <f>"600116"</f>
        <v>600116</v>
      </c>
      <c r="B1669" t="s">
        <v>4424</v>
      </c>
      <c r="C1669">
        <v>11.19</v>
      </c>
      <c r="D1669">
        <v>11.27</v>
      </c>
      <c r="E1669">
        <v>10.92</v>
      </c>
      <c r="F1669">
        <v>11.14</v>
      </c>
      <c r="G1669">
        <v>69886</v>
      </c>
      <c r="H1669">
        <v>77449344</v>
      </c>
      <c r="I1669">
        <v>0.86</v>
      </c>
      <c r="J1669" t="s">
        <v>852</v>
      </c>
      <c r="K1669" t="s">
        <v>386</v>
      </c>
      <c r="L1669">
        <v>-0.09</v>
      </c>
      <c r="M1669">
        <v>11.08</v>
      </c>
      <c r="N1669">
        <v>40029</v>
      </c>
      <c r="O1669">
        <v>29857</v>
      </c>
      <c r="P1669">
        <v>1.34</v>
      </c>
      <c r="Q1669">
        <v>20</v>
      </c>
      <c r="R1669">
        <v>359</v>
      </c>
      <c r="S1669" t="s">
        <v>3</v>
      </c>
      <c r="T1669">
        <v>26753.32</v>
      </c>
      <c r="U1669" t="s">
        <v>4425</v>
      </c>
      <c r="V1669" t="s">
        <v>4425</v>
      </c>
      <c r="W1669">
        <v>-0.09</v>
      </c>
    </row>
    <row r="1670" spans="1:23">
      <c r="A1670" t="str">
        <f>"600117"</f>
        <v>600117</v>
      </c>
      <c r="B1670" t="s">
        <v>4426</v>
      </c>
      <c r="C1670">
        <v>4.3</v>
      </c>
      <c r="D1670">
        <v>4.74</v>
      </c>
      <c r="E1670">
        <v>4.28</v>
      </c>
      <c r="F1670">
        <v>4.74</v>
      </c>
      <c r="G1670">
        <v>533140</v>
      </c>
      <c r="H1670">
        <v>245920480</v>
      </c>
      <c r="I1670">
        <v>1.2</v>
      </c>
      <c r="J1670" t="s">
        <v>815</v>
      </c>
      <c r="K1670" t="s">
        <v>613</v>
      </c>
      <c r="L1670">
        <v>9.98</v>
      </c>
      <c r="M1670">
        <v>4.6100000000000003</v>
      </c>
      <c r="N1670">
        <v>311045</v>
      </c>
      <c r="O1670">
        <v>222094</v>
      </c>
      <c r="P1670">
        <v>1.4</v>
      </c>
      <c r="Q1670">
        <v>107740</v>
      </c>
      <c r="R1670">
        <v>0</v>
      </c>
      <c r="S1670" t="s">
        <v>3</v>
      </c>
      <c r="T1670">
        <v>74121.919999999998</v>
      </c>
      <c r="U1670" t="s">
        <v>4427</v>
      </c>
      <c r="V1670" t="s">
        <v>4427</v>
      </c>
      <c r="W1670">
        <v>9.9700000000000006</v>
      </c>
    </row>
    <row r="1671" spans="1:23">
      <c r="A1671" t="str">
        <f>"600118"</f>
        <v>600118</v>
      </c>
      <c r="B1671" t="s">
        <v>4428</v>
      </c>
      <c r="C1671">
        <v>22.75</v>
      </c>
      <c r="D1671">
        <v>24.15</v>
      </c>
      <c r="E1671">
        <v>22.65</v>
      </c>
      <c r="F1671">
        <v>23.33</v>
      </c>
      <c r="G1671">
        <v>645647</v>
      </c>
      <c r="H1671">
        <v>1515264128</v>
      </c>
      <c r="I1671">
        <v>0.9</v>
      </c>
      <c r="J1671" t="s">
        <v>892</v>
      </c>
      <c r="K1671" t="s">
        <v>34</v>
      </c>
      <c r="L1671">
        <v>2.46</v>
      </c>
      <c r="M1671">
        <v>23.47</v>
      </c>
      <c r="N1671">
        <v>325767</v>
      </c>
      <c r="O1671">
        <v>319880</v>
      </c>
      <c r="P1671">
        <v>1.02</v>
      </c>
      <c r="Q1671">
        <v>26</v>
      </c>
      <c r="R1671">
        <v>416</v>
      </c>
      <c r="S1671" t="s">
        <v>3</v>
      </c>
      <c r="T1671">
        <v>118248.9</v>
      </c>
      <c r="U1671" t="s">
        <v>4429</v>
      </c>
      <c r="V1671" t="s">
        <v>4429</v>
      </c>
      <c r="W1671">
        <v>2.46</v>
      </c>
    </row>
    <row r="1672" spans="1:23">
      <c r="A1672" t="str">
        <f>"600119"</f>
        <v>600119</v>
      </c>
      <c r="B1672" t="s">
        <v>4430</v>
      </c>
      <c r="C1672">
        <v>17.3</v>
      </c>
      <c r="D1672">
        <v>17.489999999999998</v>
      </c>
      <c r="E1672">
        <v>16.57</v>
      </c>
      <c r="F1672">
        <v>17.03</v>
      </c>
      <c r="G1672">
        <v>229044</v>
      </c>
      <c r="H1672">
        <v>388241600</v>
      </c>
      <c r="I1672">
        <v>0.7</v>
      </c>
      <c r="J1672" t="s">
        <v>1859</v>
      </c>
      <c r="K1672" t="s">
        <v>727</v>
      </c>
      <c r="L1672">
        <v>-2.13</v>
      </c>
      <c r="M1672">
        <v>16.95</v>
      </c>
      <c r="N1672">
        <v>129227</v>
      </c>
      <c r="O1672">
        <v>99816</v>
      </c>
      <c r="P1672">
        <v>1.29</v>
      </c>
      <c r="Q1672">
        <v>233</v>
      </c>
      <c r="R1672">
        <v>16</v>
      </c>
      <c r="S1672" t="s">
        <v>3</v>
      </c>
      <c r="T1672">
        <v>30740</v>
      </c>
      <c r="U1672" t="s">
        <v>4431</v>
      </c>
      <c r="V1672" t="s">
        <v>4431</v>
      </c>
      <c r="W1672">
        <v>-2.13</v>
      </c>
    </row>
    <row r="1673" spans="1:23">
      <c r="A1673" t="str">
        <f>"600120"</f>
        <v>600120</v>
      </c>
      <c r="B1673" t="s">
        <v>4432</v>
      </c>
      <c r="C1673">
        <v>12.69</v>
      </c>
      <c r="D1673">
        <v>12.74</v>
      </c>
      <c r="E1673">
        <v>12.55</v>
      </c>
      <c r="F1673">
        <v>12.62</v>
      </c>
      <c r="G1673">
        <v>92496</v>
      </c>
      <c r="H1673">
        <v>116684696</v>
      </c>
      <c r="I1673">
        <v>1.05</v>
      </c>
      <c r="J1673" t="s">
        <v>173</v>
      </c>
      <c r="K1673" t="s">
        <v>229</v>
      </c>
      <c r="L1673">
        <v>-0.55000000000000004</v>
      </c>
      <c r="M1673">
        <v>12.62</v>
      </c>
      <c r="N1673">
        <v>40952</v>
      </c>
      <c r="O1673">
        <v>51544</v>
      </c>
      <c r="P1673">
        <v>0.79</v>
      </c>
      <c r="Q1673">
        <v>171</v>
      </c>
      <c r="R1673">
        <v>199</v>
      </c>
      <c r="S1673" t="s">
        <v>3</v>
      </c>
      <c r="T1673">
        <v>50547.33</v>
      </c>
      <c r="U1673" t="s">
        <v>4433</v>
      </c>
      <c r="V1673" t="s">
        <v>4433</v>
      </c>
      <c r="W1673">
        <v>-0.56000000000000005</v>
      </c>
    </row>
    <row r="1674" spans="1:23">
      <c r="A1674" t="str">
        <f>"600121"</f>
        <v>600121</v>
      </c>
      <c r="B1674" t="s">
        <v>4434</v>
      </c>
      <c r="C1674">
        <v>5.03</v>
      </c>
      <c r="D1674">
        <v>5.0599999999999996</v>
      </c>
      <c r="E1674">
        <v>4.96</v>
      </c>
      <c r="F1674">
        <v>5.01</v>
      </c>
      <c r="G1674">
        <v>83969</v>
      </c>
      <c r="H1674">
        <v>42035536</v>
      </c>
      <c r="I1674">
        <v>0.92</v>
      </c>
      <c r="J1674" t="s">
        <v>482</v>
      </c>
      <c r="K1674" t="s">
        <v>254</v>
      </c>
      <c r="L1674">
        <v>-0.4</v>
      </c>
      <c r="M1674">
        <v>5.01</v>
      </c>
      <c r="N1674">
        <v>45415</v>
      </c>
      <c r="O1674">
        <v>38554</v>
      </c>
      <c r="P1674">
        <v>1.18</v>
      </c>
      <c r="Q1674">
        <v>272</v>
      </c>
      <c r="R1674">
        <v>773</v>
      </c>
      <c r="S1674" t="s">
        <v>3</v>
      </c>
      <c r="T1674">
        <v>62914</v>
      </c>
      <c r="U1674" t="s">
        <v>4435</v>
      </c>
      <c r="V1674" t="s">
        <v>4436</v>
      </c>
      <c r="W1674">
        <v>-0.4</v>
      </c>
    </row>
    <row r="1675" spans="1:23">
      <c r="A1675" t="str">
        <f>"600122"</f>
        <v>600122</v>
      </c>
      <c r="B1675" t="s">
        <v>4437</v>
      </c>
      <c r="C1675">
        <v>5.55</v>
      </c>
      <c r="D1675">
        <v>5.82</v>
      </c>
      <c r="E1675">
        <v>5.53</v>
      </c>
      <c r="F1675">
        <v>5.7</v>
      </c>
      <c r="G1675">
        <v>320830</v>
      </c>
      <c r="H1675">
        <v>183025488</v>
      </c>
      <c r="I1675">
        <v>1.56</v>
      </c>
      <c r="J1675" t="s">
        <v>83</v>
      </c>
      <c r="K1675" t="s">
        <v>244</v>
      </c>
      <c r="L1675">
        <v>2.7</v>
      </c>
      <c r="M1675">
        <v>5.7</v>
      </c>
      <c r="N1675">
        <v>160735</v>
      </c>
      <c r="O1675">
        <v>160095</v>
      </c>
      <c r="P1675">
        <v>1</v>
      </c>
      <c r="Q1675">
        <v>1883</v>
      </c>
      <c r="R1675">
        <v>1475</v>
      </c>
      <c r="S1675" t="s">
        <v>3</v>
      </c>
      <c r="T1675">
        <v>113278.96</v>
      </c>
      <c r="U1675" t="s">
        <v>4438</v>
      </c>
      <c r="V1675" t="s">
        <v>1048</v>
      </c>
      <c r="W1675">
        <v>2.7</v>
      </c>
    </row>
    <row r="1676" spans="1:23">
      <c r="A1676" t="str">
        <f>"600123"</f>
        <v>600123</v>
      </c>
      <c r="B1676" t="s">
        <v>4439</v>
      </c>
      <c r="C1676">
        <v>8.59</v>
      </c>
      <c r="D1676">
        <v>8.64</v>
      </c>
      <c r="E1676">
        <v>8.48</v>
      </c>
      <c r="F1676">
        <v>8.56</v>
      </c>
      <c r="G1676">
        <v>186960</v>
      </c>
      <c r="H1676">
        <v>159920768</v>
      </c>
      <c r="I1676">
        <v>1.1000000000000001</v>
      </c>
      <c r="J1676" t="s">
        <v>482</v>
      </c>
      <c r="K1676" t="s">
        <v>742</v>
      </c>
      <c r="L1676">
        <v>-0.12</v>
      </c>
      <c r="M1676">
        <v>8.5500000000000007</v>
      </c>
      <c r="N1676">
        <v>94599</v>
      </c>
      <c r="O1676">
        <v>92360</v>
      </c>
      <c r="P1676">
        <v>1.02</v>
      </c>
      <c r="Q1676">
        <v>734</v>
      </c>
      <c r="R1676">
        <v>2400</v>
      </c>
      <c r="S1676" t="s">
        <v>3</v>
      </c>
      <c r="T1676">
        <v>114240</v>
      </c>
      <c r="U1676" t="s">
        <v>4440</v>
      </c>
      <c r="V1676" t="s">
        <v>4440</v>
      </c>
      <c r="W1676">
        <v>-0.12</v>
      </c>
    </row>
    <row r="1677" spans="1:23">
      <c r="A1677" t="str">
        <f>"600125"</f>
        <v>600125</v>
      </c>
      <c r="B1677" t="s">
        <v>4441</v>
      </c>
      <c r="C1677">
        <v>5.74</v>
      </c>
      <c r="D1677">
        <v>6</v>
      </c>
      <c r="E1677">
        <v>5.7</v>
      </c>
      <c r="F1677">
        <v>5.94</v>
      </c>
      <c r="G1677">
        <v>517765</v>
      </c>
      <c r="H1677">
        <v>304950048</v>
      </c>
      <c r="I1677">
        <v>1.7</v>
      </c>
      <c r="J1677" t="s">
        <v>4442</v>
      </c>
      <c r="K1677" t="s">
        <v>162</v>
      </c>
      <c r="L1677">
        <v>2.95</v>
      </c>
      <c r="M1677">
        <v>5.89</v>
      </c>
      <c r="N1677">
        <v>224404</v>
      </c>
      <c r="O1677">
        <v>293361</v>
      </c>
      <c r="P1677">
        <v>0.76</v>
      </c>
      <c r="Q1677">
        <v>3120</v>
      </c>
      <c r="R1677">
        <v>677</v>
      </c>
      <c r="S1677" t="s">
        <v>3</v>
      </c>
      <c r="T1677">
        <v>130552.18</v>
      </c>
      <c r="U1677" t="s">
        <v>2092</v>
      </c>
      <c r="V1677" t="s">
        <v>2092</v>
      </c>
      <c r="W1677">
        <v>2.94</v>
      </c>
    </row>
    <row r="1678" spans="1:23">
      <c r="A1678" t="str">
        <f>"600126"</f>
        <v>600126</v>
      </c>
      <c r="B1678" t="s">
        <v>4443</v>
      </c>
      <c r="C1678">
        <v>4.4000000000000004</v>
      </c>
      <c r="D1678">
        <v>4.72</v>
      </c>
      <c r="E1678">
        <v>4.37</v>
      </c>
      <c r="F1678">
        <v>4.6500000000000004</v>
      </c>
      <c r="G1678">
        <v>198001</v>
      </c>
      <c r="H1678">
        <v>90185016</v>
      </c>
      <c r="I1678">
        <v>1.76</v>
      </c>
      <c r="J1678" t="s">
        <v>279</v>
      </c>
      <c r="K1678" t="s">
        <v>229</v>
      </c>
      <c r="L1678">
        <v>5.68</v>
      </c>
      <c r="M1678">
        <v>4.55</v>
      </c>
      <c r="N1678">
        <v>83778</v>
      </c>
      <c r="O1678">
        <v>114222</v>
      </c>
      <c r="P1678">
        <v>0.73</v>
      </c>
      <c r="Q1678">
        <v>621</v>
      </c>
      <c r="R1678">
        <v>498</v>
      </c>
      <c r="S1678" t="s">
        <v>3</v>
      </c>
      <c r="T1678">
        <v>83893.88</v>
      </c>
      <c r="U1678" t="s">
        <v>4444</v>
      </c>
      <c r="V1678" t="s">
        <v>4444</v>
      </c>
      <c r="W1678">
        <v>5.68</v>
      </c>
    </row>
    <row r="1679" spans="1:23">
      <c r="A1679" t="str">
        <f>"600127"</f>
        <v>600127</v>
      </c>
      <c r="B1679" t="s">
        <v>4445</v>
      </c>
      <c r="C1679">
        <v>5.17</v>
      </c>
      <c r="D1679">
        <v>5.27</v>
      </c>
      <c r="E1679">
        <v>5.13</v>
      </c>
      <c r="F1679">
        <v>5.26</v>
      </c>
      <c r="G1679">
        <v>223957</v>
      </c>
      <c r="H1679">
        <v>116829888</v>
      </c>
      <c r="I1679">
        <v>2.23</v>
      </c>
      <c r="J1679" t="s">
        <v>169</v>
      </c>
      <c r="K1679" t="s">
        <v>234</v>
      </c>
      <c r="L1679">
        <v>2.14</v>
      </c>
      <c r="M1679">
        <v>5.22</v>
      </c>
      <c r="N1679">
        <v>107113</v>
      </c>
      <c r="O1679">
        <v>116843</v>
      </c>
      <c r="P1679">
        <v>0.92</v>
      </c>
      <c r="Q1679">
        <v>1817</v>
      </c>
      <c r="R1679">
        <v>2447</v>
      </c>
      <c r="S1679" t="s">
        <v>3</v>
      </c>
      <c r="T1679">
        <v>54445.96</v>
      </c>
      <c r="U1679" t="s">
        <v>4446</v>
      </c>
      <c r="V1679" t="s">
        <v>1734</v>
      </c>
      <c r="W1679">
        <v>2.13</v>
      </c>
    </row>
    <row r="1680" spans="1:23">
      <c r="A1680" t="str">
        <f>"600128"</f>
        <v>600128</v>
      </c>
      <c r="B1680" t="s">
        <v>4447</v>
      </c>
      <c r="C1680">
        <v>10.67</v>
      </c>
      <c r="D1680">
        <v>10.74</v>
      </c>
      <c r="E1680">
        <v>10.5</v>
      </c>
      <c r="F1680">
        <v>10.71</v>
      </c>
      <c r="G1680">
        <v>56855</v>
      </c>
      <c r="H1680">
        <v>60390792</v>
      </c>
      <c r="I1680">
        <v>0.8</v>
      </c>
      <c r="J1680" t="s">
        <v>173</v>
      </c>
      <c r="K1680" t="s">
        <v>244</v>
      </c>
      <c r="L1680">
        <v>0.37</v>
      </c>
      <c r="M1680">
        <v>10.62</v>
      </c>
      <c r="N1680">
        <v>33832</v>
      </c>
      <c r="O1680">
        <v>23022</v>
      </c>
      <c r="P1680">
        <v>1.47</v>
      </c>
      <c r="Q1680">
        <v>47</v>
      </c>
      <c r="R1680">
        <v>435</v>
      </c>
      <c r="S1680" t="s">
        <v>3</v>
      </c>
      <c r="T1680">
        <v>24676.75</v>
      </c>
      <c r="U1680" t="s">
        <v>4448</v>
      </c>
      <c r="V1680" t="s">
        <v>4448</v>
      </c>
      <c r="W1680">
        <v>0.37</v>
      </c>
    </row>
    <row r="1681" spans="1:23">
      <c r="A1681" t="str">
        <f>"600129"</f>
        <v>600129</v>
      </c>
      <c r="B1681" t="s">
        <v>4449</v>
      </c>
      <c r="C1681">
        <v>13.11</v>
      </c>
      <c r="D1681">
        <v>13.86</v>
      </c>
      <c r="E1681">
        <v>12.99</v>
      </c>
      <c r="F1681">
        <v>13.53</v>
      </c>
      <c r="G1681">
        <v>165390</v>
      </c>
      <c r="H1681">
        <v>220704976</v>
      </c>
      <c r="I1681">
        <v>1.47</v>
      </c>
      <c r="J1681" t="s">
        <v>321</v>
      </c>
      <c r="K1681" t="s">
        <v>386</v>
      </c>
      <c r="L1681">
        <v>3.84</v>
      </c>
      <c r="M1681">
        <v>13.34</v>
      </c>
      <c r="N1681">
        <v>78021</v>
      </c>
      <c r="O1681">
        <v>87368</v>
      </c>
      <c r="P1681">
        <v>0.89</v>
      </c>
      <c r="Q1681">
        <v>48</v>
      </c>
      <c r="R1681">
        <v>219</v>
      </c>
      <c r="S1681" t="s">
        <v>3</v>
      </c>
      <c r="T1681">
        <v>42689.39</v>
      </c>
      <c r="U1681" t="s">
        <v>4450</v>
      </c>
      <c r="V1681" t="s">
        <v>4450</v>
      </c>
      <c r="W1681">
        <v>3.83</v>
      </c>
    </row>
    <row r="1682" spans="1:23">
      <c r="A1682" t="str">
        <f>"600130"</f>
        <v>600130</v>
      </c>
      <c r="B1682" t="s">
        <v>4451</v>
      </c>
      <c r="C1682">
        <v>5.54</v>
      </c>
      <c r="D1682">
        <v>5.57</v>
      </c>
      <c r="E1682">
        <v>5.42</v>
      </c>
      <c r="F1682">
        <v>5.52</v>
      </c>
      <c r="G1682">
        <v>241104</v>
      </c>
      <c r="H1682">
        <v>132457112</v>
      </c>
      <c r="I1682">
        <v>0.98</v>
      </c>
      <c r="J1682" t="s">
        <v>112</v>
      </c>
      <c r="K1682" t="s">
        <v>229</v>
      </c>
      <c r="L1682">
        <v>-0.18</v>
      </c>
      <c r="M1682">
        <v>5.49</v>
      </c>
      <c r="N1682">
        <v>126748</v>
      </c>
      <c r="O1682">
        <v>114356</v>
      </c>
      <c r="P1682">
        <v>1.1100000000000001</v>
      </c>
      <c r="Q1682">
        <v>68</v>
      </c>
      <c r="R1682">
        <v>2361</v>
      </c>
      <c r="S1682" t="s">
        <v>3</v>
      </c>
      <c r="T1682">
        <v>76800</v>
      </c>
      <c r="U1682" t="s">
        <v>4452</v>
      </c>
      <c r="V1682" t="s">
        <v>4452</v>
      </c>
      <c r="W1682">
        <v>-0.19</v>
      </c>
    </row>
    <row r="1683" spans="1:23">
      <c r="A1683" t="str">
        <f>"600131"</f>
        <v>600131</v>
      </c>
      <c r="B1683" t="s">
        <v>4453</v>
      </c>
      <c r="C1683">
        <v>5.07</v>
      </c>
      <c r="D1683">
        <v>5.0999999999999996</v>
      </c>
      <c r="E1683">
        <v>4.99</v>
      </c>
      <c r="F1683">
        <v>5.04</v>
      </c>
      <c r="G1683">
        <v>58843</v>
      </c>
      <c r="H1683">
        <v>29728804</v>
      </c>
      <c r="I1683">
        <v>0.78</v>
      </c>
      <c r="J1683" t="s">
        <v>852</v>
      </c>
      <c r="K1683" t="s">
        <v>225</v>
      </c>
      <c r="L1683">
        <v>-0.79</v>
      </c>
      <c r="M1683">
        <v>5.05</v>
      </c>
      <c r="N1683">
        <v>36979</v>
      </c>
      <c r="O1683">
        <v>21864</v>
      </c>
      <c r="P1683">
        <v>1.69</v>
      </c>
      <c r="Q1683">
        <v>503</v>
      </c>
      <c r="R1683">
        <v>963</v>
      </c>
      <c r="S1683" t="s">
        <v>3</v>
      </c>
      <c r="T1683">
        <v>39736.69</v>
      </c>
      <c r="U1683" t="s">
        <v>1660</v>
      </c>
      <c r="V1683" t="s">
        <v>4454</v>
      </c>
      <c r="W1683">
        <v>-0.79</v>
      </c>
    </row>
    <row r="1684" spans="1:23">
      <c r="A1684" t="str">
        <f>"600132"</f>
        <v>600132</v>
      </c>
      <c r="B1684" t="s">
        <v>4455</v>
      </c>
      <c r="C1684">
        <v>15.77</v>
      </c>
      <c r="D1684">
        <v>15.84</v>
      </c>
      <c r="E1684">
        <v>15.69</v>
      </c>
      <c r="F1684">
        <v>15.71</v>
      </c>
      <c r="G1684">
        <v>36256</v>
      </c>
      <c r="H1684">
        <v>57087448</v>
      </c>
      <c r="I1684">
        <v>0.67</v>
      </c>
      <c r="J1684" t="s">
        <v>871</v>
      </c>
      <c r="K1684" t="s">
        <v>386</v>
      </c>
      <c r="L1684">
        <v>-0.38</v>
      </c>
      <c r="M1684">
        <v>15.75</v>
      </c>
      <c r="N1684">
        <v>18911</v>
      </c>
      <c r="O1684">
        <v>17345</v>
      </c>
      <c r="P1684">
        <v>1.0900000000000001</v>
      </c>
      <c r="Q1684">
        <v>19</v>
      </c>
      <c r="R1684">
        <v>140</v>
      </c>
      <c r="S1684" t="s">
        <v>3</v>
      </c>
      <c r="T1684">
        <v>48397.120000000003</v>
      </c>
      <c r="U1684" t="s">
        <v>4456</v>
      </c>
      <c r="V1684" t="s">
        <v>4456</v>
      </c>
      <c r="W1684">
        <v>-0.38</v>
      </c>
    </row>
    <row r="1685" spans="1:23">
      <c r="A1685" t="str">
        <f>"600133"</f>
        <v>600133</v>
      </c>
      <c r="B1685" t="s">
        <v>4457</v>
      </c>
      <c r="C1685">
        <v>6.49</v>
      </c>
      <c r="D1685">
        <v>6.52</v>
      </c>
      <c r="E1685">
        <v>6.37</v>
      </c>
      <c r="F1685">
        <v>6.42</v>
      </c>
      <c r="G1685">
        <v>96733</v>
      </c>
      <c r="H1685">
        <v>61988804</v>
      </c>
      <c r="I1685">
        <v>1.01</v>
      </c>
      <c r="J1685" t="s">
        <v>663</v>
      </c>
      <c r="K1685" t="s">
        <v>317</v>
      </c>
      <c r="L1685">
        <v>-0.77</v>
      </c>
      <c r="M1685">
        <v>6.41</v>
      </c>
      <c r="N1685">
        <v>57103</v>
      </c>
      <c r="O1685">
        <v>39629</v>
      </c>
      <c r="P1685">
        <v>1.44</v>
      </c>
      <c r="Q1685">
        <v>1093</v>
      </c>
      <c r="R1685">
        <v>235</v>
      </c>
      <c r="S1685" t="s">
        <v>3</v>
      </c>
      <c r="T1685">
        <v>42661.67</v>
      </c>
      <c r="U1685" t="s">
        <v>803</v>
      </c>
      <c r="V1685" t="s">
        <v>1697</v>
      </c>
      <c r="W1685">
        <v>-0.78</v>
      </c>
    </row>
    <row r="1686" spans="1:23">
      <c r="A1686" t="str">
        <f>"600135"</f>
        <v>600135</v>
      </c>
      <c r="B1686" t="s">
        <v>4458</v>
      </c>
      <c r="C1686">
        <v>12.38</v>
      </c>
      <c r="D1686">
        <v>12.92</v>
      </c>
      <c r="E1686">
        <v>12.3</v>
      </c>
      <c r="F1686">
        <v>12.84</v>
      </c>
      <c r="G1686">
        <v>138736</v>
      </c>
      <c r="H1686">
        <v>175691104</v>
      </c>
      <c r="I1686">
        <v>1.1299999999999999</v>
      </c>
      <c r="J1686" t="s">
        <v>376</v>
      </c>
      <c r="K1686" t="s">
        <v>238</v>
      </c>
      <c r="L1686">
        <v>3.72</v>
      </c>
      <c r="M1686">
        <v>12.66</v>
      </c>
      <c r="N1686">
        <v>51435</v>
      </c>
      <c r="O1686">
        <v>87301</v>
      </c>
      <c r="P1686">
        <v>0.59</v>
      </c>
      <c r="Q1686">
        <v>16</v>
      </c>
      <c r="R1686">
        <v>316</v>
      </c>
      <c r="S1686" t="s">
        <v>3</v>
      </c>
      <c r="T1686">
        <v>34200</v>
      </c>
      <c r="U1686" t="s">
        <v>817</v>
      </c>
      <c r="V1686" t="s">
        <v>817</v>
      </c>
      <c r="W1686">
        <v>3.71</v>
      </c>
    </row>
    <row r="1687" spans="1:23">
      <c r="A1687" t="str">
        <f>"600136"</f>
        <v>600136</v>
      </c>
      <c r="B1687" t="s">
        <v>4459</v>
      </c>
      <c r="C1687">
        <v>16.71</v>
      </c>
      <c r="D1687">
        <v>17.07</v>
      </c>
      <c r="E1687">
        <v>16.61</v>
      </c>
      <c r="F1687">
        <v>16.93</v>
      </c>
      <c r="G1687">
        <v>22051</v>
      </c>
      <c r="H1687">
        <v>37135344</v>
      </c>
      <c r="I1687">
        <v>0.94</v>
      </c>
      <c r="J1687" t="s">
        <v>173</v>
      </c>
      <c r="K1687" t="s">
        <v>317</v>
      </c>
      <c r="L1687">
        <v>1.32</v>
      </c>
      <c r="M1687">
        <v>16.84</v>
      </c>
      <c r="N1687">
        <v>11386</v>
      </c>
      <c r="O1687">
        <v>10664</v>
      </c>
      <c r="P1687">
        <v>1.07</v>
      </c>
      <c r="Q1687">
        <v>47</v>
      </c>
      <c r="R1687">
        <v>130</v>
      </c>
      <c r="S1687" t="s">
        <v>3</v>
      </c>
      <c r="T1687">
        <v>10429.4</v>
      </c>
      <c r="U1687" t="s">
        <v>57</v>
      </c>
      <c r="V1687" t="s">
        <v>4460</v>
      </c>
      <c r="W1687">
        <v>1.31</v>
      </c>
    </row>
    <row r="1688" spans="1:23">
      <c r="A1688" t="str">
        <f>"600137"</f>
        <v>600137</v>
      </c>
      <c r="B1688" t="s">
        <v>4461</v>
      </c>
      <c r="C1688">
        <v>19.8</v>
      </c>
      <c r="D1688">
        <v>19.88</v>
      </c>
      <c r="E1688">
        <v>19.239999999999998</v>
      </c>
      <c r="F1688">
        <v>19.510000000000002</v>
      </c>
      <c r="G1688">
        <v>23558</v>
      </c>
      <c r="H1688">
        <v>45874792</v>
      </c>
      <c r="I1688">
        <v>1.03</v>
      </c>
      <c r="J1688" t="s">
        <v>1373</v>
      </c>
      <c r="K1688" t="s">
        <v>225</v>
      </c>
      <c r="L1688">
        <v>-0.81</v>
      </c>
      <c r="M1688">
        <v>19.47</v>
      </c>
      <c r="N1688">
        <v>13446</v>
      </c>
      <c r="O1688">
        <v>10111</v>
      </c>
      <c r="P1688">
        <v>1.33</v>
      </c>
      <c r="Q1688">
        <v>9</v>
      </c>
      <c r="R1688">
        <v>41</v>
      </c>
      <c r="S1688" t="s">
        <v>3</v>
      </c>
      <c r="T1688">
        <v>9721.75</v>
      </c>
      <c r="U1688" t="s">
        <v>3750</v>
      </c>
      <c r="V1688" t="s">
        <v>3750</v>
      </c>
      <c r="W1688">
        <v>-0.82</v>
      </c>
    </row>
    <row r="1689" spans="1:23">
      <c r="A1689" t="str">
        <f>"600138"</f>
        <v>600138</v>
      </c>
      <c r="B1689" t="s">
        <v>4462</v>
      </c>
      <c r="C1689">
        <v>24.13</v>
      </c>
      <c r="D1689">
        <v>24.15</v>
      </c>
      <c r="E1689">
        <v>23.7</v>
      </c>
      <c r="F1689">
        <v>24.04</v>
      </c>
      <c r="G1689">
        <v>65712</v>
      </c>
      <c r="H1689">
        <v>157180688</v>
      </c>
      <c r="I1689">
        <v>0.66</v>
      </c>
      <c r="J1689" t="s">
        <v>625</v>
      </c>
      <c r="K1689" t="s">
        <v>34</v>
      </c>
      <c r="L1689">
        <v>-0.28999999999999998</v>
      </c>
      <c r="M1689">
        <v>23.92</v>
      </c>
      <c r="N1689">
        <v>35691</v>
      </c>
      <c r="O1689">
        <v>30021</v>
      </c>
      <c r="P1689">
        <v>1.19</v>
      </c>
      <c r="Q1689">
        <v>2</v>
      </c>
      <c r="R1689">
        <v>8</v>
      </c>
      <c r="S1689" t="s">
        <v>3</v>
      </c>
      <c r="T1689">
        <v>41535</v>
      </c>
      <c r="U1689" t="s">
        <v>4463</v>
      </c>
      <c r="V1689" t="s">
        <v>4464</v>
      </c>
      <c r="W1689">
        <v>-0.28999999999999998</v>
      </c>
    </row>
    <row r="1690" spans="1:23">
      <c r="A1690" t="str">
        <f>"600139"</f>
        <v>600139</v>
      </c>
      <c r="B1690" t="s">
        <v>4465</v>
      </c>
      <c r="C1690">
        <v>16.34</v>
      </c>
      <c r="D1690">
        <v>17.96</v>
      </c>
      <c r="E1690">
        <v>16.239999999999998</v>
      </c>
      <c r="F1690">
        <v>17.96</v>
      </c>
      <c r="G1690">
        <v>211905</v>
      </c>
      <c r="H1690">
        <v>372658592</v>
      </c>
      <c r="I1690">
        <v>1.68</v>
      </c>
      <c r="J1690" t="s">
        <v>670</v>
      </c>
      <c r="K1690" t="s">
        <v>225</v>
      </c>
      <c r="L1690">
        <v>9.98</v>
      </c>
      <c r="M1690">
        <v>17.59</v>
      </c>
      <c r="N1690">
        <v>95635</v>
      </c>
      <c r="O1690">
        <v>116270</v>
      </c>
      <c r="P1690">
        <v>0.82</v>
      </c>
      <c r="Q1690">
        <v>137</v>
      </c>
      <c r="R1690">
        <v>482</v>
      </c>
      <c r="S1690" t="s">
        <v>3</v>
      </c>
      <c r="T1690">
        <v>62971.48</v>
      </c>
      <c r="U1690" t="s">
        <v>4466</v>
      </c>
      <c r="V1690" t="s">
        <v>4467</v>
      </c>
      <c r="W1690">
        <v>9.98</v>
      </c>
    </row>
    <row r="1691" spans="1:23">
      <c r="A1691" t="str">
        <f>"600141"</f>
        <v>600141</v>
      </c>
      <c r="B1691" t="s">
        <v>4468</v>
      </c>
      <c r="C1691">
        <v>12</v>
      </c>
      <c r="D1691">
        <v>12.01</v>
      </c>
      <c r="E1691">
        <v>11.85</v>
      </c>
      <c r="F1691">
        <v>11.93</v>
      </c>
      <c r="G1691">
        <v>40319</v>
      </c>
      <c r="H1691">
        <v>48047208</v>
      </c>
      <c r="I1691">
        <v>0.71</v>
      </c>
      <c r="J1691" t="s">
        <v>376</v>
      </c>
      <c r="K1691" t="s">
        <v>317</v>
      </c>
      <c r="L1691">
        <v>-0.33</v>
      </c>
      <c r="M1691">
        <v>11.92</v>
      </c>
      <c r="N1691">
        <v>24071</v>
      </c>
      <c r="O1691">
        <v>16247</v>
      </c>
      <c r="P1691">
        <v>1.48</v>
      </c>
      <c r="Q1691">
        <v>30</v>
      </c>
      <c r="R1691">
        <v>35</v>
      </c>
      <c r="S1691" t="s">
        <v>3</v>
      </c>
      <c r="T1691">
        <v>40687.71</v>
      </c>
      <c r="U1691" t="s">
        <v>4469</v>
      </c>
      <c r="V1691" t="s">
        <v>4470</v>
      </c>
      <c r="W1691">
        <v>-0.34</v>
      </c>
    </row>
    <row r="1692" spans="1:23">
      <c r="A1692" t="str">
        <f>"600143"</f>
        <v>600143</v>
      </c>
      <c r="B1692" t="s">
        <v>4471</v>
      </c>
      <c r="C1692">
        <v>5.26</v>
      </c>
      <c r="D1692">
        <v>5.3</v>
      </c>
      <c r="E1692">
        <v>5.21</v>
      </c>
      <c r="F1692">
        <v>5.27</v>
      </c>
      <c r="G1692">
        <v>310531</v>
      </c>
      <c r="H1692">
        <v>162727264</v>
      </c>
      <c r="I1692">
        <v>0.63</v>
      </c>
      <c r="J1692" t="s">
        <v>273</v>
      </c>
      <c r="K1692" t="s">
        <v>211</v>
      </c>
      <c r="L1692">
        <v>0.38</v>
      </c>
      <c r="M1692">
        <v>5.24</v>
      </c>
      <c r="N1692">
        <v>183104</v>
      </c>
      <c r="O1692">
        <v>127426</v>
      </c>
      <c r="P1692">
        <v>1.44</v>
      </c>
      <c r="Q1692">
        <v>2866</v>
      </c>
      <c r="R1692">
        <v>711</v>
      </c>
      <c r="S1692" t="s">
        <v>3</v>
      </c>
      <c r="T1692">
        <v>256000</v>
      </c>
      <c r="U1692" t="s">
        <v>4472</v>
      </c>
      <c r="V1692" t="s">
        <v>4472</v>
      </c>
      <c r="W1692">
        <v>0.38</v>
      </c>
    </row>
    <row r="1693" spans="1:23">
      <c r="A1693" t="str">
        <f>"600145"</f>
        <v>600145</v>
      </c>
      <c r="B1693" t="s">
        <v>4473</v>
      </c>
      <c r="C1693">
        <v>4.5199999999999996</v>
      </c>
      <c r="D1693">
        <v>4.55</v>
      </c>
      <c r="E1693">
        <v>4.4800000000000004</v>
      </c>
      <c r="F1693">
        <v>4.51</v>
      </c>
      <c r="G1693">
        <v>74370</v>
      </c>
      <c r="H1693">
        <v>33565880</v>
      </c>
      <c r="I1693">
        <v>0.79</v>
      </c>
      <c r="J1693" t="s">
        <v>1643</v>
      </c>
      <c r="K1693" t="s">
        <v>452</v>
      </c>
      <c r="L1693">
        <v>-0.22</v>
      </c>
      <c r="M1693">
        <v>4.51</v>
      </c>
      <c r="N1693">
        <v>46833</v>
      </c>
      <c r="O1693">
        <v>27537</v>
      </c>
      <c r="P1693">
        <v>1.7</v>
      </c>
      <c r="Q1693">
        <v>217</v>
      </c>
      <c r="R1693">
        <v>114</v>
      </c>
      <c r="S1693" t="s">
        <v>3</v>
      </c>
      <c r="T1693">
        <v>37768.5</v>
      </c>
      <c r="U1693" t="s">
        <v>4474</v>
      </c>
      <c r="V1693" t="s">
        <v>4474</v>
      </c>
      <c r="W1693">
        <v>-0.23</v>
      </c>
    </row>
    <row r="1694" spans="1:23">
      <c r="A1694" t="str">
        <f>"600146"</f>
        <v>600146</v>
      </c>
      <c r="B1694" t="s">
        <v>4475</v>
      </c>
      <c r="C1694" t="s">
        <v>3</v>
      </c>
      <c r="D1694" t="s">
        <v>3</v>
      </c>
      <c r="E1694" t="s">
        <v>3</v>
      </c>
      <c r="F1694">
        <v>11.52</v>
      </c>
      <c r="G1694">
        <v>0</v>
      </c>
      <c r="H1694">
        <v>0</v>
      </c>
      <c r="I1694">
        <v>0</v>
      </c>
      <c r="J1694" t="s">
        <v>273</v>
      </c>
      <c r="K1694" t="s">
        <v>496</v>
      </c>
      <c r="L1694">
        <v>0</v>
      </c>
      <c r="M1694">
        <v>11.52</v>
      </c>
      <c r="N1694">
        <v>0</v>
      </c>
      <c r="O1694">
        <v>0</v>
      </c>
      <c r="P1694" t="s">
        <v>3</v>
      </c>
      <c r="Q1694">
        <v>0</v>
      </c>
      <c r="R1694">
        <v>0</v>
      </c>
      <c r="S1694" t="s">
        <v>3</v>
      </c>
      <c r="T1694">
        <v>20000</v>
      </c>
      <c r="U1694" t="s">
        <v>850</v>
      </c>
      <c r="V1694" t="s">
        <v>850</v>
      </c>
      <c r="W1694">
        <v>0</v>
      </c>
    </row>
    <row r="1695" spans="1:23">
      <c r="A1695" t="str">
        <f>"600148"</f>
        <v>600148</v>
      </c>
      <c r="B1695" t="s">
        <v>4476</v>
      </c>
      <c r="C1695">
        <v>15.18</v>
      </c>
      <c r="D1695">
        <v>15.18</v>
      </c>
      <c r="E1695">
        <v>14.85</v>
      </c>
      <c r="F1695">
        <v>14.98</v>
      </c>
      <c r="G1695">
        <v>21592</v>
      </c>
      <c r="H1695">
        <v>32357688</v>
      </c>
      <c r="I1695">
        <v>0.53</v>
      </c>
      <c r="J1695" t="s">
        <v>98</v>
      </c>
      <c r="K1695" t="s">
        <v>99</v>
      </c>
      <c r="L1695">
        <v>-0.93</v>
      </c>
      <c r="M1695">
        <v>14.99</v>
      </c>
      <c r="N1695">
        <v>12030</v>
      </c>
      <c r="O1695">
        <v>9561</v>
      </c>
      <c r="P1695">
        <v>1.26</v>
      </c>
      <c r="Q1695">
        <v>43</v>
      </c>
      <c r="R1695">
        <v>23</v>
      </c>
      <c r="S1695" t="s">
        <v>3</v>
      </c>
      <c r="T1695">
        <v>14151.63</v>
      </c>
      <c r="U1695" t="s">
        <v>1634</v>
      </c>
      <c r="V1695" t="s">
        <v>1634</v>
      </c>
      <c r="W1695">
        <v>-0.93</v>
      </c>
    </row>
    <row r="1696" spans="1:23">
      <c r="A1696" t="str">
        <f>"600149"</f>
        <v>600149</v>
      </c>
      <c r="B1696" t="s">
        <v>4477</v>
      </c>
      <c r="C1696">
        <v>12.7</v>
      </c>
      <c r="D1696">
        <v>12.86</v>
      </c>
      <c r="E1696">
        <v>12.59</v>
      </c>
      <c r="F1696">
        <v>12.76</v>
      </c>
      <c r="G1696">
        <v>206959</v>
      </c>
      <c r="H1696">
        <v>262777136</v>
      </c>
      <c r="I1696">
        <v>0.48</v>
      </c>
      <c r="J1696" t="s">
        <v>398</v>
      </c>
      <c r="K1696" t="s">
        <v>238</v>
      </c>
      <c r="L1696">
        <v>-0.31</v>
      </c>
      <c r="M1696">
        <v>12.7</v>
      </c>
      <c r="N1696">
        <v>109624</v>
      </c>
      <c r="O1696">
        <v>97334</v>
      </c>
      <c r="P1696">
        <v>1.1299999999999999</v>
      </c>
      <c r="Q1696">
        <v>31</v>
      </c>
      <c r="R1696">
        <v>2088</v>
      </c>
      <c r="S1696" t="s">
        <v>3</v>
      </c>
      <c r="T1696">
        <v>33011</v>
      </c>
      <c r="U1696" t="s">
        <v>4478</v>
      </c>
      <c r="V1696" t="s">
        <v>1195</v>
      </c>
      <c r="W1696">
        <v>-0.32</v>
      </c>
    </row>
    <row r="1697" spans="1:23">
      <c r="A1697" t="str">
        <f>"600150"</f>
        <v>600150</v>
      </c>
      <c r="B1697" t="s">
        <v>4479</v>
      </c>
      <c r="C1697">
        <v>29</v>
      </c>
      <c r="D1697">
        <v>30.45</v>
      </c>
      <c r="E1697">
        <v>28.6</v>
      </c>
      <c r="F1697">
        <v>29.61</v>
      </c>
      <c r="G1697">
        <v>583792</v>
      </c>
      <c r="H1697">
        <v>1726697472</v>
      </c>
      <c r="I1697">
        <v>2.0099999999999998</v>
      </c>
      <c r="J1697" t="s">
        <v>2960</v>
      </c>
      <c r="K1697" t="s">
        <v>727</v>
      </c>
      <c r="L1697">
        <v>3.06</v>
      </c>
      <c r="M1697">
        <v>29.58</v>
      </c>
      <c r="N1697">
        <v>261846</v>
      </c>
      <c r="O1697">
        <v>321946</v>
      </c>
      <c r="P1697">
        <v>0.81</v>
      </c>
      <c r="Q1697">
        <v>112</v>
      </c>
      <c r="R1697">
        <v>92</v>
      </c>
      <c r="S1697" t="s">
        <v>3</v>
      </c>
      <c r="T1697">
        <v>137811.76999999999</v>
      </c>
      <c r="U1697" t="s">
        <v>4480</v>
      </c>
      <c r="V1697" t="s">
        <v>4480</v>
      </c>
      <c r="W1697">
        <v>3.06</v>
      </c>
    </row>
    <row r="1698" spans="1:23">
      <c r="A1698" t="str">
        <f>"600151"</f>
        <v>600151</v>
      </c>
      <c r="B1698" t="s">
        <v>4481</v>
      </c>
      <c r="C1698">
        <v>9.98</v>
      </c>
      <c r="D1698">
        <v>10.09</v>
      </c>
      <c r="E1698">
        <v>9.83</v>
      </c>
      <c r="F1698">
        <v>9.91</v>
      </c>
      <c r="G1698">
        <v>350547</v>
      </c>
      <c r="H1698">
        <v>348909824</v>
      </c>
      <c r="I1698">
        <v>0.56000000000000005</v>
      </c>
      <c r="J1698" t="s">
        <v>1581</v>
      </c>
      <c r="K1698" t="s">
        <v>727</v>
      </c>
      <c r="L1698">
        <v>-0.6</v>
      </c>
      <c r="M1698">
        <v>9.9499999999999993</v>
      </c>
      <c r="N1698">
        <v>206628</v>
      </c>
      <c r="O1698">
        <v>143919</v>
      </c>
      <c r="P1698">
        <v>1.44</v>
      </c>
      <c r="Q1698">
        <v>136</v>
      </c>
      <c r="R1698">
        <v>766</v>
      </c>
      <c r="S1698" t="s">
        <v>3</v>
      </c>
      <c r="T1698">
        <v>120469.53</v>
      </c>
      <c r="U1698" t="s">
        <v>4482</v>
      </c>
      <c r="V1698" t="s">
        <v>4483</v>
      </c>
      <c r="W1698">
        <v>-0.61</v>
      </c>
    </row>
    <row r="1699" spans="1:23">
      <c r="A1699" t="str">
        <f>"600152"</f>
        <v>600152</v>
      </c>
      <c r="B1699" t="s">
        <v>4484</v>
      </c>
      <c r="C1699">
        <v>9.4499999999999993</v>
      </c>
      <c r="D1699">
        <v>9.76</v>
      </c>
      <c r="E1699">
        <v>9.4</v>
      </c>
      <c r="F1699">
        <v>9.5500000000000007</v>
      </c>
      <c r="G1699">
        <v>159034</v>
      </c>
      <c r="H1699">
        <v>152613648</v>
      </c>
      <c r="I1699">
        <v>0.92</v>
      </c>
      <c r="J1699" t="s">
        <v>55</v>
      </c>
      <c r="K1699" t="s">
        <v>229</v>
      </c>
      <c r="L1699">
        <v>0.42</v>
      </c>
      <c r="M1699">
        <v>9.6</v>
      </c>
      <c r="N1699">
        <v>77645</v>
      </c>
      <c r="O1699">
        <v>81389</v>
      </c>
      <c r="P1699">
        <v>0.95</v>
      </c>
      <c r="Q1699">
        <v>376</v>
      </c>
      <c r="R1699">
        <v>276</v>
      </c>
      <c r="S1699" t="s">
        <v>3</v>
      </c>
      <c r="T1699">
        <v>29349.41</v>
      </c>
      <c r="U1699" t="s">
        <v>4485</v>
      </c>
      <c r="V1699" t="s">
        <v>4485</v>
      </c>
      <c r="W1699">
        <v>0.42</v>
      </c>
    </row>
    <row r="1700" spans="1:23">
      <c r="A1700" t="str">
        <f>"600153"</f>
        <v>600153</v>
      </c>
      <c r="B1700" t="s">
        <v>4486</v>
      </c>
      <c r="C1700">
        <v>6.08</v>
      </c>
      <c r="D1700">
        <v>6.32</v>
      </c>
      <c r="E1700">
        <v>6.02</v>
      </c>
      <c r="F1700">
        <v>6.25</v>
      </c>
      <c r="G1700">
        <v>711248</v>
      </c>
      <c r="H1700">
        <v>440465152</v>
      </c>
      <c r="I1700">
        <v>2.27</v>
      </c>
      <c r="J1700" t="s">
        <v>173</v>
      </c>
      <c r="K1700" t="s">
        <v>414</v>
      </c>
      <c r="L1700">
        <v>2.8</v>
      </c>
      <c r="M1700">
        <v>6.19</v>
      </c>
      <c r="N1700">
        <v>266933</v>
      </c>
      <c r="O1700">
        <v>444314</v>
      </c>
      <c r="P1700">
        <v>0.6</v>
      </c>
      <c r="Q1700">
        <v>83</v>
      </c>
      <c r="R1700">
        <v>4282</v>
      </c>
      <c r="S1700" t="s">
        <v>3</v>
      </c>
      <c r="T1700">
        <v>283520.06</v>
      </c>
      <c r="U1700" t="s">
        <v>4487</v>
      </c>
      <c r="V1700" t="s">
        <v>4487</v>
      </c>
      <c r="W1700">
        <v>2.79</v>
      </c>
    </row>
    <row r="1701" spans="1:23">
      <c r="A1701" t="str">
        <f>"600155"</f>
        <v>600155</v>
      </c>
      <c r="B1701" t="s">
        <v>4488</v>
      </c>
      <c r="C1701">
        <v>8.4499999999999993</v>
      </c>
      <c r="D1701">
        <v>8.51</v>
      </c>
      <c r="E1701">
        <v>8.31</v>
      </c>
      <c r="F1701">
        <v>8.3800000000000008</v>
      </c>
      <c r="G1701">
        <v>141381</v>
      </c>
      <c r="H1701">
        <v>118605048</v>
      </c>
      <c r="I1701">
        <v>0.59</v>
      </c>
      <c r="J1701" t="s">
        <v>376</v>
      </c>
      <c r="K1701" t="s">
        <v>238</v>
      </c>
      <c r="L1701">
        <v>-1.53</v>
      </c>
      <c r="M1701">
        <v>8.39</v>
      </c>
      <c r="N1701">
        <v>88768</v>
      </c>
      <c r="O1701">
        <v>52612</v>
      </c>
      <c r="P1701">
        <v>1.69</v>
      </c>
      <c r="Q1701">
        <v>1751</v>
      </c>
      <c r="R1701">
        <v>11</v>
      </c>
      <c r="S1701" t="s">
        <v>3</v>
      </c>
      <c r="T1701">
        <v>41250</v>
      </c>
      <c r="U1701" t="s">
        <v>4489</v>
      </c>
      <c r="V1701" t="s">
        <v>4489</v>
      </c>
      <c r="W1701">
        <v>-1.53</v>
      </c>
    </row>
    <row r="1702" spans="1:23">
      <c r="A1702" t="str">
        <f>"600156"</f>
        <v>600156</v>
      </c>
      <c r="B1702" t="s">
        <v>4490</v>
      </c>
      <c r="C1702">
        <v>5.93</v>
      </c>
      <c r="D1702">
        <v>6.16</v>
      </c>
      <c r="E1702">
        <v>5.93</v>
      </c>
      <c r="F1702">
        <v>6.08</v>
      </c>
      <c r="G1702">
        <v>139769</v>
      </c>
      <c r="H1702">
        <v>85083912</v>
      </c>
      <c r="I1702">
        <v>0.93</v>
      </c>
      <c r="J1702" t="s">
        <v>55</v>
      </c>
      <c r="K1702" t="s">
        <v>234</v>
      </c>
      <c r="L1702">
        <v>1.84</v>
      </c>
      <c r="M1702">
        <v>6.09</v>
      </c>
      <c r="N1702">
        <v>56075</v>
      </c>
      <c r="O1702">
        <v>83694</v>
      </c>
      <c r="P1702">
        <v>0.67</v>
      </c>
      <c r="Q1702">
        <v>122</v>
      </c>
      <c r="R1702">
        <v>11</v>
      </c>
      <c r="S1702" t="s">
        <v>3</v>
      </c>
      <c r="T1702">
        <v>40211.07</v>
      </c>
      <c r="U1702" t="s">
        <v>4491</v>
      </c>
      <c r="V1702" t="s">
        <v>4491</v>
      </c>
      <c r="W1702">
        <v>1.84</v>
      </c>
    </row>
    <row r="1703" spans="1:23">
      <c r="A1703" t="str">
        <f>"600157"</f>
        <v>600157</v>
      </c>
      <c r="B1703" t="s">
        <v>4492</v>
      </c>
      <c r="C1703">
        <v>5.26</v>
      </c>
      <c r="D1703">
        <v>5.36</v>
      </c>
      <c r="E1703">
        <v>5.14</v>
      </c>
      <c r="F1703">
        <v>5.3</v>
      </c>
      <c r="G1703">
        <v>2184114</v>
      </c>
      <c r="H1703">
        <v>1146128256</v>
      </c>
      <c r="I1703">
        <v>0.85</v>
      </c>
      <c r="J1703" t="s">
        <v>482</v>
      </c>
      <c r="K1703" t="s">
        <v>742</v>
      </c>
      <c r="L1703">
        <v>0.95</v>
      </c>
      <c r="M1703">
        <v>5.25</v>
      </c>
      <c r="N1703">
        <v>1027224</v>
      </c>
      <c r="O1703">
        <v>1156890</v>
      </c>
      <c r="P1703">
        <v>0.89</v>
      </c>
      <c r="Q1703">
        <v>7754</v>
      </c>
      <c r="R1703">
        <v>28054</v>
      </c>
      <c r="S1703" t="s">
        <v>3</v>
      </c>
      <c r="T1703">
        <v>301300.28000000003</v>
      </c>
      <c r="U1703" t="s">
        <v>4493</v>
      </c>
      <c r="V1703" t="s">
        <v>4494</v>
      </c>
      <c r="W1703">
        <v>0.95</v>
      </c>
    </row>
    <row r="1704" spans="1:23">
      <c r="A1704" t="str">
        <f>"600158"</f>
        <v>600158</v>
      </c>
      <c r="B1704" t="s">
        <v>4495</v>
      </c>
      <c r="C1704">
        <v>12.62</v>
      </c>
      <c r="D1704">
        <v>14.04</v>
      </c>
      <c r="E1704">
        <v>12.5</v>
      </c>
      <c r="F1704">
        <v>14.04</v>
      </c>
      <c r="G1704">
        <v>1357367</v>
      </c>
      <c r="H1704">
        <v>1824905984</v>
      </c>
      <c r="I1704">
        <v>1.05</v>
      </c>
      <c r="J1704" t="s">
        <v>7</v>
      </c>
      <c r="K1704" t="s">
        <v>442</v>
      </c>
      <c r="L1704">
        <v>10.029999999999999</v>
      </c>
      <c r="M1704">
        <v>13.44</v>
      </c>
      <c r="N1704">
        <v>602147</v>
      </c>
      <c r="O1704">
        <v>755219</v>
      </c>
      <c r="P1704">
        <v>0.8</v>
      </c>
      <c r="Q1704">
        <v>35124</v>
      </c>
      <c r="R1704">
        <v>0</v>
      </c>
      <c r="S1704" t="s">
        <v>3</v>
      </c>
      <c r="T1704">
        <v>65749.53</v>
      </c>
      <c r="U1704" t="s">
        <v>4496</v>
      </c>
      <c r="V1704" t="s">
        <v>4497</v>
      </c>
      <c r="W1704">
        <v>10.029999999999999</v>
      </c>
    </row>
    <row r="1705" spans="1:23">
      <c r="A1705" t="str">
        <f>"600159"</f>
        <v>600159</v>
      </c>
      <c r="B1705" t="s">
        <v>4498</v>
      </c>
      <c r="C1705">
        <v>3.5</v>
      </c>
      <c r="D1705">
        <v>3.53</v>
      </c>
      <c r="E1705">
        <v>3.46</v>
      </c>
      <c r="F1705">
        <v>3.52</v>
      </c>
      <c r="G1705">
        <v>129652</v>
      </c>
      <c r="H1705">
        <v>45352308</v>
      </c>
      <c r="I1705">
        <v>0.67</v>
      </c>
      <c r="J1705" t="s">
        <v>15</v>
      </c>
      <c r="K1705" t="s">
        <v>34</v>
      </c>
      <c r="L1705">
        <v>0.56999999999999995</v>
      </c>
      <c r="M1705">
        <v>3.5</v>
      </c>
      <c r="N1705">
        <v>58220</v>
      </c>
      <c r="O1705">
        <v>71431</v>
      </c>
      <c r="P1705">
        <v>0.82</v>
      </c>
      <c r="Q1705">
        <v>663</v>
      </c>
      <c r="R1705">
        <v>2767</v>
      </c>
      <c r="S1705" t="s">
        <v>3</v>
      </c>
      <c r="T1705">
        <v>83000.320000000007</v>
      </c>
      <c r="U1705" t="s">
        <v>4499</v>
      </c>
      <c r="V1705" t="s">
        <v>4499</v>
      </c>
      <c r="W1705">
        <v>0.56999999999999995</v>
      </c>
    </row>
    <row r="1706" spans="1:23">
      <c r="A1706" t="str">
        <f>"600160"</f>
        <v>600160</v>
      </c>
      <c r="B1706" t="s">
        <v>4500</v>
      </c>
      <c r="C1706">
        <v>5.57</v>
      </c>
      <c r="D1706">
        <v>5.62</v>
      </c>
      <c r="E1706">
        <v>5.51</v>
      </c>
      <c r="F1706">
        <v>5.56</v>
      </c>
      <c r="G1706">
        <v>196389</v>
      </c>
      <c r="H1706">
        <v>109145304</v>
      </c>
      <c r="I1706">
        <v>0.99</v>
      </c>
      <c r="J1706" t="s">
        <v>376</v>
      </c>
      <c r="K1706" t="s">
        <v>229</v>
      </c>
      <c r="L1706">
        <v>-0.18</v>
      </c>
      <c r="M1706">
        <v>5.56</v>
      </c>
      <c r="N1706">
        <v>110448</v>
      </c>
      <c r="O1706">
        <v>85941</v>
      </c>
      <c r="P1706">
        <v>1.29</v>
      </c>
      <c r="Q1706">
        <v>2862</v>
      </c>
      <c r="R1706">
        <v>2208</v>
      </c>
      <c r="S1706" t="s">
        <v>3</v>
      </c>
      <c r="T1706">
        <v>179146.8</v>
      </c>
      <c r="U1706" t="s">
        <v>4501</v>
      </c>
      <c r="V1706" t="s">
        <v>4502</v>
      </c>
      <c r="W1706">
        <v>-0.18</v>
      </c>
    </row>
    <row r="1707" spans="1:23">
      <c r="A1707" t="str">
        <f>"600161"</f>
        <v>600161</v>
      </c>
      <c r="B1707" t="s">
        <v>4503</v>
      </c>
      <c r="C1707">
        <v>22.45</v>
      </c>
      <c r="D1707">
        <v>22.84</v>
      </c>
      <c r="E1707">
        <v>22.31</v>
      </c>
      <c r="F1707">
        <v>22.67</v>
      </c>
      <c r="G1707">
        <v>60103</v>
      </c>
      <c r="H1707">
        <v>136032000</v>
      </c>
      <c r="I1707">
        <v>1.36</v>
      </c>
      <c r="J1707" t="s">
        <v>11</v>
      </c>
      <c r="K1707" t="s">
        <v>34</v>
      </c>
      <c r="L1707">
        <v>1.66</v>
      </c>
      <c r="M1707">
        <v>22.63</v>
      </c>
      <c r="N1707">
        <v>28534</v>
      </c>
      <c r="O1707">
        <v>31569</v>
      </c>
      <c r="P1707">
        <v>0.9</v>
      </c>
      <c r="Q1707">
        <v>179</v>
      </c>
      <c r="R1707">
        <v>280</v>
      </c>
      <c r="S1707" t="s">
        <v>3</v>
      </c>
      <c r="T1707">
        <v>51546.69</v>
      </c>
      <c r="U1707" t="s">
        <v>4504</v>
      </c>
      <c r="V1707" t="s">
        <v>4504</v>
      </c>
      <c r="W1707">
        <v>1.65</v>
      </c>
    </row>
    <row r="1708" spans="1:23">
      <c r="A1708" t="str">
        <f>"600162"</f>
        <v>600162</v>
      </c>
      <c r="B1708" t="s">
        <v>4505</v>
      </c>
      <c r="C1708">
        <v>5.31</v>
      </c>
      <c r="D1708">
        <v>5.31</v>
      </c>
      <c r="E1708">
        <v>5.24</v>
      </c>
      <c r="F1708">
        <v>5.29</v>
      </c>
      <c r="G1708">
        <v>106599</v>
      </c>
      <c r="H1708">
        <v>56235392</v>
      </c>
      <c r="I1708">
        <v>0.69</v>
      </c>
      <c r="J1708" t="s">
        <v>7</v>
      </c>
      <c r="K1708" t="s">
        <v>2</v>
      </c>
      <c r="L1708">
        <v>-0.19</v>
      </c>
      <c r="M1708">
        <v>5.28</v>
      </c>
      <c r="N1708">
        <v>58214</v>
      </c>
      <c r="O1708">
        <v>48384</v>
      </c>
      <c r="P1708">
        <v>1.2</v>
      </c>
      <c r="Q1708">
        <v>564</v>
      </c>
      <c r="R1708">
        <v>1278</v>
      </c>
      <c r="S1708" t="s">
        <v>3</v>
      </c>
      <c r="T1708">
        <v>76781.27</v>
      </c>
      <c r="U1708" t="s">
        <v>4506</v>
      </c>
      <c r="V1708" t="s">
        <v>4506</v>
      </c>
      <c r="W1708">
        <v>-0.19</v>
      </c>
    </row>
    <row r="1709" spans="1:23">
      <c r="A1709" t="str">
        <f>"600163"</f>
        <v>600163</v>
      </c>
      <c r="B1709" t="s">
        <v>4507</v>
      </c>
      <c r="C1709" t="s">
        <v>3</v>
      </c>
      <c r="D1709" t="s">
        <v>3</v>
      </c>
      <c r="E1709" t="s">
        <v>3</v>
      </c>
      <c r="F1709">
        <v>3.8</v>
      </c>
      <c r="G1709">
        <v>0</v>
      </c>
      <c r="H1709">
        <v>0</v>
      </c>
      <c r="I1709">
        <v>0</v>
      </c>
      <c r="J1709" t="s">
        <v>343</v>
      </c>
      <c r="K1709" t="s">
        <v>414</v>
      </c>
      <c r="L1709">
        <v>0</v>
      </c>
      <c r="M1709">
        <v>3.8</v>
      </c>
      <c r="N1709">
        <v>0</v>
      </c>
      <c r="O1709">
        <v>0</v>
      </c>
      <c r="P1709" t="s">
        <v>3</v>
      </c>
      <c r="Q1709">
        <v>0</v>
      </c>
      <c r="R1709">
        <v>0</v>
      </c>
      <c r="S1709" t="s">
        <v>3</v>
      </c>
      <c r="T1709">
        <v>72141.990000000005</v>
      </c>
      <c r="U1709" t="s">
        <v>4508</v>
      </c>
      <c r="V1709" t="s">
        <v>4508</v>
      </c>
      <c r="W1709">
        <v>0</v>
      </c>
    </row>
    <row r="1710" spans="1:23">
      <c r="A1710" t="str">
        <f>"600165"</f>
        <v>600165</v>
      </c>
      <c r="B1710" t="s">
        <v>4509</v>
      </c>
      <c r="C1710">
        <v>8</v>
      </c>
      <c r="D1710">
        <v>8.19</v>
      </c>
      <c r="E1710">
        <v>7.96</v>
      </c>
      <c r="F1710">
        <v>8.17</v>
      </c>
      <c r="G1710">
        <v>77360</v>
      </c>
      <c r="H1710">
        <v>62737916</v>
      </c>
      <c r="I1710">
        <v>1.55</v>
      </c>
      <c r="J1710" t="s">
        <v>838</v>
      </c>
      <c r="K1710" t="s">
        <v>496</v>
      </c>
      <c r="L1710">
        <v>2.25</v>
      </c>
      <c r="M1710">
        <v>8.11</v>
      </c>
      <c r="N1710">
        <v>31817</v>
      </c>
      <c r="O1710">
        <v>45542</v>
      </c>
      <c r="P1710">
        <v>0.7</v>
      </c>
      <c r="Q1710">
        <v>675</v>
      </c>
      <c r="R1710">
        <v>414</v>
      </c>
      <c r="S1710" t="s">
        <v>3</v>
      </c>
      <c r="T1710">
        <v>19395.34</v>
      </c>
      <c r="U1710" t="s">
        <v>4510</v>
      </c>
      <c r="V1710" t="s">
        <v>3709</v>
      </c>
      <c r="W1710">
        <v>2.25</v>
      </c>
    </row>
    <row r="1711" spans="1:23">
      <c r="A1711" t="str">
        <f>"600166"</f>
        <v>600166</v>
      </c>
      <c r="B1711" t="s">
        <v>4511</v>
      </c>
      <c r="C1711">
        <v>5.66</v>
      </c>
      <c r="D1711">
        <v>5.76</v>
      </c>
      <c r="E1711">
        <v>5.62</v>
      </c>
      <c r="F1711">
        <v>5.7</v>
      </c>
      <c r="G1711">
        <v>506473</v>
      </c>
      <c r="H1711">
        <v>289037344</v>
      </c>
      <c r="I1711">
        <v>1.39</v>
      </c>
      <c r="J1711" t="s">
        <v>476</v>
      </c>
      <c r="K1711" t="s">
        <v>34</v>
      </c>
      <c r="L1711">
        <v>0.71</v>
      </c>
      <c r="M1711">
        <v>5.71</v>
      </c>
      <c r="N1711">
        <v>227077</v>
      </c>
      <c r="O1711">
        <v>279396</v>
      </c>
      <c r="P1711">
        <v>0.81</v>
      </c>
      <c r="Q1711">
        <v>1862</v>
      </c>
      <c r="R1711">
        <v>657</v>
      </c>
      <c r="S1711" t="s">
        <v>3</v>
      </c>
      <c r="T1711">
        <v>253810.02</v>
      </c>
      <c r="U1711" t="s">
        <v>4512</v>
      </c>
      <c r="V1711" t="s">
        <v>4513</v>
      </c>
      <c r="W1711">
        <v>0.7</v>
      </c>
    </row>
    <row r="1712" spans="1:23">
      <c r="A1712" t="str">
        <f>"600167"</f>
        <v>600167</v>
      </c>
      <c r="B1712" t="s">
        <v>4514</v>
      </c>
      <c r="C1712">
        <v>12.55</v>
      </c>
      <c r="D1712">
        <v>12.88</v>
      </c>
      <c r="E1712">
        <v>12.44</v>
      </c>
      <c r="F1712">
        <v>12.75</v>
      </c>
      <c r="G1712">
        <v>24732</v>
      </c>
      <c r="H1712">
        <v>31350578</v>
      </c>
      <c r="I1712">
        <v>0.98</v>
      </c>
      <c r="J1712" t="s">
        <v>581</v>
      </c>
      <c r="K1712" t="s">
        <v>162</v>
      </c>
      <c r="L1712">
        <v>1.51</v>
      </c>
      <c r="M1712">
        <v>12.68</v>
      </c>
      <c r="N1712">
        <v>11343</v>
      </c>
      <c r="O1712">
        <v>13389</v>
      </c>
      <c r="P1712">
        <v>0.85</v>
      </c>
      <c r="Q1712">
        <v>21</v>
      </c>
      <c r="R1712">
        <v>151</v>
      </c>
      <c r="S1712" t="s">
        <v>3</v>
      </c>
      <c r="T1712">
        <v>21100</v>
      </c>
      <c r="U1712" t="s">
        <v>2964</v>
      </c>
      <c r="V1712" t="s">
        <v>2964</v>
      </c>
      <c r="W1712">
        <v>1.51</v>
      </c>
    </row>
    <row r="1713" spans="1:23">
      <c r="A1713" t="str">
        <f>"600168"</f>
        <v>600168</v>
      </c>
      <c r="B1713" t="s">
        <v>4515</v>
      </c>
      <c r="C1713">
        <v>9.18</v>
      </c>
      <c r="D1713">
        <v>9.65</v>
      </c>
      <c r="E1713">
        <v>9.14</v>
      </c>
      <c r="F1713">
        <v>9.35</v>
      </c>
      <c r="G1713">
        <v>179007</v>
      </c>
      <c r="H1713">
        <v>168145680</v>
      </c>
      <c r="I1713">
        <v>1.53</v>
      </c>
      <c r="J1713" t="s">
        <v>609</v>
      </c>
      <c r="K1713" t="s">
        <v>317</v>
      </c>
      <c r="L1713">
        <v>2.52</v>
      </c>
      <c r="M1713">
        <v>9.39</v>
      </c>
      <c r="N1713">
        <v>96645</v>
      </c>
      <c r="O1713">
        <v>82362</v>
      </c>
      <c r="P1713">
        <v>1.17</v>
      </c>
      <c r="Q1713">
        <v>85</v>
      </c>
      <c r="R1713">
        <v>152</v>
      </c>
      <c r="S1713" t="s">
        <v>3</v>
      </c>
      <c r="T1713">
        <v>44115</v>
      </c>
      <c r="U1713" t="s">
        <v>4516</v>
      </c>
      <c r="V1713" t="s">
        <v>4517</v>
      </c>
      <c r="W1713">
        <v>2.52</v>
      </c>
    </row>
    <row r="1714" spans="1:23">
      <c r="A1714" t="str">
        <f>"600169"</f>
        <v>600169</v>
      </c>
      <c r="B1714" t="s">
        <v>4518</v>
      </c>
      <c r="C1714">
        <v>3.7</v>
      </c>
      <c r="D1714">
        <v>3.73</v>
      </c>
      <c r="E1714">
        <v>3.65</v>
      </c>
      <c r="F1714">
        <v>3.71</v>
      </c>
      <c r="G1714">
        <v>676463</v>
      </c>
      <c r="H1714">
        <v>250029904</v>
      </c>
      <c r="I1714">
        <v>1.36</v>
      </c>
      <c r="J1714" t="s">
        <v>233</v>
      </c>
      <c r="K1714" t="s">
        <v>742</v>
      </c>
      <c r="L1714">
        <v>-0.27</v>
      </c>
      <c r="M1714">
        <v>3.7</v>
      </c>
      <c r="N1714">
        <v>307063</v>
      </c>
      <c r="O1714">
        <v>369399</v>
      </c>
      <c r="P1714">
        <v>0.83</v>
      </c>
      <c r="Q1714">
        <v>1665</v>
      </c>
      <c r="R1714">
        <v>906</v>
      </c>
      <c r="S1714" t="s">
        <v>3</v>
      </c>
      <c r="T1714">
        <v>242395.5</v>
      </c>
      <c r="U1714" t="s">
        <v>4519</v>
      </c>
      <c r="V1714" t="s">
        <v>4519</v>
      </c>
      <c r="W1714">
        <v>-0.27</v>
      </c>
    </row>
    <row r="1715" spans="1:23">
      <c r="A1715" t="str">
        <f>"600170"</f>
        <v>600170</v>
      </c>
      <c r="B1715" t="s">
        <v>4520</v>
      </c>
      <c r="C1715">
        <v>4.8600000000000003</v>
      </c>
      <c r="D1715">
        <v>4.92</v>
      </c>
      <c r="E1715">
        <v>4.83</v>
      </c>
      <c r="F1715">
        <v>4.8499999999999996</v>
      </c>
      <c r="G1715">
        <v>200394</v>
      </c>
      <c r="H1715">
        <v>97470376</v>
      </c>
      <c r="I1715">
        <v>0.71</v>
      </c>
      <c r="J1715" t="s">
        <v>33</v>
      </c>
      <c r="K1715" t="s">
        <v>727</v>
      </c>
      <c r="L1715">
        <v>-0.21</v>
      </c>
      <c r="M1715">
        <v>4.8600000000000003</v>
      </c>
      <c r="N1715">
        <v>115375</v>
      </c>
      <c r="O1715">
        <v>85018</v>
      </c>
      <c r="P1715">
        <v>1.36</v>
      </c>
      <c r="Q1715">
        <v>2180</v>
      </c>
      <c r="R1715">
        <v>307</v>
      </c>
      <c r="S1715" t="s">
        <v>3</v>
      </c>
      <c r="T1715">
        <v>109966.28</v>
      </c>
      <c r="U1715" t="s">
        <v>4521</v>
      </c>
      <c r="V1715" t="s">
        <v>4522</v>
      </c>
      <c r="W1715">
        <v>-0.21</v>
      </c>
    </row>
    <row r="1716" spans="1:23">
      <c r="A1716" t="str">
        <f>"600171"</f>
        <v>600171</v>
      </c>
      <c r="B1716" t="s">
        <v>4523</v>
      </c>
      <c r="C1716">
        <v>10.199999999999999</v>
      </c>
      <c r="D1716">
        <v>10.4</v>
      </c>
      <c r="E1716">
        <v>10.16</v>
      </c>
      <c r="F1716">
        <v>10.23</v>
      </c>
      <c r="G1716">
        <v>127839</v>
      </c>
      <c r="H1716">
        <v>131322152</v>
      </c>
      <c r="I1716">
        <v>0.8</v>
      </c>
      <c r="J1716" t="s">
        <v>1581</v>
      </c>
      <c r="K1716" t="s">
        <v>727</v>
      </c>
      <c r="L1716">
        <v>-0.49</v>
      </c>
      <c r="M1716">
        <v>10.27</v>
      </c>
      <c r="N1716">
        <v>57001</v>
      </c>
      <c r="O1716">
        <v>70838</v>
      </c>
      <c r="P1716">
        <v>0.8</v>
      </c>
      <c r="Q1716">
        <v>1500</v>
      </c>
      <c r="R1716">
        <v>2166</v>
      </c>
      <c r="S1716" t="s">
        <v>3</v>
      </c>
      <c r="T1716">
        <v>67380.77</v>
      </c>
      <c r="U1716" t="s">
        <v>4524</v>
      </c>
      <c r="V1716" t="s">
        <v>4524</v>
      </c>
      <c r="W1716">
        <v>-0.49</v>
      </c>
    </row>
    <row r="1717" spans="1:23">
      <c r="A1717" t="str">
        <f>"600172"</f>
        <v>600172</v>
      </c>
      <c r="B1717" t="s">
        <v>4525</v>
      </c>
      <c r="C1717">
        <v>7.46</v>
      </c>
      <c r="D1717">
        <v>7.49</v>
      </c>
      <c r="E1717">
        <v>7.37</v>
      </c>
      <c r="F1717">
        <v>7.49</v>
      </c>
      <c r="G1717">
        <v>91938</v>
      </c>
      <c r="H1717">
        <v>68410488</v>
      </c>
      <c r="I1717">
        <v>0.77</v>
      </c>
      <c r="J1717" t="s">
        <v>380</v>
      </c>
      <c r="K1717" t="s">
        <v>254</v>
      </c>
      <c r="L1717">
        <v>0.27</v>
      </c>
      <c r="M1717">
        <v>7.44</v>
      </c>
      <c r="N1717">
        <v>46655</v>
      </c>
      <c r="O1717">
        <v>45282</v>
      </c>
      <c r="P1717">
        <v>1.03</v>
      </c>
      <c r="Q1717">
        <v>385</v>
      </c>
      <c r="R1717">
        <v>539</v>
      </c>
      <c r="S1717" t="s">
        <v>3</v>
      </c>
      <c r="T1717">
        <v>49667.83</v>
      </c>
      <c r="U1717" t="s">
        <v>4526</v>
      </c>
      <c r="V1717" t="s">
        <v>4527</v>
      </c>
      <c r="W1717">
        <v>0.26</v>
      </c>
    </row>
    <row r="1718" spans="1:23">
      <c r="A1718" t="str">
        <f>"600173"</f>
        <v>600173</v>
      </c>
      <c r="B1718" t="s">
        <v>4528</v>
      </c>
      <c r="C1718">
        <v>4.82</v>
      </c>
      <c r="D1718">
        <v>4.84</v>
      </c>
      <c r="E1718">
        <v>4.79</v>
      </c>
      <c r="F1718">
        <v>4.8099999999999996</v>
      </c>
      <c r="G1718">
        <v>102857</v>
      </c>
      <c r="H1718">
        <v>49419016</v>
      </c>
      <c r="I1718">
        <v>1.1000000000000001</v>
      </c>
      <c r="J1718" t="s">
        <v>7</v>
      </c>
      <c r="K1718" t="s">
        <v>229</v>
      </c>
      <c r="L1718">
        <v>0</v>
      </c>
      <c r="M1718">
        <v>4.8</v>
      </c>
      <c r="N1718">
        <v>60489</v>
      </c>
      <c r="O1718">
        <v>42368</v>
      </c>
      <c r="P1718">
        <v>1.43</v>
      </c>
      <c r="Q1718">
        <v>581</v>
      </c>
      <c r="R1718">
        <v>736</v>
      </c>
      <c r="S1718" t="s">
        <v>3</v>
      </c>
      <c r="T1718">
        <v>72505.740000000005</v>
      </c>
      <c r="U1718" t="s">
        <v>4529</v>
      </c>
      <c r="V1718" t="s">
        <v>4529</v>
      </c>
      <c r="W1718">
        <v>0</v>
      </c>
    </row>
    <row r="1719" spans="1:23">
      <c r="A1719" t="str">
        <f>"600175"</f>
        <v>600175</v>
      </c>
      <c r="B1719" t="s">
        <v>4530</v>
      </c>
      <c r="C1719">
        <v>6.76</v>
      </c>
      <c r="D1719">
        <v>6.76</v>
      </c>
      <c r="E1719">
        <v>6.6</v>
      </c>
      <c r="F1719">
        <v>6.62</v>
      </c>
      <c r="G1719">
        <v>296663</v>
      </c>
      <c r="H1719">
        <v>197488480</v>
      </c>
      <c r="I1719">
        <v>1.49</v>
      </c>
      <c r="J1719" t="s">
        <v>7</v>
      </c>
      <c r="K1719" t="s">
        <v>229</v>
      </c>
      <c r="L1719">
        <v>-2.0699999999999998</v>
      </c>
      <c r="M1719">
        <v>6.66</v>
      </c>
      <c r="N1719">
        <v>179006</v>
      </c>
      <c r="O1719">
        <v>117657</v>
      </c>
      <c r="P1719">
        <v>1.52</v>
      </c>
      <c r="Q1719">
        <v>180</v>
      </c>
      <c r="R1719">
        <v>2556</v>
      </c>
      <c r="S1719" t="s">
        <v>3</v>
      </c>
      <c r="T1719">
        <v>143984.31</v>
      </c>
      <c r="U1719" t="s">
        <v>4531</v>
      </c>
      <c r="V1719" t="s">
        <v>4532</v>
      </c>
      <c r="W1719">
        <v>-2.08</v>
      </c>
    </row>
    <row r="1720" spans="1:23">
      <c r="A1720" t="str">
        <f>"600176"</f>
        <v>600176</v>
      </c>
      <c r="B1720" t="s">
        <v>4533</v>
      </c>
      <c r="C1720">
        <v>9.86</v>
      </c>
      <c r="D1720">
        <v>10.17</v>
      </c>
      <c r="E1720">
        <v>9.68</v>
      </c>
      <c r="F1720">
        <v>10.050000000000001</v>
      </c>
      <c r="G1720">
        <v>161884</v>
      </c>
      <c r="H1720">
        <v>160970880</v>
      </c>
      <c r="I1720">
        <v>1.2</v>
      </c>
      <c r="J1720" t="s">
        <v>41</v>
      </c>
      <c r="K1720" t="s">
        <v>229</v>
      </c>
      <c r="L1720">
        <v>1.82</v>
      </c>
      <c r="M1720">
        <v>9.94</v>
      </c>
      <c r="N1720">
        <v>75557</v>
      </c>
      <c r="O1720">
        <v>86326</v>
      </c>
      <c r="P1720">
        <v>0.88</v>
      </c>
      <c r="Q1720">
        <v>127</v>
      </c>
      <c r="R1720">
        <v>195</v>
      </c>
      <c r="S1720" t="s">
        <v>3</v>
      </c>
      <c r="T1720">
        <v>87262.95</v>
      </c>
      <c r="U1720" t="s">
        <v>4534</v>
      </c>
      <c r="V1720" t="s">
        <v>4534</v>
      </c>
      <c r="W1720">
        <v>1.82</v>
      </c>
    </row>
    <row r="1721" spans="1:23">
      <c r="A1721" t="str">
        <f>"600177"</f>
        <v>600177</v>
      </c>
      <c r="B1721" t="s">
        <v>4535</v>
      </c>
      <c r="C1721">
        <v>7.83</v>
      </c>
      <c r="D1721">
        <v>7.85</v>
      </c>
      <c r="E1721">
        <v>7.78</v>
      </c>
      <c r="F1721">
        <v>7.84</v>
      </c>
      <c r="G1721">
        <v>205551</v>
      </c>
      <c r="H1721">
        <v>160674944</v>
      </c>
      <c r="I1721">
        <v>1.1000000000000001</v>
      </c>
      <c r="J1721" t="s">
        <v>1373</v>
      </c>
      <c r="K1721" t="s">
        <v>229</v>
      </c>
      <c r="L1721">
        <v>0.26</v>
      </c>
      <c r="M1721">
        <v>7.82</v>
      </c>
      <c r="N1721">
        <v>89692</v>
      </c>
      <c r="O1721">
        <v>115858</v>
      </c>
      <c r="P1721">
        <v>0.77</v>
      </c>
      <c r="Q1721">
        <v>2960</v>
      </c>
      <c r="R1721">
        <v>323</v>
      </c>
      <c r="S1721" t="s">
        <v>3</v>
      </c>
      <c r="T1721">
        <v>222661.17</v>
      </c>
      <c r="U1721" t="s">
        <v>4536</v>
      </c>
      <c r="V1721" t="s">
        <v>4536</v>
      </c>
      <c r="W1721">
        <v>0.25</v>
      </c>
    </row>
    <row r="1722" spans="1:23">
      <c r="A1722" t="str">
        <f>"600178"</f>
        <v>600178</v>
      </c>
      <c r="B1722" t="s">
        <v>4537</v>
      </c>
      <c r="C1722">
        <v>5.51</v>
      </c>
      <c r="D1722">
        <v>5.63</v>
      </c>
      <c r="E1722">
        <v>5.45</v>
      </c>
      <c r="F1722">
        <v>5.54</v>
      </c>
      <c r="G1722">
        <v>38072</v>
      </c>
      <c r="H1722">
        <v>21110984</v>
      </c>
      <c r="I1722">
        <v>0.97</v>
      </c>
      <c r="J1722" t="s">
        <v>476</v>
      </c>
      <c r="K1722" t="s">
        <v>565</v>
      </c>
      <c r="L1722">
        <v>0.54</v>
      </c>
      <c r="M1722">
        <v>5.54</v>
      </c>
      <c r="N1722">
        <v>19222</v>
      </c>
      <c r="O1722">
        <v>18850</v>
      </c>
      <c r="P1722">
        <v>1.02</v>
      </c>
      <c r="Q1722">
        <v>118</v>
      </c>
      <c r="R1722">
        <v>63</v>
      </c>
      <c r="S1722" t="s">
        <v>3</v>
      </c>
      <c r="T1722">
        <v>46208</v>
      </c>
      <c r="U1722" t="s">
        <v>2103</v>
      </c>
      <c r="V1722" t="s">
        <v>2103</v>
      </c>
      <c r="W1722">
        <v>0.54</v>
      </c>
    </row>
    <row r="1723" spans="1:23">
      <c r="A1723" t="str">
        <f>"600179"</f>
        <v>600179</v>
      </c>
      <c r="B1723" t="s">
        <v>4538</v>
      </c>
      <c r="C1723">
        <v>5.72</v>
      </c>
      <c r="D1723">
        <v>5.87</v>
      </c>
      <c r="E1723">
        <v>5.63</v>
      </c>
      <c r="F1723">
        <v>5.83</v>
      </c>
      <c r="G1723">
        <v>118929</v>
      </c>
      <c r="H1723">
        <v>68297392</v>
      </c>
      <c r="I1723">
        <v>1.3</v>
      </c>
      <c r="J1723" t="s">
        <v>856</v>
      </c>
      <c r="K1723" t="s">
        <v>565</v>
      </c>
      <c r="L1723">
        <v>2.2799999999999998</v>
      </c>
      <c r="M1723">
        <v>5.74</v>
      </c>
      <c r="N1723">
        <v>59953</v>
      </c>
      <c r="O1723">
        <v>58975</v>
      </c>
      <c r="P1723">
        <v>1.02</v>
      </c>
      <c r="Q1723">
        <v>127</v>
      </c>
      <c r="R1723">
        <v>1433</v>
      </c>
      <c r="S1723" t="s">
        <v>3</v>
      </c>
      <c r="T1723">
        <v>39000</v>
      </c>
      <c r="U1723" t="s">
        <v>64</v>
      </c>
      <c r="V1723" t="s">
        <v>64</v>
      </c>
      <c r="W1723">
        <v>2.2799999999999998</v>
      </c>
    </row>
    <row r="1724" spans="1:23">
      <c r="A1724" t="str">
        <f>"600180"</f>
        <v>600180</v>
      </c>
      <c r="B1724" t="s">
        <v>4539</v>
      </c>
      <c r="C1724">
        <v>12.06</v>
      </c>
      <c r="D1724">
        <v>12.09</v>
      </c>
      <c r="E1724">
        <v>11.73</v>
      </c>
      <c r="F1724">
        <v>12</v>
      </c>
      <c r="G1724">
        <v>93209</v>
      </c>
      <c r="H1724">
        <v>110836560</v>
      </c>
      <c r="I1724">
        <v>1.24</v>
      </c>
      <c r="J1724" t="s">
        <v>1859</v>
      </c>
      <c r="K1724" t="s">
        <v>250</v>
      </c>
      <c r="L1724">
        <v>0.08</v>
      </c>
      <c r="M1724">
        <v>11.89</v>
      </c>
      <c r="N1724">
        <v>46398</v>
      </c>
      <c r="O1724">
        <v>46810</v>
      </c>
      <c r="P1724">
        <v>0.99</v>
      </c>
      <c r="Q1724">
        <v>8</v>
      </c>
      <c r="R1724">
        <v>172</v>
      </c>
      <c r="S1724" t="s">
        <v>3</v>
      </c>
      <c r="T1724">
        <v>25827</v>
      </c>
      <c r="U1724" t="s">
        <v>4540</v>
      </c>
      <c r="V1724" t="s">
        <v>4541</v>
      </c>
      <c r="W1724">
        <v>0.08</v>
      </c>
    </row>
    <row r="1725" spans="1:23">
      <c r="A1725" t="str">
        <f>"600182"</f>
        <v>600182</v>
      </c>
      <c r="B1725" t="s">
        <v>4542</v>
      </c>
      <c r="C1725">
        <v>18.66</v>
      </c>
      <c r="D1725">
        <v>18.690000000000001</v>
      </c>
      <c r="E1725">
        <v>18.21</v>
      </c>
      <c r="F1725">
        <v>18.28</v>
      </c>
      <c r="G1725">
        <v>39827</v>
      </c>
      <c r="H1725">
        <v>72991536</v>
      </c>
      <c r="I1725">
        <v>1.1100000000000001</v>
      </c>
      <c r="J1725" t="s">
        <v>98</v>
      </c>
      <c r="K1725" t="s">
        <v>565</v>
      </c>
      <c r="L1725">
        <v>-2.04</v>
      </c>
      <c r="M1725">
        <v>18.329999999999998</v>
      </c>
      <c r="N1725">
        <v>24434</v>
      </c>
      <c r="O1725">
        <v>15392</v>
      </c>
      <c r="P1725">
        <v>1.59</v>
      </c>
      <c r="Q1725">
        <v>42</v>
      </c>
      <c r="R1725">
        <v>15</v>
      </c>
      <c r="S1725" t="s">
        <v>3</v>
      </c>
      <c r="T1725">
        <v>17000</v>
      </c>
      <c r="U1725" t="s">
        <v>402</v>
      </c>
      <c r="V1725" t="s">
        <v>4543</v>
      </c>
      <c r="W1725">
        <v>-2.04</v>
      </c>
    </row>
    <row r="1726" spans="1:23">
      <c r="A1726" t="str">
        <f>"600183"</f>
        <v>600183</v>
      </c>
      <c r="B1726" t="s">
        <v>4544</v>
      </c>
      <c r="C1726">
        <v>7.29</v>
      </c>
      <c r="D1726">
        <v>7.29</v>
      </c>
      <c r="E1726">
        <v>7.15</v>
      </c>
      <c r="F1726">
        <v>7.19</v>
      </c>
      <c r="G1726">
        <v>157273</v>
      </c>
      <c r="H1726">
        <v>113093280</v>
      </c>
      <c r="I1726">
        <v>1.1299999999999999</v>
      </c>
      <c r="J1726" t="s">
        <v>62</v>
      </c>
      <c r="K1726" t="s">
        <v>211</v>
      </c>
      <c r="L1726">
        <v>-1.37</v>
      </c>
      <c r="M1726">
        <v>7.19</v>
      </c>
      <c r="N1726">
        <v>97027</v>
      </c>
      <c r="O1726">
        <v>60246</v>
      </c>
      <c r="P1726">
        <v>1.61</v>
      </c>
      <c r="Q1726">
        <v>581</v>
      </c>
      <c r="R1726">
        <v>3643</v>
      </c>
      <c r="S1726" t="s">
        <v>3</v>
      </c>
      <c r="T1726">
        <v>142301.81</v>
      </c>
      <c r="U1726" t="s">
        <v>4545</v>
      </c>
      <c r="V1726" t="s">
        <v>4545</v>
      </c>
      <c r="W1726">
        <v>-1.38</v>
      </c>
    </row>
    <row r="1727" spans="1:23">
      <c r="A1727" t="str">
        <f>"600184"</f>
        <v>600184</v>
      </c>
      <c r="B1727" t="s">
        <v>4546</v>
      </c>
      <c r="C1727">
        <v>30.97</v>
      </c>
      <c r="D1727">
        <v>31.35</v>
      </c>
      <c r="E1727">
        <v>30.76</v>
      </c>
      <c r="F1727">
        <v>31.16</v>
      </c>
      <c r="G1727">
        <v>27916</v>
      </c>
      <c r="H1727">
        <v>86691632</v>
      </c>
      <c r="I1727">
        <v>0.59</v>
      </c>
      <c r="J1727" t="s">
        <v>41</v>
      </c>
      <c r="K1727" t="s">
        <v>317</v>
      </c>
      <c r="L1727">
        <v>0.52</v>
      </c>
      <c r="M1727">
        <v>31.05</v>
      </c>
      <c r="N1727">
        <v>15389</v>
      </c>
      <c r="O1727">
        <v>12526</v>
      </c>
      <c r="P1727">
        <v>1.23</v>
      </c>
      <c r="Q1727">
        <v>15</v>
      </c>
      <c r="R1727">
        <v>4</v>
      </c>
      <c r="S1727" t="s">
        <v>3</v>
      </c>
      <c r="T1727">
        <v>11765.11</v>
      </c>
      <c r="U1727" t="s">
        <v>3001</v>
      </c>
      <c r="V1727" t="s">
        <v>4547</v>
      </c>
      <c r="W1727">
        <v>0.51</v>
      </c>
    </row>
    <row r="1728" spans="1:23">
      <c r="A1728" t="str">
        <f>"600185"</f>
        <v>600185</v>
      </c>
      <c r="B1728" t="s">
        <v>4548</v>
      </c>
      <c r="C1728">
        <v>11.01</v>
      </c>
      <c r="D1728">
        <v>11.09</v>
      </c>
      <c r="E1728">
        <v>10.8</v>
      </c>
      <c r="F1728">
        <v>10.86</v>
      </c>
      <c r="G1728">
        <v>42977</v>
      </c>
      <c r="H1728">
        <v>46860172</v>
      </c>
      <c r="I1728">
        <v>0.51</v>
      </c>
      <c r="J1728" t="s">
        <v>15</v>
      </c>
      <c r="K1728" t="s">
        <v>211</v>
      </c>
      <c r="L1728">
        <v>-1.45</v>
      </c>
      <c r="M1728">
        <v>10.9</v>
      </c>
      <c r="N1728">
        <v>25377</v>
      </c>
      <c r="O1728">
        <v>17600</v>
      </c>
      <c r="P1728">
        <v>1.44</v>
      </c>
      <c r="Q1728">
        <v>278</v>
      </c>
      <c r="R1728">
        <v>165</v>
      </c>
      <c r="S1728" t="s">
        <v>3</v>
      </c>
      <c r="T1728">
        <v>57759.44</v>
      </c>
      <c r="U1728" t="s">
        <v>4549</v>
      </c>
      <c r="V1728" t="s">
        <v>4549</v>
      </c>
      <c r="W1728">
        <v>-1.46</v>
      </c>
    </row>
    <row r="1729" spans="1:23">
      <c r="A1729" t="str">
        <f>"600186"</f>
        <v>600186</v>
      </c>
      <c r="B1729" t="s">
        <v>4550</v>
      </c>
      <c r="C1729">
        <v>3.02</v>
      </c>
      <c r="D1729">
        <v>3.09</v>
      </c>
      <c r="E1729">
        <v>3.01</v>
      </c>
      <c r="F1729">
        <v>3.09</v>
      </c>
      <c r="G1729">
        <v>270881</v>
      </c>
      <c r="H1729">
        <v>83144176</v>
      </c>
      <c r="I1729">
        <v>1.5</v>
      </c>
      <c r="J1729" t="s">
        <v>421</v>
      </c>
      <c r="K1729" t="s">
        <v>254</v>
      </c>
      <c r="L1729">
        <v>1.98</v>
      </c>
      <c r="M1729">
        <v>3.07</v>
      </c>
      <c r="N1729">
        <v>117287</v>
      </c>
      <c r="O1729">
        <v>153594</v>
      </c>
      <c r="P1729">
        <v>0.76</v>
      </c>
      <c r="Q1729">
        <v>9619</v>
      </c>
      <c r="R1729">
        <v>8</v>
      </c>
      <c r="S1729" t="s">
        <v>3</v>
      </c>
      <c r="T1729">
        <v>106202.42</v>
      </c>
      <c r="U1729" t="s">
        <v>4551</v>
      </c>
      <c r="V1729" t="s">
        <v>4551</v>
      </c>
      <c r="W1729">
        <v>1.98</v>
      </c>
    </row>
    <row r="1730" spans="1:23">
      <c r="A1730" t="str">
        <f>"600187"</f>
        <v>600187</v>
      </c>
      <c r="B1730" t="s">
        <v>4552</v>
      </c>
      <c r="C1730">
        <v>6.63</v>
      </c>
      <c r="D1730">
        <v>6.66</v>
      </c>
      <c r="E1730">
        <v>6.44</v>
      </c>
      <c r="F1730">
        <v>6.53</v>
      </c>
      <c r="G1730">
        <v>383010</v>
      </c>
      <c r="H1730">
        <v>250417920</v>
      </c>
      <c r="I1730">
        <v>0.77</v>
      </c>
      <c r="J1730" t="s">
        <v>609</v>
      </c>
      <c r="K1730" t="s">
        <v>565</v>
      </c>
      <c r="L1730">
        <v>-1.51</v>
      </c>
      <c r="M1730">
        <v>6.54</v>
      </c>
      <c r="N1730">
        <v>222971</v>
      </c>
      <c r="O1730">
        <v>160038</v>
      </c>
      <c r="P1730">
        <v>1.39</v>
      </c>
      <c r="Q1730">
        <v>1873</v>
      </c>
      <c r="R1730">
        <v>664</v>
      </c>
      <c r="S1730" t="s">
        <v>3</v>
      </c>
      <c r="T1730">
        <v>145562.42000000001</v>
      </c>
      <c r="U1730" t="s">
        <v>4553</v>
      </c>
      <c r="V1730" t="s">
        <v>4553</v>
      </c>
      <c r="W1730">
        <v>-1.51</v>
      </c>
    </row>
    <row r="1731" spans="1:23">
      <c r="A1731" t="str">
        <f>"600188"</f>
        <v>600188</v>
      </c>
      <c r="B1731" t="s">
        <v>4554</v>
      </c>
      <c r="C1731">
        <v>8.3800000000000008</v>
      </c>
      <c r="D1731">
        <v>9.06</v>
      </c>
      <c r="E1731">
        <v>8.33</v>
      </c>
      <c r="F1731">
        <v>8.73</v>
      </c>
      <c r="G1731">
        <v>250278</v>
      </c>
      <c r="H1731">
        <v>217912160</v>
      </c>
      <c r="I1731">
        <v>1.29</v>
      </c>
      <c r="J1731" t="s">
        <v>482</v>
      </c>
      <c r="K1731" t="s">
        <v>250</v>
      </c>
      <c r="L1731">
        <v>4.05</v>
      </c>
      <c r="M1731">
        <v>8.7100000000000009</v>
      </c>
      <c r="N1731">
        <v>110205</v>
      </c>
      <c r="O1731">
        <v>140072</v>
      </c>
      <c r="P1731">
        <v>0.79</v>
      </c>
      <c r="Q1731">
        <v>685</v>
      </c>
      <c r="R1731">
        <v>429</v>
      </c>
      <c r="S1731" t="s">
        <v>3</v>
      </c>
      <c r="T1731">
        <v>295998</v>
      </c>
      <c r="U1731" t="s">
        <v>4555</v>
      </c>
      <c r="V1731" t="s">
        <v>4555</v>
      </c>
      <c r="W1731">
        <v>4.05</v>
      </c>
    </row>
    <row r="1732" spans="1:23">
      <c r="A1732" t="str">
        <f>"600189"</f>
        <v>600189</v>
      </c>
      <c r="B1732" t="s">
        <v>4556</v>
      </c>
      <c r="C1732">
        <v>8.44</v>
      </c>
      <c r="D1732">
        <v>8.5</v>
      </c>
      <c r="E1732">
        <v>8.35</v>
      </c>
      <c r="F1732">
        <v>8.43</v>
      </c>
      <c r="G1732">
        <v>74226</v>
      </c>
      <c r="H1732">
        <v>62370736</v>
      </c>
      <c r="I1732">
        <v>0.52</v>
      </c>
      <c r="J1732" t="s">
        <v>577</v>
      </c>
      <c r="K1732" t="s">
        <v>99</v>
      </c>
      <c r="L1732">
        <v>-0.47</v>
      </c>
      <c r="M1732">
        <v>8.4</v>
      </c>
      <c r="N1732">
        <v>43338</v>
      </c>
      <c r="O1732">
        <v>30887</v>
      </c>
      <c r="P1732">
        <v>1.4</v>
      </c>
      <c r="Q1732">
        <v>83</v>
      </c>
      <c r="R1732">
        <v>669</v>
      </c>
      <c r="S1732" t="s">
        <v>3</v>
      </c>
      <c r="T1732">
        <v>31050</v>
      </c>
      <c r="U1732" t="s">
        <v>4557</v>
      </c>
      <c r="V1732" t="s">
        <v>4557</v>
      </c>
      <c r="W1732">
        <v>-0.48</v>
      </c>
    </row>
    <row r="1733" spans="1:23">
      <c r="A1733" t="str">
        <f>"600190"</f>
        <v>600190</v>
      </c>
      <c r="B1733" t="s">
        <v>4558</v>
      </c>
      <c r="C1733">
        <v>5.0999999999999996</v>
      </c>
      <c r="D1733">
        <v>5.0999999999999996</v>
      </c>
      <c r="E1733">
        <v>4.92</v>
      </c>
      <c r="F1733">
        <v>4.96</v>
      </c>
      <c r="G1733">
        <v>151200</v>
      </c>
      <c r="H1733">
        <v>75463040</v>
      </c>
      <c r="I1733">
        <v>0.64</v>
      </c>
      <c r="J1733" t="s">
        <v>70</v>
      </c>
      <c r="K1733" t="s">
        <v>162</v>
      </c>
      <c r="L1733">
        <v>-1</v>
      </c>
      <c r="M1733">
        <v>4.99</v>
      </c>
      <c r="N1733">
        <v>88539</v>
      </c>
      <c r="O1733">
        <v>62660</v>
      </c>
      <c r="P1733">
        <v>1.41</v>
      </c>
      <c r="Q1733">
        <v>1819</v>
      </c>
      <c r="R1733">
        <v>9</v>
      </c>
      <c r="S1733" t="s">
        <v>3</v>
      </c>
      <c r="T1733">
        <v>133898.04999999999</v>
      </c>
      <c r="U1733" t="s">
        <v>4559</v>
      </c>
      <c r="V1733" t="s">
        <v>4560</v>
      </c>
      <c r="W1733">
        <v>-1</v>
      </c>
    </row>
    <row r="1734" spans="1:23">
      <c r="A1734" t="str">
        <f>"600191"</f>
        <v>600191</v>
      </c>
      <c r="B1734" t="s">
        <v>4561</v>
      </c>
      <c r="C1734">
        <v>6.65</v>
      </c>
      <c r="D1734">
        <v>6.8</v>
      </c>
      <c r="E1734">
        <v>6.61</v>
      </c>
      <c r="F1734">
        <v>6.78</v>
      </c>
      <c r="G1734">
        <v>70072</v>
      </c>
      <c r="H1734">
        <v>46978672</v>
      </c>
      <c r="I1734">
        <v>1.55</v>
      </c>
      <c r="J1734" t="s">
        <v>421</v>
      </c>
      <c r="K1734" t="s">
        <v>329</v>
      </c>
      <c r="L1734">
        <v>1.8</v>
      </c>
      <c r="M1734">
        <v>6.7</v>
      </c>
      <c r="N1734">
        <v>32434</v>
      </c>
      <c r="O1734">
        <v>37637</v>
      </c>
      <c r="P1734">
        <v>0.86</v>
      </c>
      <c r="Q1734">
        <v>535</v>
      </c>
      <c r="R1734">
        <v>43</v>
      </c>
      <c r="S1734" t="s">
        <v>3</v>
      </c>
      <c r="T1734">
        <v>48493.19</v>
      </c>
      <c r="U1734" t="s">
        <v>2908</v>
      </c>
      <c r="V1734" t="s">
        <v>2908</v>
      </c>
      <c r="W1734">
        <v>1.8</v>
      </c>
    </row>
    <row r="1735" spans="1:23">
      <c r="A1735" t="str">
        <f>"600192"</f>
        <v>600192</v>
      </c>
      <c r="B1735" t="s">
        <v>4562</v>
      </c>
      <c r="C1735">
        <v>11.15</v>
      </c>
      <c r="D1735">
        <v>11.34</v>
      </c>
      <c r="E1735">
        <v>11.05</v>
      </c>
      <c r="F1735">
        <v>11.19</v>
      </c>
      <c r="G1735">
        <v>76754</v>
      </c>
      <c r="H1735">
        <v>85591832</v>
      </c>
      <c r="I1735">
        <v>0.64</v>
      </c>
      <c r="J1735" t="s">
        <v>145</v>
      </c>
      <c r="K1735" t="s">
        <v>483</v>
      </c>
      <c r="L1735">
        <v>1.08</v>
      </c>
      <c r="M1735">
        <v>11.15</v>
      </c>
      <c r="N1735">
        <v>40279</v>
      </c>
      <c r="O1735">
        <v>36475</v>
      </c>
      <c r="P1735">
        <v>1.1000000000000001</v>
      </c>
      <c r="Q1735">
        <v>134</v>
      </c>
      <c r="R1735">
        <v>329</v>
      </c>
      <c r="S1735" t="s">
        <v>3</v>
      </c>
      <c r="T1735">
        <v>44174.8</v>
      </c>
      <c r="U1735" t="s">
        <v>4563</v>
      </c>
      <c r="V1735" t="s">
        <v>4563</v>
      </c>
      <c r="W1735">
        <v>1.08</v>
      </c>
    </row>
    <row r="1736" spans="1:23">
      <c r="A1736" t="str">
        <f>"600193"</f>
        <v>600193</v>
      </c>
      <c r="B1736" t="s">
        <v>4564</v>
      </c>
      <c r="C1736">
        <v>7.91</v>
      </c>
      <c r="D1736">
        <v>7.99</v>
      </c>
      <c r="E1736">
        <v>7.82</v>
      </c>
      <c r="F1736">
        <v>7.93</v>
      </c>
      <c r="G1736">
        <v>154032</v>
      </c>
      <c r="H1736">
        <v>121442264</v>
      </c>
      <c r="I1736">
        <v>1.1399999999999999</v>
      </c>
      <c r="J1736" t="s">
        <v>279</v>
      </c>
      <c r="K1736" t="s">
        <v>727</v>
      </c>
      <c r="L1736">
        <v>-0.38</v>
      </c>
      <c r="M1736">
        <v>7.88</v>
      </c>
      <c r="N1736">
        <v>82126</v>
      </c>
      <c r="O1736">
        <v>71906</v>
      </c>
      <c r="P1736">
        <v>1.1399999999999999</v>
      </c>
      <c r="Q1736">
        <v>1669</v>
      </c>
      <c r="R1736">
        <v>1797</v>
      </c>
      <c r="S1736" t="s">
        <v>3</v>
      </c>
      <c r="T1736">
        <v>42537.3</v>
      </c>
      <c r="U1736" t="s">
        <v>2166</v>
      </c>
      <c r="V1736" t="s">
        <v>2166</v>
      </c>
      <c r="W1736">
        <v>-0.38</v>
      </c>
    </row>
    <row r="1737" spans="1:23">
      <c r="A1737" t="str">
        <f>"600195"</f>
        <v>600195</v>
      </c>
      <c r="B1737" t="s">
        <v>4565</v>
      </c>
      <c r="C1737">
        <v>15.18</v>
      </c>
      <c r="D1737">
        <v>15.19</v>
      </c>
      <c r="E1737">
        <v>14.98</v>
      </c>
      <c r="F1737">
        <v>15.12</v>
      </c>
      <c r="G1737">
        <v>42913</v>
      </c>
      <c r="H1737">
        <v>64785144</v>
      </c>
      <c r="I1737">
        <v>1.02</v>
      </c>
      <c r="J1737" t="s">
        <v>141</v>
      </c>
      <c r="K1737" t="s">
        <v>34</v>
      </c>
      <c r="L1737">
        <v>-0.2</v>
      </c>
      <c r="M1737">
        <v>15.1</v>
      </c>
      <c r="N1737">
        <v>21860</v>
      </c>
      <c r="O1737">
        <v>21053</v>
      </c>
      <c r="P1737">
        <v>1.04</v>
      </c>
      <c r="Q1737">
        <v>17</v>
      </c>
      <c r="R1737">
        <v>203</v>
      </c>
      <c r="S1737" t="s">
        <v>3</v>
      </c>
      <c r="T1737">
        <v>39000</v>
      </c>
      <c r="U1737" t="s">
        <v>4566</v>
      </c>
      <c r="V1737" t="s">
        <v>4567</v>
      </c>
      <c r="W1737">
        <v>-0.2</v>
      </c>
    </row>
    <row r="1738" spans="1:23">
      <c r="A1738" t="str">
        <f>"600196"</f>
        <v>600196</v>
      </c>
      <c r="B1738" t="s">
        <v>4568</v>
      </c>
      <c r="C1738">
        <v>19.23</v>
      </c>
      <c r="D1738">
        <v>19.55</v>
      </c>
      <c r="E1738">
        <v>19.05</v>
      </c>
      <c r="F1738">
        <v>19.46</v>
      </c>
      <c r="G1738">
        <v>336694</v>
      </c>
      <c r="H1738">
        <v>651659456</v>
      </c>
      <c r="I1738">
        <v>1.0900000000000001</v>
      </c>
      <c r="J1738" t="s">
        <v>219</v>
      </c>
      <c r="K1738" t="s">
        <v>727</v>
      </c>
      <c r="L1738">
        <v>1.3</v>
      </c>
      <c r="M1738">
        <v>19.350000000000001</v>
      </c>
      <c r="N1738">
        <v>157920</v>
      </c>
      <c r="O1738">
        <v>178773</v>
      </c>
      <c r="P1738">
        <v>0.88</v>
      </c>
      <c r="Q1738">
        <v>386</v>
      </c>
      <c r="R1738">
        <v>1915</v>
      </c>
      <c r="S1738" t="s">
        <v>3</v>
      </c>
      <c r="T1738">
        <v>190439.23</v>
      </c>
      <c r="U1738" t="s">
        <v>4569</v>
      </c>
      <c r="V1738" t="s">
        <v>4570</v>
      </c>
      <c r="W1738">
        <v>1.3</v>
      </c>
    </row>
    <row r="1739" spans="1:23">
      <c r="A1739" t="str">
        <f>"600197"</f>
        <v>600197</v>
      </c>
      <c r="B1739" t="s">
        <v>4571</v>
      </c>
      <c r="C1739">
        <v>10.38</v>
      </c>
      <c r="D1739">
        <v>10.47</v>
      </c>
      <c r="E1739">
        <v>10.3</v>
      </c>
      <c r="F1739">
        <v>10.38</v>
      </c>
      <c r="G1739">
        <v>70031</v>
      </c>
      <c r="H1739">
        <v>72772184</v>
      </c>
      <c r="I1739">
        <v>0.78</v>
      </c>
      <c r="J1739" t="s">
        <v>531</v>
      </c>
      <c r="K1739" t="s">
        <v>241</v>
      </c>
      <c r="L1739">
        <v>0.87</v>
      </c>
      <c r="M1739">
        <v>10.39</v>
      </c>
      <c r="N1739">
        <v>36039</v>
      </c>
      <c r="O1739">
        <v>33991</v>
      </c>
      <c r="P1739">
        <v>1.06</v>
      </c>
      <c r="Q1739">
        <v>238</v>
      </c>
      <c r="R1739">
        <v>124</v>
      </c>
      <c r="S1739" t="s">
        <v>3</v>
      </c>
      <c r="T1739">
        <v>44100</v>
      </c>
      <c r="U1739" t="s">
        <v>4572</v>
      </c>
      <c r="V1739" t="s">
        <v>4572</v>
      </c>
      <c r="W1739">
        <v>0.87</v>
      </c>
    </row>
    <row r="1740" spans="1:23">
      <c r="A1740" t="str">
        <f>"600198"</f>
        <v>600198</v>
      </c>
      <c r="B1740" t="s">
        <v>4573</v>
      </c>
      <c r="C1740">
        <v>16.38</v>
      </c>
      <c r="D1740">
        <v>16.38</v>
      </c>
      <c r="E1740">
        <v>15.98</v>
      </c>
      <c r="F1740">
        <v>16.190000000000001</v>
      </c>
      <c r="G1740">
        <v>110336</v>
      </c>
      <c r="H1740">
        <v>178453664</v>
      </c>
      <c r="I1740">
        <v>0.67</v>
      </c>
      <c r="J1740" t="s">
        <v>112</v>
      </c>
      <c r="K1740" t="s">
        <v>34</v>
      </c>
      <c r="L1740">
        <v>-1.1000000000000001</v>
      </c>
      <c r="M1740">
        <v>16.170000000000002</v>
      </c>
      <c r="N1740">
        <v>64884</v>
      </c>
      <c r="O1740">
        <v>45452</v>
      </c>
      <c r="P1740">
        <v>1.43</v>
      </c>
      <c r="Q1740">
        <v>409</v>
      </c>
      <c r="R1740">
        <v>97</v>
      </c>
      <c r="S1740" t="s">
        <v>3</v>
      </c>
      <c r="T1740">
        <v>45086.37</v>
      </c>
      <c r="U1740" t="s">
        <v>4574</v>
      </c>
      <c r="V1740" t="s">
        <v>4575</v>
      </c>
      <c r="W1740">
        <v>-1.1000000000000001</v>
      </c>
    </row>
    <row r="1741" spans="1:23">
      <c r="A1741" t="str">
        <f>"600199"</f>
        <v>600199</v>
      </c>
      <c r="B1741" t="s">
        <v>4576</v>
      </c>
      <c r="C1741" t="s">
        <v>3</v>
      </c>
      <c r="D1741" t="s">
        <v>3</v>
      </c>
      <c r="E1741" t="s">
        <v>3</v>
      </c>
      <c r="F1741">
        <v>9.5500000000000007</v>
      </c>
      <c r="G1741">
        <v>0</v>
      </c>
      <c r="H1741">
        <v>0</v>
      </c>
      <c r="I1741">
        <v>0</v>
      </c>
      <c r="J1741" t="s">
        <v>531</v>
      </c>
      <c r="K1741" t="s">
        <v>220</v>
      </c>
      <c r="L1741">
        <v>0</v>
      </c>
      <c r="M1741">
        <v>9.5500000000000007</v>
      </c>
      <c r="N1741">
        <v>0</v>
      </c>
      <c r="O1741">
        <v>0</v>
      </c>
      <c r="P1741" t="s">
        <v>3</v>
      </c>
      <c r="Q1741">
        <v>0</v>
      </c>
      <c r="R1741">
        <v>0</v>
      </c>
      <c r="S1741" t="s">
        <v>3</v>
      </c>
      <c r="T1741">
        <v>55577.5</v>
      </c>
      <c r="U1741" t="s">
        <v>4577</v>
      </c>
      <c r="V1741" t="s">
        <v>4577</v>
      </c>
      <c r="W1741">
        <v>0</v>
      </c>
    </row>
    <row r="1742" spans="1:23">
      <c r="A1742" t="str">
        <f>"600200"</f>
        <v>600200</v>
      </c>
      <c r="B1742" t="s">
        <v>4578</v>
      </c>
      <c r="C1742">
        <v>11.94</v>
      </c>
      <c r="D1742">
        <v>12.02</v>
      </c>
      <c r="E1742">
        <v>11.81</v>
      </c>
      <c r="F1742">
        <v>12</v>
      </c>
      <c r="G1742">
        <v>140824</v>
      </c>
      <c r="H1742">
        <v>167919024</v>
      </c>
      <c r="I1742">
        <v>1.02</v>
      </c>
      <c r="J1742" t="s">
        <v>11</v>
      </c>
      <c r="K1742" t="s">
        <v>244</v>
      </c>
      <c r="L1742">
        <v>0.5</v>
      </c>
      <c r="M1742">
        <v>11.92</v>
      </c>
      <c r="N1742">
        <v>69935</v>
      </c>
      <c r="O1742">
        <v>70889</v>
      </c>
      <c r="P1742">
        <v>0.99</v>
      </c>
      <c r="Q1742">
        <v>206</v>
      </c>
      <c r="R1742">
        <v>374</v>
      </c>
      <c r="S1742" t="s">
        <v>3</v>
      </c>
      <c r="T1742">
        <v>52208.92</v>
      </c>
      <c r="U1742" t="s">
        <v>4579</v>
      </c>
      <c r="V1742" t="s">
        <v>19</v>
      </c>
      <c r="W1742">
        <v>0.5</v>
      </c>
    </row>
    <row r="1743" spans="1:23">
      <c r="A1743" t="str">
        <f>"600201"</f>
        <v>600201</v>
      </c>
      <c r="B1743" t="s">
        <v>4580</v>
      </c>
      <c r="C1743">
        <v>32.42</v>
      </c>
      <c r="D1743">
        <v>32.5</v>
      </c>
      <c r="E1743">
        <v>31.8</v>
      </c>
      <c r="F1743">
        <v>31.92</v>
      </c>
      <c r="G1743">
        <v>23073</v>
      </c>
      <c r="H1743">
        <v>73959464</v>
      </c>
      <c r="I1743">
        <v>0.81</v>
      </c>
      <c r="J1743" t="s">
        <v>11</v>
      </c>
      <c r="K1743" t="s">
        <v>329</v>
      </c>
      <c r="L1743">
        <v>-1.36</v>
      </c>
      <c r="M1743">
        <v>32.049999999999997</v>
      </c>
      <c r="N1743">
        <v>17314</v>
      </c>
      <c r="O1743">
        <v>5759</v>
      </c>
      <c r="P1743">
        <v>3.01</v>
      </c>
      <c r="Q1743">
        <v>10</v>
      </c>
      <c r="R1743">
        <v>3</v>
      </c>
      <c r="S1743" t="s">
        <v>3</v>
      </c>
      <c r="T1743">
        <v>28081.49</v>
      </c>
      <c r="U1743" t="s">
        <v>2460</v>
      </c>
      <c r="V1743" t="s">
        <v>4581</v>
      </c>
      <c r="W1743">
        <v>-1.36</v>
      </c>
    </row>
    <row r="1744" spans="1:23">
      <c r="A1744" t="str">
        <f>"600202"</f>
        <v>600202</v>
      </c>
      <c r="B1744" t="s">
        <v>4582</v>
      </c>
      <c r="C1744">
        <v>6.93</v>
      </c>
      <c r="D1744">
        <v>7.04</v>
      </c>
      <c r="E1744">
        <v>6.79</v>
      </c>
      <c r="F1744">
        <v>6.99</v>
      </c>
      <c r="G1744">
        <v>226476</v>
      </c>
      <c r="H1744">
        <v>157193936</v>
      </c>
      <c r="I1744">
        <v>0.76</v>
      </c>
      <c r="J1744" t="s">
        <v>145</v>
      </c>
      <c r="K1744" t="s">
        <v>565</v>
      </c>
      <c r="L1744">
        <v>1.3</v>
      </c>
      <c r="M1744">
        <v>6.94</v>
      </c>
      <c r="N1744">
        <v>116535</v>
      </c>
      <c r="O1744">
        <v>109940</v>
      </c>
      <c r="P1744">
        <v>1.06</v>
      </c>
      <c r="Q1744">
        <v>305</v>
      </c>
      <c r="R1744">
        <v>2655</v>
      </c>
      <c r="S1744" t="s">
        <v>3</v>
      </c>
      <c r="T1744">
        <v>38334.07</v>
      </c>
      <c r="U1744" t="s">
        <v>4583</v>
      </c>
      <c r="V1744" t="s">
        <v>4583</v>
      </c>
      <c r="W1744">
        <v>1.3</v>
      </c>
    </row>
    <row r="1745" spans="1:23">
      <c r="A1745" t="str">
        <f>"600203"</f>
        <v>600203</v>
      </c>
      <c r="B1745" t="s">
        <v>4584</v>
      </c>
      <c r="C1745">
        <v>10.73</v>
      </c>
      <c r="D1745">
        <v>10.9</v>
      </c>
      <c r="E1745">
        <v>10.38</v>
      </c>
      <c r="F1745">
        <v>10.56</v>
      </c>
      <c r="G1745">
        <v>175723</v>
      </c>
      <c r="H1745">
        <v>185949088</v>
      </c>
      <c r="I1745">
        <v>2.87</v>
      </c>
      <c r="J1745" t="s">
        <v>62</v>
      </c>
      <c r="K1745" t="s">
        <v>414</v>
      </c>
      <c r="L1745">
        <v>1.93</v>
      </c>
      <c r="M1745">
        <v>10.58</v>
      </c>
      <c r="N1745">
        <v>86864</v>
      </c>
      <c r="O1745">
        <v>88859</v>
      </c>
      <c r="P1745">
        <v>0.98</v>
      </c>
      <c r="Q1745">
        <v>119</v>
      </c>
      <c r="R1745">
        <v>1624</v>
      </c>
      <c r="S1745" t="s">
        <v>3</v>
      </c>
      <c r="T1745">
        <v>24054.41</v>
      </c>
      <c r="U1745" t="s">
        <v>4585</v>
      </c>
      <c r="V1745" t="s">
        <v>4586</v>
      </c>
      <c r="W1745">
        <v>1.93</v>
      </c>
    </row>
    <row r="1746" spans="1:23">
      <c r="A1746" t="str">
        <f>"600206"</f>
        <v>600206</v>
      </c>
      <c r="B1746" t="s">
        <v>4587</v>
      </c>
      <c r="C1746">
        <v>13</v>
      </c>
      <c r="D1746">
        <v>13.24</v>
      </c>
      <c r="E1746">
        <v>12.92</v>
      </c>
      <c r="F1746">
        <v>13.22</v>
      </c>
      <c r="G1746">
        <v>121246</v>
      </c>
      <c r="H1746">
        <v>158529040</v>
      </c>
      <c r="I1746">
        <v>1.52</v>
      </c>
      <c r="J1746" t="s">
        <v>1581</v>
      </c>
      <c r="K1746" t="s">
        <v>34</v>
      </c>
      <c r="L1746">
        <v>2.0099999999999998</v>
      </c>
      <c r="M1746">
        <v>13.08</v>
      </c>
      <c r="N1746">
        <v>56341</v>
      </c>
      <c r="O1746">
        <v>64904</v>
      </c>
      <c r="P1746">
        <v>0.87</v>
      </c>
      <c r="Q1746">
        <v>413</v>
      </c>
      <c r="R1746">
        <v>399</v>
      </c>
      <c r="S1746" t="s">
        <v>3</v>
      </c>
      <c r="T1746">
        <v>43500</v>
      </c>
      <c r="U1746" t="s">
        <v>4588</v>
      </c>
      <c r="V1746" t="s">
        <v>4589</v>
      </c>
      <c r="W1746">
        <v>2</v>
      </c>
    </row>
    <row r="1747" spans="1:23">
      <c r="A1747" t="str">
        <f>"600207"</f>
        <v>600207</v>
      </c>
      <c r="B1747" t="s">
        <v>4590</v>
      </c>
      <c r="C1747">
        <v>4.9000000000000004</v>
      </c>
      <c r="D1747">
        <v>4.92</v>
      </c>
      <c r="E1747">
        <v>4.82</v>
      </c>
      <c r="F1747">
        <v>4.88</v>
      </c>
      <c r="G1747">
        <v>51152</v>
      </c>
      <c r="H1747">
        <v>24942068</v>
      </c>
      <c r="I1747">
        <v>0.91</v>
      </c>
      <c r="J1747" t="s">
        <v>62</v>
      </c>
      <c r="K1747" t="s">
        <v>254</v>
      </c>
      <c r="L1747">
        <v>-0.61</v>
      </c>
      <c r="M1747">
        <v>4.88</v>
      </c>
      <c r="N1747">
        <v>28916</v>
      </c>
      <c r="O1747">
        <v>22235</v>
      </c>
      <c r="P1747">
        <v>1.3</v>
      </c>
      <c r="Q1747">
        <v>101</v>
      </c>
      <c r="R1747">
        <v>180</v>
      </c>
      <c r="S1747" t="s">
        <v>3</v>
      </c>
      <c r="T1747">
        <v>44000</v>
      </c>
      <c r="U1747" t="s">
        <v>2777</v>
      </c>
      <c r="V1747" t="s">
        <v>4591</v>
      </c>
      <c r="W1747">
        <v>-0.62</v>
      </c>
    </row>
    <row r="1748" spans="1:23">
      <c r="A1748" t="str">
        <f>"600208"</f>
        <v>600208</v>
      </c>
      <c r="B1748" t="s">
        <v>4592</v>
      </c>
      <c r="C1748">
        <v>3.84</v>
      </c>
      <c r="D1748">
        <v>3.84</v>
      </c>
      <c r="E1748">
        <v>3.76</v>
      </c>
      <c r="F1748">
        <v>3.8</v>
      </c>
      <c r="G1748">
        <v>330113</v>
      </c>
      <c r="H1748">
        <v>125001296</v>
      </c>
      <c r="I1748">
        <v>1.22</v>
      </c>
      <c r="J1748" t="s">
        <v>7</v>
      </c>
      <c r="K1748" t="s">
        <v>229</v>
      </c>
      <c r="L1748">
        <v>-1.04</v>
      </c>
      <c r="M1748">
        <v>3.79</v>
      </c>
      <c r="N1748">
        <v>183399</v>
      </c>
      <c r="O1748">
        <v>146713</v>
      </c>
      <c r="P1748">
        <v>1.25</v>
      </c>
      <c r="Q1748">
        <v>3518</v>
      </c>
      <c r="R1748">
        <v>897</v>
      </c>
      <c r="S1748" t="s">
        <v>3</v>
      </c>
      <c r="T1748">
        <v>625768.63</v>
      </c>
      <c r="U1748" t="s">
        <v>4593</v>
      </c>
      <c r="V1748" t="s">
        <v>4594</v>
      </c>
      <c r="W1748">
        <v>-1.05</v>
      </c>
    </row>
    <row r="1749" spans="1:23">
      <c r="A1749" t="str">
        <f>"600209"</f>
        <v>600209</v>
      </c>
      <c r="B1749" t="s">
        <v>4595</v>
      </c>
      <c r="C1749">
        <v>9.07</v>
      </c>
      <c r="D1749">
        <v>9.18</v>
      </c>
      <c r="E1749">
        <v>9</v>
      </c>
      <c r="F1749">
        <v>9.11</v>
      </c>
      <c r="G1749">
        <v>125418</v>
      </c>
      <c r="H1749">
        <v>113990544</v>
      </c>
      <c r="I1749">
        <v>0.87</v>
      </c>
      <c r="J1749" t="s">
        <v>26</v>
      </c>
      <c r="K1749" t="s">
        <v>356</v>
      </c>
      <c r="L1749">
        <v>0.44</v>
      </c>
      <c r="M1749">
        <v>9.09</v>
      </c>
      <c r="N1749">
        <v>64241</v>
      </c>
      <c r="O1749">
        <v>61176</v>
      </c>
      <c r="P1749">
        <v>1.05</v>
      </c>
      <c r="Q1749">
        <v>444</v>
      </c>
      <c r="R1749">
        <v>193</v>
      </c>
      <c r="S1749" t="s">
        <v>3</v>
      </c>
      <c r="T1749">
        <v>37529.760000000002</v>
      </c>
      <c r="U1749" t="s">
        <v>1133</v>
      </c>
      <c r="V1749" t="s">
        <v>3665</v>
      </c>
      <c r="W1749">
        <v>0.44</v>
      </c>
    </row>
    <row r="1750" spans="1:23">
      <c r="A1750" t="str">
        <f>"600210"</f>
        <v>600210</v>
      </c>
      <c r="B1750" t="s">
        <v>4596</v>
      </c>
      <c r="C1750">
        <v>4.54</v>
      </c>
      <c r="D1750">
        <v>4.66</v>
      </c>
      <c r="E1750">
        <v>4.47</v>
      </c>
      <c r="F1750">
        <v>4.57</v>
      </c>
      <c r="G1750">
        <v>238285</v>
      </c>
      <c r="H1750">
        <v>108617592</v>
      </c>
      <c r="I1750">
        <v>0.96</v>
      </c>
      <c r="J1750" t="s">
        <v>707</v>
      </c>
      <c r="K1750" t="s">
        <v>727</v>
      </c>
      <c r="L1750">
        <v>0.44</v>
      </c>
      <c r="M1750">
        <v>4.5599999999999996</v>
      </c>
      <c r="N1750">
        <v>134217</v>
      </c>
      <c r="O1750">
        <v>104067</v>
      </c>
      <c r="P1750">
        <v>1.29</v>
      </c>
      <c r="Q1750">
        <v>4125</v>
      </c>
      <c r="R1750">
        <v>120</v>
      </c>
      <c r="S1750" t="s">
        <v>3</v>
      </c>
      <c r="T1750">
        <v>143673.59</v>
      </c>
      <c r="U1750" t="s">
        <v>4597</v>
      </c>
      <c r="V1750" t="s">
        <v>4597</v>
      </c>
      <c r="W1750">
        <v>0.44</v>
      </c>
    </row>
    <row r="1751" spans="1:23">
      <c r="A1751" t="str">
        <f>"600211"</f>
        <v>600211</v>
      </c>
      <c r="B1751" t="s">
        <v>4598</v>
      </c>
      <c r="C1751" t="s">
        <v>3</v>
      </c>
      <c r="D1751" t="s">
        <v>3</v>
      </c>
      <c r="E1751" t="s">
        <v>3</v>
      </c>
      <c r="F1751">
        <v>28.39</v>
      </c>
      <c r="G1751">
        <v>0</v>
      </c>
      <c r="H1751">
        <v>0</v>
      </c>
      <c r="I1751">
        <v>0</v>
      </c>
      <c r="J1751" t="s">
        <v>321</v>
      </c>
      <c r="K1751" t="s">
        <v>905</v>
      </c>
      <c r="L1751">
        <v>0</v>
      </c>
      <c r="M1751">
        <v>28.39</v>
      </c>
      <c r="N1751">
        <v>0</v>
      </c>
      <c r="O1751">
        <v>0</v>
      </c>
      <c r="P1751" t="s">
        <v>3</v>
      </c>
      <c r="Q1751">
        <v>0</v>
      </c>
      <c r="R1751">
        <v>0</v>
      </c>
      <c r="S1751" t="s">
        <v>3</v>
      </c>
      <c r="T1751">
        <v>11410.9</v>
      </c>
      <c r="U1751" t="s">
        <v>4599</v>
      </c>
      <c r="V1751" t="s">
        <v>156</v>
      </c>
      <c r="W1751">
        <v>0</v>
      </c>
    </row>
    <row r="1752" spans="1:23">
      <c r="A1752" t="str">
        <f>"600212"</f>
        <v>600212</v>
      </c>
      <c r="B1752" t="s">
        <v>4600</v>
      </c>
      <c r="C1752" t="s">
        <v>3</v>
      </c>
      <c r="D1752" t="s">
        <v>3</v>
      </c>
      <c r="E1752" t="s">
        <v>3</v>
      </c>
      <c r="F1752">
        <v>3.5</v>
      </c>
      <c r="G1752">
        <v>0</v>
      </c>
      <c r="H1752">
        <v>0</v>
      </c>
      <c r="I1752">
        <v>0</v>
      </c>
      <c r="J1752" t="s">
        <v>26</v>
      </c>
      <c r="K1752" t="s">
        <v>250</v>
      </c>
      <c r="L1752">
        <v>0</v>
      </c>
      <c r="M1752">
        <v>3.5</v>
      </c>
      <c r="N1752">
        <v>0</v>
      </c>
      <c r="O1752">
        <v>0</v>
      </c>
      <c r="P1752" t="s">
        <v>3</v>
      </c>
      <c r="Q1752">
        <v>0</v>
      </c>
      <c r="R1752">
        <v>0</v>
      </c>
      <c r="S1752" t="s">
        <v>3</v>
      </c>
      <c r="T1752">
        <v>51169.71</v>
      </c>
      <c r="U1752" t="s">
        <v>3609</v>
      </c>
      <c r="V1752" t="s">
        <v>3609</v>
      </c>
      <c r="W1752">
        <v>0</v>
      </c>
    </row>
    <row r="1753" spans="1:23">
      <c r="A1753" t="str">
        <f>"600213"</f>
        <v>600213</v>
      </c>
      <c r="B1753" t="s">
        <v>4601</v>
      </c>
      <c r="C1753">
        <v>9.76</v>
      </c>
      <c r="D1753">
        <v>9.7899999999999991</v>
      </c>
      <c r="E1753">
        <v>9.59</v>
      </c>
      <c r="F1753">
        <v>9.73</v>
      </c>
      <c r="G1753">
        <v>26556</v>
      </c>
      <c r="H1753">
        <v>25704044</v>
      </c>
      <c r="I1753">
        <v>1.02</v>
      </c>
      <c r="J1753" t="s">
        <v>476</v>
      </c>
      <c r="K1753" t="s">
        <v>244</v>
      </c>
      <c r="L1753">
        <v>0.93</v>
      </c>
      <c r="M1753">
        <v>9.68</v>
      </c>
      <c r="N1753">
        <v>15359</v>
      </c>
      <c r="O1753">
        <v>11197</v>
      </c>
      <c r="P1753">
        <v>1.37</v>
      </c>
      <c r="Q1753">
        <v>52</v>
      </c>
      <c r="R1753">
        <v>303</v>
      </c>
      <c r="S1753" t="s">
        <v>3</v>
      </c>
      <c r="T1753">
        <v>22000</v>
      </c>
      <c r="U1753" t="s">
        <v>2003</v>
      </c>
      <c r="V1753" t="s">
        <v>2003</v>
      </c>
      <c r="W1753">
        <v>0.93</v>
      </c>
    </row>
    <row r="1754" spans="1:23">
      <c r="A1754" t="str">
        <f>"600215"</f>
        <v>600215</v>
      </c>
      <c r="B1754" t="s">
        <v>4602</v>
      </c>
      <c r="C1754">
        <v>4.71</v>
      </c>
      <c r="D1754">
        <v>4.74</v>
      </c>
      <c r="E1754">
        <v>4.68</v>
      </c>
      <c r="F1754">
        <v>4.6900000000000004</v>
      </c>
      <c r="G1754">
        <v>45401</v>
      </c>
      <c r="H1754">
        <v>21363724</v>
      </c>
      <c r="I1754">
        <v>0.83</v>
      </c>
      <c r="J1754" t="s">
        <v>663</v>
      </c>
      <c r="K1754" t="s">
        <v>99</v>
      </c>
      <c r="L1754">
        <v>-0.42</v>
      </c>
      <c r="M1754">
        <v>4.71</v>
      </c>
      <c r="N1754">
        <v>23743</v>
      </c>
      <c r="O1754">
        <v>21657</v>
      </c>
      <c r="P1754">
        <v>1.1000000000000001</v>
      </c>
      <c r="Q1754">
        <v>1266</v>
      </c>
      <c r="R1754">
        <v>871</v>
      </c>
      <c r="S1754" t="s">
        <v>3</v>
      </c>
      <c r="T1754">
        <v>46503.28</v>
      </c>
      <c r="U1754" t="s">
        <v>364</v>
      </c>
      <c r="V1754" t="s">
        <v>364</v>
      </c>
      <c r="W1754">
        <v>-0.43</v>
      </c>
    </row>
    <row r="1755" spans="1:23">
      <c r="A1755" t="str">
        <f>"600216"</f>
        <v>600216</v>
      </c>
      <c r="B1755" t="s">
        <v>4603</v>
      </c>
      <c r="C1755">
        <v>10.199999999999999</v>
      </c>
      <c r="D1755">
        <v>10.57</v>
      </c>
      <c r="E1755">
        <v>10.199999999999999</v>
      </c>
      <c r="F1755">
        <v>10.5</v>
      </c>
      <c r="G1755">
        <v>384244</v>
      </c>
      <c r="H1755">
        <v>400671584</v>
      </c>
      <c r="I1755">
        <v>2.41</v>
      </c>
      <c r="J1755" t="s">
        <v>219</v>
      </c>
      <c r="K1755" t="s">
        <v>229</v>
      </c>
      <c r="L1755">
        <v>3.14</v>
      </c>
      <c r="M1755">
        <v>10.43</v>
      </c>
      <c r="N1755">
        <v>158880</v>
      </c>
      <c r="O1755">
        <v>225364</v>
      </c>
      <c r="P1755">
        <v>0.7</v>
      </c>
      <c r="Q1755">
        <v>388</v>
      </c>
      <c r="R1755">
        <v>882</v>
      </c>
      <c r="S1755" t="s">
        <v>3</v>
      </c>
      <c r="T1755">
        <v>93610.38</v>
      </c>
      <c r="U1755" t="s">
        <v>4604</v>
      </c>
      <c r="V1755" t="s">
        <v>4604</v>
      </c>
      <c r="W1755">
        <v>3.14</v>
      </c>
    </row>
    <row r="1756" spans="1:23">
      <c r="A1756" t="str">
        <f>"600217"</f>
        <v>600217</v>
      </c>
      <c r="B1756" t="s">
        <v>4605</v>
      </c>
      <c r="C1756">
        <v>8.14</v>
      </c>
      <c r="D1756">
        <v>8.25</v>
      </c>
      <c r="E1756">
        <v>8.0500000000000007</v>
      </c>
      <c r="F1756">
        <v>8.18</v>
      </c>
      <c r="G1756">
        <v>209570</v>
      </c>
      <c r="H1756">
        <v>170559856</v>
      </c>
      <c r="I1756">
        <v>1.07</v>
      </c>
      <c r="J1756" t="s">
        <v>258</v>
      </c>
      <c r="K1756" t="s">
        <v>389</v>
      </c>
      <c r="L1756">
        <v>-2.39</v>
      </c>
      <c r="M1756">
        <v>8.14</v>
      </c>
      <c r="N1756">
        <v>125062</v>
      </c>
      <c r="O1756">
        <v>84508</v>
      </c>
      <c r="P1756">
        <v>1.48</v>
      </c>
      <c r="Q1756">
        <v>481</v>
      </c>
      <c r="R1756">
        <v>97</v>
      </c>
      <c r="S1756" t="s">
        <v>3</v>
      </c>
      <c r="T1756">
        <v>66080</v>
      </c>
      <c r="U1756" t="s">
        <v>4606</v>
      </c>
      <c r="V1756" t="s">
        <v>4606</v>
      </c>
      <c r="W1756">
        <v>-2.39</v>
      </c>
    </row>
    <row r="1757" spans="1:23">
      <c r="A1757" t="str">
        <f>"600218"</f>
        <v>600218</v>
      </c>
      <c r="B1757" t="s">
        <v>4607</v>
      </c>
      <c r="C1757">
        <v>11.58</v>
      </c>
      <c r="D1757">
        <v>12.3</v>
      </c>
      <c r="E1757">
        <v>11.58</v>
      </c>
      <c r="F1757">
        <v>12.17</v>
      </c>
      <c r="G1757">
        <v>116559</v>
      </c>
      <c r="H1757">
        <v>140936576</v>
      </c>
      <c r="I1757">
        <v>1.58</v>
      </c>
      <c r="J1757" t="s">
        <v>535</v>
      </c>
      <c r="K1757" t="s">
        <v>220</v>
      </c>
      <c r="L1757">
        <v>5</v>
      </c>
      <c r="M1757">
        <v>12.09</v>
      </c>
      <c r="N1757">
        <v>48946</v>
      </c>
      <c r="O1757">
        <v>67613</v>
      </c>
      <c r="P1757">
        <v>0.72</v>
      </c>
      <c r="Q1757">
        <v>139</v>
      </c>
      <c r="R1757">
        <v>717</v>
      </c>
      <c r="S1757" t="s">
        <v>3</v>
      </c>
      <c r="T1757">
        <v>28340</v>
      </c>
      <c r="U1757" t="s">
        <v>1692</v>
      </c>
      <c r="V1757" t="s">
        <v>1692</v>
      </c>
      <c r="W1757">
        <v>5</v>
      </c>
    </row>
    <row r="1758" spans="1:23">
      <c r="A1758" t="str">
        <f>"600219"</f>
        <v>600219</v>
      </c>
      <c r="B1758" t="s">
        <v>4608</v>
      </c>
      <c r="C1758">
        <v>6.75</v>
      </c>
      <c r="D1758">
        <v>6.83</v>
      </c>
      <c r="E1758">
        <v>6.64</v>
      </c>
      <c r="F1758">
        <v>6.75</v>
      </c>
      <c r="G1758">
        <v>347580</v>
      </c>
      <c r="H1758">
        <v>233444624</v>
      </c>
      <c r="I1758">
        <v>0.55000000000000004</v>
      </c>
      <c r="J1758" t="s">
        <v>632</v>
      </c>
      <c r="K1758" t="s">
        <v>250</v>
      </c>
      <c r="L1758">
        <v>0.3</v>
      </c>
      <c r="M1758">
        <v>6.72</v>
      </c>
      <c r="N1758">
        <v>173678</v>
      </c>
      <c r="O1758">
        <v>173901</v>
      </c>
      <c r="P1758">
        <v>1</v>
      </c>
      <c r="Q1758">
        <v>3165</v>
      </c>
      <c r="R1758">
        <v>144</v>
      </c>
      <c r="S1758" t="s">
        <v>3</v>
      </c>
      <c r="T1758">
        <v>193417.06</v>
      </c>
      <c r="U1758" t="s">
        <v>4609</v>
      </c>
      <c r="V1758" t="s">
        <v>4609</v>
      </c>
      <c r="W1758">
        <v>0.28999999999999998</v>
      </c>
    </row>
    <row r="1759" spans="1:23">
      <c r="A1759" t="str">
        <f>"600220"</f>
        <v>600220</v>
      </c>
      <c r="B1759" t="s">
        <v>4610</v>
      </c>
      <c r="C1759">
        <v>3.47</v>
      </c>
      <c r="D1759">
        <v>3.5</v>
      </c>
      <c r="E1759">
        <v>3.43</v>
      </c>
      <c r="F1759">
        <v>3.49</v>
      </c>
      <c r="G1759">
        <v>307401</v>
      </c>
      <c r="H1759">
        <v>106594216</v>
      </c>
      <c r="I1759">
        <v>1.1000000000000001</v>
      </c>
      <c r="J1759" t="s">
        <v>55</v>
      </c>
      <c r="K1759" t="s">
        <v>244</v>
      </c>
      <c r="L1759">
        <v>0.57999999999999996</v>
      </c>
      <c r="M1759">
        <v>3.47</v>
      </c>
      <c r="N1759">
        <v>147731</v>
      </c>
      <c r="O1759">
        <v>159669</v>
      </c>
      <c r="P1759">
        <v>0.93</v>
      </c>
      <c r="Q1759">
        <v>1436</v>
      </c>
      <c r="R1759">
        <v>9027</v>
      </c>
      <c r="S1759" t="s">
        <v>3</v>
      </c>
      <c r="T1759">
        <v>178334.03</v>
      </c>
      <c r="U1759" t="s">
        <v>2353</v>
      </c>
      <c r="V1759" t="s">
        <v>2353</v>
      </c>
      <c r="W1759">
        <v>0.56999999999999995</v>
      </c>
    </row>
    <row r="1760" spans="1:23">
      <c r="A1760" t="str">
        <f>"600221"</f>
        <v>600221</v>
      </c>
      <c r="B1760" t="s">
        <v>4611</v>
      </c>
      <c r="C1760">
        <v>1.93</v>
      </c>
      <c r="D1760">
        <v>2</v>
      </c>
      <c r="E1760">
        <v>1.92</v>
      </c>
      <c r="F1760">
        <v>1.99</v>
      </c>
      <c r="G1760">
        <v>2642856</v>
      </c>
      <c r="H1760">
        <v>520612000</v>
      </c>
      <c r="I1760">
        <v>2.5</v>
      </c>
      <c r="J1760" t="s">
        <v>208</v>
      </c>
      <c r="K1760" t="s">
        <v>356</v>
      </c>
      <c r="L1760">
        <v>3.11</v>
      </c>
      <c r="M1760">
        <v>1.97</v>
      </c>
      <c r="N1760">
        <v>992073</v>
      </c>
      <c r="O1760">
        <v>1650783</v>
      </c>
      <c r="P1760">
        <v>0.6</v>
      </c>
      <c r="Q1760">
        <v>24256</v>
      </c>
      <c r="R1760">
        <v>33049</v>
      </c>
      <c r="S1760" t="s">
        <v>3</v>
      </c>
      <c r="T1760">
        <v>1181206.3799999999</v>
      </c>
      <c r="U1760" t="s">
        <v>323</v>
      </c>
      <c r="V1760" t="s">
        <v>4612</v>
      </c>
      <c r="W1760">
        <v>3.1</v>
      </c>
    </row>
    <row r="1761" spans="1:23">
      <c r="A1761" t="str">
        <f>"600222"</f>
        <v>600222</v>
      </c>
      <c r="B1761" t="s">
        <v>4613</v>
      </c>
      <c r="C1761">
        <v>7.74</v>
      </c>
      <c r="D1761">
        <v>7.78</v>
      </c>
      <c r="E1761">
        <v>7.64</v>
      </c>
      <c r="F1761">
        <v>7.74</v>
      </c>
      <c r="G1761">
        <v>79159</v>
      </c>
      <c r="H1761">
        <v>60922128</v>
      </c>
      <c r="I1761">
        <v>0.91</v>
      </c>
      <c r="J1761" t="s">
        <v>321</v>
      </c>
      <c r="K1761" t="s">
        <v>254</v>
      </c>
      <c r="L1761">
        <v>0.78</v>
      </c>
      <c r="M1761">
        <v>7.7</v>
      </c>
      <c r="N1761">
        <v>40232</v>
      </c>
      <c r="O1761">
        <v>38927</v>
      </c>
      <c r="P1761">
        <v>1.03</v>
      </c>
      <c r="Q1761">
        <v>311</v>
      </c>
      <c r="R1761">
        <v>515</v>
      </c>
      <c r="S1761" t="s">
        <v>3</v>
      </c>
      <c r="T1761">
        <v>49660.89</v>
      </c>
      <c r="U1761" t="s">
        <v>1926</v>
      </c>
      <c r="V1761" t="s">
        <v>1926</v>
      </c>
      <c r="W1761">
        <v>0.78</v>
      </c>
    </row>
    <row r="1762" spans="1:23">
      <c r="A1762" t="str">
        <f>"600223"</f>
        <v>600223</v>
      </c>
      <c r="B1762" t="s">
        <v>4614</v>
      </c>
      <c r="C1762">
        <v>4.09</v>
      </c>
      <c r="D1762">
        <v>4.13</v>
      </c>
      <c r="E1762">
        <v>4.08</v>
      </c>
      <c r="F1762">
        <v>4.12</v>
      </c>
      <c r="G1762">
        <v>60204</v>
      </c>
      <c r="H1762">
        <v>24709426</v>
      </c>
      <c r="I1762">
        <v>1.1100000000000001</v>
      </c>
      <c r="J1762" t="s">
        <v>15</v>
      </c>
      <c r="K1762" t="s">
        <v>250</v>
      </c>
      <c r="L1762">
        <v>0.49</v>
      </c>
      <c r="M1762">
        <v>4.0999999999999996</v>
      </c>
      <c r="N1762">
        <v>28161</v>
      </c>
      <c r="O1762">
        <v>32042</v>
      </c>
      <c r="P1762">
        <v>0.88</v>
      </c>
      <c r="Q1762">
        <v>514</v>
      </c>
      <c r="R1762">
        <v>2781</v>
      </c>
      <c r="S1762" t="s">
        <v>3</v>
      </c>
      <c r="T1762">
        <v>100096.79</v>
      </c>
      <c r="U1762" t="s">
        <v>4615</v>
      </c>
      <c r="V1762" t="s">
        <v>4615</v>
      </c>
      <c r="W1762">
        <v>0.48</v>
      </c>
    </row>
    <row r="1763" spans="1:23">
      <c r="A1763" t="str">
        <f>"600225"</f>
        <v>600225</v>
      </c>
      <c r="B1763" t="s">
        <v>4616</v>
      </c>
      <c r="C1763">
        <v>7.6</v>
      </c>
      <c r="D1763">
        <v>7.65</v>
      </c>
      <c r="E1763">
        <v>7.36</v>
      </c>
      <c r="F1763">
        <v>7.49</v>
      </c>
      <c r="G1763">
        <v>203678</v>
      </c>
      <c r="H1763">
        <v>152134800</v>
      </c>
      <c r="I1763">
        <v>0.83</v>
      </c>
      <c r="J1763" t="s">
        <v>15</v>
      </c>
      <c r="K1763" t="s">
        <v>442</v>
      </c>
      <c r="L1763">
        <v>0.54</v>
      </c>
      <c r="M1763">
        <v>7.47</v>
      </c>
      <c r="N1763">
        <v>110349</v>
      </c>
      <c r="O1763">
        <v>93329</v>
      </c>
      <c r="P1763">
        <v>1.18</v>
      </c>
      <c r="Q1763">
        <v>137</v>
      </c>
      <c r="R1763">
        <v>1089</v>
      </c>
      <c r="S1763" t="s">
        <v>3</v>
      </c>
      <c r="T1763">
        <v>61814.21</v>
      </c>
      <c r="U1763" t="s">
        <v>4617</v>
      </c>
      <c r="V1763" t="s">
        <v>4618</v>
      </c>
      <c r="W1763">
        <v>0.53</v>
      </c>
    </row>
    <row r="1764" spans="1:23">
      <c r="A1764" t="str">
        <f>"600226"</f>
        <v>600226</v>
      </c>
      <c r="B1764" t="s">
        <v>4619</v>
      </c>
      <c r="C1764">
        <v>8.44</v>
      </c>
      <c r="D1764">
        <v>8.5399999999999991</v>
      </c>
      <c r="E1764">
        <v>8.32</v>
      </c>
      <c r="F1764">
        <v>8.4600000000000009</v>
      </c>
      <c r="G1764">
        <v>89004</v>
      </c>
      <c r="H1764">
        <v>74889496</v>
      </c>
      <c r="I1764">
        <v>0.68</v>
      </c>
      <c r="J1764" t="s">
        <v>224</v>
      </c>
      <c r="K1764" t="s">
        <v>229</v>
      </c>
      <c r="L1764">
        <v>-0.12</v>
      </c>
      <c r="M1764">
        <v>8.41</v>
      </c>
      <c r="N1764">
        <v>48828</v>
      </c>
      <c r="O1764">
        <v>40175</v>
      </c>
      <c r="P1764">
        <v>1.22</v>
      </c>
      <c r="Q1764">
        <v>406</v>
      </c>
      <c r="R1764">
        <v>6</v>
      </c>
      <c r="S1764" t="s">
        <v>3</v>
      </c>
      <c r="T1764">
        <v>40554.92</v>
      </c>
      <c r="U1764" t="s">
        <v>4620</v>
      </c>
      <c r="V1764" t="s">
        <v>4620</v>
      </c>
      <c r="W1764">
        <v>-0.12</v>
      </c>
    </row>
    <row r="1765" spans="1:23">
      <c r="A1765" t="str">
        <f>"600227"</f>
        <v>600227</v>
      </c>
      <c r="B1765" t="s">
        <v>4621</v>
      </c>
      <c r="C1765" t="s">
        <v>3</v>
      </c>
      <c r="D1765" t="s">
        <v>3</v>
      </c>
      <c r="E1765" t="s">
        <v>3</v>
      </c>
      <c r="F1765">
        <v>2.84</v>
      </c>
      <c r="G1765">
        <v>0</v>
      </c>
      <c r="H1765">
        <v>0</v>
      </c>
      <c r="I1765">
        <v>0</v>
      </c>
      <c r="J1765" t="s">
        <v>224</v>
      </c>
      <c r="K1765" t="s">
        <v>452</v>
      </c>
      <c r="L1765">
        <v>0</v>
      </c>
      <c r="M1765">
        <v>2.84</v>
      </c>
      <c r="N1765">
        <v>0</v>
      </c>
      <c r="O1765">
        <v>0</v>
      </c>
      <c r="P1765" t="s">
        <v>3</v>
      </c>
      <c r="Q1765">
        <v>0</v>
      </c>
      <c r="R1765">
        <v>0</v>
      </c>
      <c r="S1765" t="s">
        <v>3</v>
      </c>
      <c r="T1765">
        <v>95039.25</v>
      </c>
      <c r="U1765" t="s">
        <v>2270</v>
      </c>
      <c r="V1765" t="s">
        <v>2270</v>
      </c>
      <c r="W1765">
        <v>0</v>
      </c>
    </row>
    <row r="1766" spans="1:23">
      <c r="A1766" t="str">
        <f>"600228"</f>
        <v>600228</v>
      </c>
      <c r="B1766" t="s">
        <v>4622</v>
      </c>
      <c r="C1766">
        <v>10.69</v>
      </c>
      <c r="D1766">
        <v>10.71</v>
      </c>
      <c r="E1766">
        <v>10.43</v>
      </c>
      <c r="F1766">
        <v>10.67</v>
      </c>
      <c r="G1766">
        <v>83131</v>
      </c>
      <c r="H1766">
        <v>87772896</v>
      </c>
      <c r="I1766">
        <v>1.1599999999999999</v>
      </c>
      <c r="J1766" t="s">
        <v>376</v>
      </c>
      <c r="K1766" t="s">
        <v>265</v>
      </c>
      <c r="L1766">
        <v>0.85</v>
      </c>
      <c r="M1766">
        <v>10.56</v>
      </c>
      <c r="N1766">
        <v>42746</v>
      </c>
      <c r="O1766">
        <v>40385</v>
      </c>
      <c r="P1766">
        <v>1.06</v>
      </c>
      <c r="Q1766">
        <v>292</v>
      </c>
      <c r="R1766">
        <v>60</v>
      </c>
      <c r="S1766" t="s">
        <v>3</v>
      </c>
      <c r="T1766">
        <v>24132</v>
      </c>
      <c r="U1766" t="s">
        <v>4623</v>
      </c>
      <c r="V1766" t="s">
        <v>4623</v>
      </c>
      <c r="W1766">
        <v>0.85</v>
      </c>
    </row>
    <row r="1767" spans="1:23">
      <c r="A1767" t="str">
        <f>"600229"</f>
        <v>600229</v>
      </c>
      <c r="B1767" t="s">
        <v>4624</v>
      </c>
      <c r="C1767" t="s">
        <v>3</v>
      </c>
      <c r="D1767" t="s">
        <v>3</v>
      </c>
      <c r="E1767" t="s">
        <v>3</v>
      </c>
      <c r="F1767">
        <v>6.05</v>
      </c>
      <c r="G1767">
        <v>0</v>
      </c>
      <c r="H1767">
        <v>0</v>
      </c>
      <c r="I1767">
        <v>0</v>
      </c>
      <c r="J1767" t="s">
        <v>376</v>
      </c>
      <c r="K1767" t="s">
        <v>250</v>
      </c>
      <c r="L1767">
        <v>0</v>
      </c>
      <c r="M1767">
        <v>6.05</v>
      </c>
      <c r="N1767">
        <v>0</v>
      </c>
      <c r="O1767">
        <v>0</v>
      </c>
      <c r="P1767" t="s">
        <v>3</v>
      </c>
      <c r="Q1767">
        <v>0</v>
      </c>
      <c r="R1767">
        <v>0</v>
      </c>
      <c r="S1767" t="s">
        <v>3</v>
      </c>
      <c r="T1767">
        <v>39578.620000000003</v>
      </c>
      <c r="U1767" t="s">
        <v>4625</v>
      </c>
      <c r="V1767" t="s">
        <v>4625</v>
      </c>
      <c r="W1767">
        <v>0</v>
      </c>
    </row>
    <row r="1768" spans="1:23">
      <c r="A1768" t="str">
        <f>"600230"</f>
        <v>600230</v>
      </c>
      <c r="B1768" t="s">
        <v>4626</v>
      </c>
      <c r="C1768">
        <v>10.7</v>
      </c>
      <c r="D1768">
        <v>10.76</v>
      </c>
      <c r="E1768">
        <v>10.6</v>
      </c>
      <c r="F1768">
        <v>10.7</v>
      </c>
      <c r="G1768">
        <v>39923</v>
      </c>
      <c r="H1768">
        <v>42565512</v>
      </c>
      <c r="I1768">
        <v>1.04</v>
      </c>
      <c r="J1768" t="s">
        <v>224</v>
      </c>
      <c r="K1768" t="s">
        <v>238</v>
      </c>
      <c r="L1768">
        <v>-0.19</v>
      </c>
      <c r="M1768">
        <v>10.66</v>
      </c>
      <c r="N1768">
        <v>22763</v>
      </c>
      <c r="O1768">
        <v>17160</v>
      </c>
      <c r="P1768">
        <v>1.33</v>
      </c>
      <c r="Q1768">
        <v>7</v>
      </c>
      <c r="R1768">
        <v>325</v>
      </c>
      <c r="S1768" t="s">
        <v>3</v>
      </c>
      <c r="T1768">
        <v>29418.82</v>
      </c>
      <c r="U1768" t="s">
        <v>3633</v>
      </c>
      <c r="V1768" t="s">
        <v>3633</v>
      </c>
      <c r="W1768">
        <v>-0.19</v>
      </c>
    </row>
    <row r="1769" spans="1:23">
      <c r="A1769" t="str">
        <f>"600231"</f>
        <v>600231</v>
      </c>
      <c r="B1769" t="s">
        <v>4627</v>
      </c>
      <c r="C1769">
        <v>3.35</v>
      </c>
      <c r="D1769">
        <v>3.4</v>
      </c>
      <c r="E1769">
        <v>3.3</v>
      </c>
      <c r="F1769">
        <v>3.37</v>
      </c>
      <c r="G1769">
        <v>105916</v>
      </c>
      <c r="H1769">
        <v>35652024</v>
      </c>
      <c r="I1769">
        <v>1.24</v>
      </c>
      <c r="J1769" t="s">
        <v>279</v>
      </c>
      <c r="K1769" t="s">
        <v>162</v>
      </c>
      <c r="L1769">
        <v>1.2</v>
      </c>
      <c r="M1769">
        <v>3.37</v>
      </c>
      <c r="N1769">
        <v>49731</v>
      </c>
      <c r="O1769">
        <v>56184</v>
      </c>
      <c r="P1769">
        <v>0.89</v>
      </c>
      <c r="Q1769">
        <v>539</v>
      </c>
      <c r="R1769">
        <v>2306</v>
      </c>
      <c r="S1769" t="s">
        <v>3</v>
      </c>
      <c r="T1769">
        <v>80400.210000000006</v>
      </c>
      <c r="U1769" t="s">
        <v>4628</v>
      </c>
      <c r="V1769" t="s">
        <v>4628</v>
      </c>
      <c r="W1769">
        <v>1.2</v>
      </c>
    </row>
    <row r="1770" spans="1:23">
      <c r="A1770" t="str">
        <f>"600232"</f>
        <v>600232</v>
      </c>
      <c r="B1770" t="s">
        <v>4629</v>
      </c>
      <c r="C1770">
        <v>5.89</v>
      </c>
      <c r="D1770">
        <v>6.04</v>
      </c>
      <c r="E1770">
        <v>5.85</v>
      </c>
      <c r="F1770">
        <v>5.89</v>
      </c>
      <c r="G1770">
        <v>74777</v>
      </c>
      <c r="H1770">
        <v>44477136</v>
      </c>
      <c r="I1770">
        <v>0.97</v>
      </c>
      <c r="J1770" t="s">
        <v>55</v>
      </c>
      <c r="K1770" t="s">
        <v>229</v>
      </c>
      <c r="L1770">
        <v>0.51</v>
      </c>
      <c r="M1770">
        <v>5.95</v>
      </c>
      <c r="N1770">
        <v>35496</v>
      </c>
      <c r="O1770">
        <v>39281</v>
      </c>
      <c r="P1770">
        <v>0.9</v>
      </c>
      <c r="Q1770">
        <v>11</v>
      </c>
      <c r="R1770">
        <v>397</v>
      </c>
      <c r="S1770" t="s">
        <v>3</v>
      </c>
      <c r="T1770">
        <v>36471.85</v>
      </c>
      <c r="U1770" t="s">
        <v>4630</v>
      </c>
      <c r="V1770" t="s">
        <v>4630</v>
      </c>
      <c r="W1770">
        <v>0.51</v>
      </c>
    </row>
    <row r="1771" spans="1:23">
      <c r="A1771" t="str">
        <f>"600233"</f>
        <v>600233</v>
      </c>
      <c r="B1771" t="s">
        <v>4631</v>
      </c>
      <c r="C1771">
        <v>12.25</v>
      </c>
      <c r="D1771">
        <v>13.38</v>
      </c>
      <c r="E1771">
        <v>12.19</v>
      </c>
      <c r="F1771">
        <v>13.22</v>
      </c>
      <c r="G1771">
        <v>87805</v>
      </c>
      <c r="H1771">
        <v>113319072</v>
      </c>
      <c r="I1771">
        <v>1.07</v>
      </c>
      <c r="J1771" t="s">
        <v>1373</v>
      </c>
      <c r="K1771" t="s">
        <v>162</v>
      </c>
      <c r="L1771">
        <v>7.22</v>
      </c>
      <c r="M1771">
        <v>12.91</v>
      </c>
      <c r="N1771">
        <v>36114</v>
      </c>
      <c r="O1771">
        <v>51691</v>
      </c>
      <c r="P1771">
        <v>0.7</v>
      </c>
      <c r="Q1771">
        <v>208</v>
      </c>
      <c r="R1771">
        <v>8</v>
      </c>
      <c r="S1771" t="s">
        <v>3</v>
      </c>
      <c r="T1771">
        <v>16500</v>
      </c>
      <c r="U1771" t="s">
        <v>364</v>
      </c>
      <c r="V1771" t="s">
        <v>364</v>
      </c>
      <c r="W1771">
        <v>7.21</v>
      </c>
    </row>
    <row r="1772" spans="1:23">
      <c r="A1772" t="str">
        <f>"600234"</f>
        <v>600234</v>
      </c>
      <c r="B1772" t="s">
        <v>4632</v>
      </c>
      <c r="C1772" t="s">
        <v>3</v>
      </c>
      <c r="D1772" t="s">
        <v>3</v>
      </c>
      <c r="E1772" t="s">
        <v>3</v>
      </c>
      <c r="F1772">
        <v>13.57</v>
      </c>
      <c r="G1772">
        <v>0</v>
      </c>
      <c r="H1772">
        <v>0</v>
      </c>
      <c r="I1772">
        <v>0</v>
      </c>
      <c r="J1772" t="s">
        <v>51</v>
      </c>
      <c r="K1772" t="s">
        <v>742</v>
      </c>
      <c r="L1772">
        <v>0</v>
      </c>
      <c r="M1772">
        <v>13.57</v>
      </c>
      <c r="N1772">
        <v>0</v>
      </c>
      <c r="O1772">
        <v>0</v>
      </c>
      <c r="P1772" t="s">
        <v>3</v>
      </c>
      <c r="Q1772">
        <v>0</v>
      </c>
      <c r="R1772">
        <v>0</v>
      </c>
      <c r="S1772" t="s">
        <v>3</v>
      </c>
      <c r="T1772">
        <v>20244.580000000002</v>
      </c>
      <c r="U1772" t="s">
        <v>645</v>
      </c>
      <c r="V1772" t="s">
        <v>645</v>
      </c>
      <c r="W1772">
        <v>0</v>
      </c>
    </row>
    <row r="1773" spans="1:23">
      <c r="A1773" t="str">
        <f>"600235"</f>
        <v>600235</v>
      </c>
      <c r="B1773" t="s">
        <v>4633</v>
      </c>
      <c r="C1773">
        <v>7.13</v>
      </c>
      <c r="D1773">
        <v>7.31</v>
      </c>
      <c r="E1773">
        <v>7</v>
      </c>
      <c r="F1773">
        <v>7.27</v>
      </c>
      <c r="G1773">
        <v>95580</v>
      </c>
      <c r="H1773">
        <v>68076408</v>
      </c>
      <c r="I1773">
        <v>0.85</v>
      </c>
      <c r="J1773" t="s">
        <v>343</v>
      </c>
      <c r="K1773" t="s">
        <v>229</v>
      </c>
      <c r="L1773">
        <v>2.11</v>
      </c>
      <c r="M1773">
        <v>7.12</v>
      </c>
      <c r="N1773">
        <v>48021</v>
      </c>
      <c r="O1773">
        <v>47559</v>
      </c>
      <c r="P1773">
        <v>1.01</v>
      </c>
      <c r="Q1773">
        <v>171</v>
      </c>
      <c r="R1773">
        <v>225</v>
      </c>
      <c r="S1773" t="s">
        <v>3</v>
      </c>
      <c r="T1773">
        <v>35130</v>
      </c>
      <c r="U1773" t="s">
        <v>4634</v>
      </c>
      <c r="V1773" t="s">
        <v>4634</v>
      </c>
      <c r="W1773">
        <v>2.1</v>
      </c>
    </row>
    <row r="1774" spans="1:23">
      <c r="A1774" t="str">
        <f>"600236"</f>
        <v>600236</v>
      </c>
      <c r="B1774" t="s">
        <v>4635</v>
      </c>
      <c r="C1774">
        <v>3.43</v>
      </c>
      <c r="D1774">
        <v>3.53</v>
      </c>
      <c r="E1774">
        <v>3.4</v>
      </c>
      <c r="F1774">
        <v>3.51</v>
      </c>
      <c r="G1774">
        <v>142535</v>
      </c>
      <c r="H1774">
        <v>49706484</v>
      </c>
      <c r="I1774">
        <v>1.36</v>
      </c>
      <c r="J1774" t="s">
        <v>852</v>
      </c>
      <c r="K1774" t="s">
        <v>417</v>
      </c>
      <c r="L1774">
        <v>2.0299999999999998</v>
      </c>
      <c r="M1774">
        <v>3.49</v>
      </c>
      <c r="N1774">
        <v>52334</v>
      </c>
      <c r="O1774">
        <v>90200</v>
      </c>
      <c r="P1774">
        <v>0.57999999999999996</v>
      </c>
      <c r="Q1774">
        <v>99</v>
      </c>
      <c r="R1774">
        <v>155</v>
      </c>
      <c r="S1774" t="s">
        <v>3</v>
      </c>
      <c r="T1774">
        <v>112823.02</v>
      </c>
      <c r="U1774" t="s">
        <v>4636</v>
      </c>
      <c r="V1774" t="s">
        <v>4637</v>
      </c>
      <c r="W1774">
        <v>2.0299999999999998</v>
      </c>
    </row>
    <row r="1775" spans="1:23">
      <c r="A1775" t="str">
        <f>"600237"</f>
        <v>600237</v>
      </c>
      <c r="B1775" t="s">
        <v>4638</v>
      </c>
      <c r="C1775">
        <v>6.92</v>
      </c>
      <c r="D1775">
        <v>7.23</v>
      </c>
      <c r="E1775">
        <v>6.91</v>
      </c>
      <c r="F1775">
        <v>7.14</v>
      </c>
      <c r="G1775">
        <v>404929</v>
      </c>
      <c r="H1775">
        <v>286394656</v>
      </c>
      <c r="I1775">
        <v>1.95</v>
      </c>
      <c r="J1775" t="s">
        <v>62</v>
      </c>
      <c r="K1775" t="s">
        <v>220</v>
      </c>
      <c r="L1775">
        <v>2.73</v>
      </c>
      <c r="M1775">
        <v>7.07</v>
      </c>
      <c r="N1775">
        <v>166433</v>
      </c>
      <c r="O1775">
        <v>238496</v>
      </c>
      <c r="P1775">
        <v>0.7</v>
      </c>
      <c r="Q1775">
        <v>1033</v>
      </c>
      <c r="R1775">
        <v>3521</v>
      </c>
      <c r="S1775" t="s">
        <v>3</v>
      </c>
      <c r="T1775">
        <v>56436.959999999999</v>
      </c>
      <c r="U1775" t="s">
        <v>1459</v>
      </c>
      <c r="V1775" t="s">
        <v>1459</v>
      </c>
      <c r="W1775">
        <v>2.73</v>
      </c>
    </row>
    <row r="1776" spans="1:23">
      <c r="A1776" t="str">
        <f>"600238"</f>
        <v>600238</v>
      </c>
      <c r="B1776" t="s">
        <v>4639</v>
      </c>
      <c r="C1776">
        <v>7.1</v>
      </c>
      <c r="D1776">
        <v>7.11</v>
      </c>
      <c r="E1776">
        <v>6.99</v>
      </c>
      <c r="F1776">
        <v>7.06</v>
      </c>
      <c r="G1776">
        <v>71233</v>
      </c>
      <c r="H1776">
        <v>50230000</v>
      </c>
      <c r="I1776">
        <v>0.83</v>
      </c>
      <c r="J1776" t="s">
        <v>495</v>
      </c>
      <c r="K1776" t="s">
        <v>356</v>
      </c>
      <c r="L1776">
        <v>-0.28000000000000003</v>
      </c>
      <c r="M1776">
        <v>7.05</v>
      </c>
      <c r="N1776">
        <v>41352</v>
      </c>
      <c r="O1776">
        <v>29881</v>
      </c>
      <c r="P1776">
        <v>1.38</v>
      </c>
      <c r="Q1776">
        <v>39</v>
      </c>
      <c r="R1776">
        <v>1077</v>
      </c>
      <c r="S1776" t="s">
        <v>3</v>
      </c>
      <c r="T1776">
        <v>44203.16</v>
      </c>
      <c r="U1776" t="s">
        <v>4640</v>
      </c>
      <c r="V1776" t="s">
        <v>4641</v>
      </c>
      <c r="W1776">
        <v>-0.28999999999999998</v>
      </c>
    </row>
    <row r="1777" spans="1:23">
      <c r="A1777" t="str">
        <f>"600239"</f>
        <v>600239</v>
      </c>
      <c r="B1777" t="s">
        <v>4642</v>
      </c>
      <c r="C1777">
        <v>5.27</v>
      </c>
      <c r="D1777">
        <v>5.32</v>
      </c>
      <c r="E1777">
        <v>5.2</v>
      </c>
      <c r="F1777">
        <v>5.24</v>
      </c>
      <c r="G1777">
        <v>142137</v>
      </c>
      <c r="H1777">
        <v>74514912</v>
      </c>
      <c r="I1777">
        <v>0.92</v>
      </c>
      <c r="J1777" t="s">
        <v>15</v>
      </c>
      <c r="K1777" t="s">
        <v>445</v>
      </c>
      <c r="L1777">
        <v>-0.76</v>
      </c>
      <c r="M1777">
        <v>5.24</v>
      </c>
      <c r="N1777">
        <v>81688</v>
      </c>
      <c r="O1777">
        <v>60448</v>
      </c>
      <c r="P1777">
        <v>1.35</v>
      </c>
      <c r="Q1777">
        <v>211</v>
      </c>
      <c r="R1777">
        <v>1411</v>
      </c>
      <c r="S1777" t="s">
        <v>3</v>
      </c>
      <c r="T1777">
        <v>82342.92</v>
      </c>
      <c r="U1777" t="s">
        <v>4643</v>
      </c>
      <c r="V1777" t="s">
        <v>4643</v>
      </c>
      <c r="W1777">
        <v>-0.76</v>
      </c>
    </row>
    <row r="1778" spans="1:23">
      <c r="A1778" t="str">
        <f>"600240"</f>
        <v>600240</v>
      </c>
      <c r="B1778" t="s">
        <v>4644</v>
      </c>
      <c r="C1778">
        <v>6.37</v>
      </c>
      <c r="D1778">
        <v>6.43</v>
      </c>
      <c r="E1778">
        <v>6.25</v>
      </c>
      <c r="F1778">
        <v>6.35</v>
      </c>
      <c r="G1778">
        <v>239911</v>
      </c>
      <c r="H1778">
        <v>152255136</v>
      </c>
      <c r="I1778">
        <v>0.81</v>
      </c>
      <c r="J1778" t="s">
        <v>7</v>
      </c>
      <c r="K1778" t="s">
        <v>34</v>
      </c>
      <c r="L1778">
        <v>0.32</v>
      </c>
      <c r="M1778">
        <v>6.35</v>
      </c>
      <c r="N1778">
        <v>134354</v>
      </c>
      <c r="O1778">
        <v>105557</v>
      </c>
      <c r="P1778">
        <v>1.27</v>
      </c>
      <c r="Q1778">
        <v>390</v>
      </c>
      <c r="R1778">
        <v>15</v>
      </c>
      <c r="S1778" t="s">
        <v>3</v>
      </c>
      <c r="T1778">
        <v>142425.34</v>
      </c>
      <c r="U1778" t="s">
        <v>1096</v>
      </c>
      <c r="V1778" t="s">
        <v>1096</v>
      </c>
      <c r="W1778">
        <v>0.31</v>
      </c>
    </row>
    <row r="1779" spans="1:23">
      <c r="A1779" t="str">
        <f>"600241"</f>
        <v>600241</v>
      </c>
      <c r="B1779" t="s">
        <v>4645</v>
      </c>
      <c r="C1779" t="s">
        <v>3</v>
      </c>
      <c r="D1779" t="s">
        <v>3</v>
      </c>
      <c r="E1779" t="s">
        <v>3</v>
      </c>
      <c r="F1779">
        <v>8.2799999999999994</v>
      </c>
      <c r="G1779">
        <v>0</v>
      </c>
      <c r="H1779">
        <v>0</v>
      </c>
      <c r="I1779">
        <v>0</v>
      </c>
      <c r="J1779" t="s">
        <v>173</v>
      </c>
      <c r="K1779" t="s">
        <v>162</v>
      </c>
      <c r="L1779">
        <v>0</v>
      </c>
      <c r="M1779">
        <v>8.2799999999999994</v>
      </c>
      <c r="N1779">
        <v>0</v>
      </c>
      <c r="O1779">
        <v>0</v>
      </c>
      <c r="P1779" t="s">
        <v>3</v>
      </c>
      <c r="Q1779">
        <v>0</v>
      </c>
      <c r="R1779">
        <v>0</v>
      </c>
      <c r="S1779" t="s">
        <v>3</v>
      </c>
      <c r="T1779">
        <v>18020</v>
      </c>
      <c r="U1779" t="s">
        <v>4646</v>
      </c>
      <c r="V1779" t="s">
        <v>4646</v>
      </c>
      <c r="W1779">
        <v>0</v>
      </c>
    </row>
    <row r="1780" spans="1:23">
      <c r="A1780" t="str">
        <f>"600242"</f>
        <v>600242</v>
      </c>
      <c r="B1780" t="s">
        <v>4647</v>
      </c>
      <c r="C1780">
        <v>7.05</v>
      </c>
      <c r="D1780">
        <v>7.14</v>
      </c>
      <c r="E1780">
        <v>7.02</v>
      </c>
      <c r="F1780">
        <v>7.08</v>
      </c>
      <c r="G1780">
        <v>67178</v>
      </c>
      <c r="H1780">
        <v>47555184</v>
      </c>
      <c r="I1780">
        <v>0.73</v>
      </c>
      <c r="J1780" t="s">
        <v>2226</v>
      </c>
      <c r="K1780" t="s">
        <v>211</v>
      </c>
      <c r="L1780">
        <v>0.28000000000000003</v>
      </c>
      <c r="M1780">
        <v>7.08</v>
      </c>
      <c r="N1780">
        <v>35422</v>
      </c>
      <c r="O1780">
        <v>31756</v>
      </c>
      <c r="P1780">
        <v>1.1200000000000001</v>
      </c>
      <c r="Q1780">
        <v>398</v>
      </c>
      <c r="R1780">
        <v>230</v>
      </c>
      <c r="S1780" t="s">
        <v>3</v>
      </c>
      <c r="T1780">
        <v>26696.25</v>
      </c>
      <c r="U1780" t="s">
        <v>4153</v>
      </c>
      <c r="V1780" t="s">
        <v>3339</v>
      </c>
      <c r="W1780">
        <v>0.28000000000000003</v>
      </c>
    </row>
    <row r="1781" spans="1:23">
      <c r="A1781" t="str">
        <f>"600243"</f>
        <v>600243</v>
      </c>
      <c r="B1781" t="s">
        <v>4648</v>
      </c>
      <c r="C1781">
        <v>9.06</v>
      </c>
      <c r="D1781">
        <v>9.24</v>
      </c>
      <c r="E1781">
        <v>9</v>
      </c>
      <c r="F1781">
        <v>9.09</v>
      </c>
      <c r="G1781">
        <v>49180</v>
      </c>
      <c r="H1781">
        <v>44562532</v>
      </c>
      <c r="I1781">
        <v>0.61</v>
      </c>
      <c r="J1781" t="s">
        <v>283</v>
      </c>
      <c r="K1781" t="s">
        <v>613</v>
      </c>
      <c r="L1781">
        <v>0.44</v>
      </c>
      <c r="M1781">
        <v>9.06</v>
      </c>
      <c r="N1781">
        <v>30731</v>
      </c>
      <c r="O1781">
        <v>18449</v>
      </c>
      <c r="P1781">
        <v>1.67</v>
      </c>
      <c r="Q1781">
        <v>36</v>
      </c>
      <c r="R1781">
        <v>153</v>
      </c>
      <c r="S1781" t="s">
        <v>3</v>
      </c>
      <c r="T1781">
        <v>23685</v>
      </c>
      <c r="U1781" t="s">
        <v>4649</v>
      </c>
      <c r="V1781" t="s">
        <v>4649</v>
      </c>
      <c r="W1781">
        <v>0.44</v>
      </c>
    </row>
    <row r="1782" spans="1:23">
      <c r="A1782" t="str">
        <f>"600246"</f>
        <v>600246</v>
      </c>
      <c r="B1782" t="s">
        <v>4650</v>
      </c>
      <c r="C1782" t="s">
        <v>3</v>
      </c>
      <c r="D1782" t="s">
        <v>3</v>
      </c>
      <c r="E1782" t="s">
        <v>3</v>
      </c>
      <c r="F1782">
        <v>3.4</v>
      </c>
      <c r="G1782">
        <v>0</v>
      </c>
      <c r="H1782">
        <v>0</v>
      </c>
      <c r="I1782">
        <v>0</v>
      </c>
      <c r="J1782" t="s">
        <v>15</v>
      </c>
      <c r="K1782" t="s">
        <v>34</v>
      </c>
      <c r="L1782">
        <v>0</v>
      </c>
      <c r="M1782">
        <v>3.4</v>
      </c>
      <c r="N1782">
        <v>0</v>
      </c>
      <c r="O1782">
        <v>0</v>
      </c>
      <c r="P1782" t="s">
        <v>3</v>
      </c>
      <c r="Q1782">
        <v>0</v>
      </c>
      <c r="R1782">
        <v>0</v>
      </c>
      <c r="S1782" t="s">
        <v>3</v>
      </c>
      <c r="T1782">
        <v>121680</v>
      </c>
      <c r="U1782" t="s">
        <v>4651</v>
      </c>
      <c r="V1782" t="s">
        <v>4651</v>
      </c>
      <c r="W1782">
        <v>0</v>
      </c>
    </row>
    <row r="1783" spans="1:23">
      <c r="A1783" t="str">
        <f>"600247"</f>
        <v>600247</v>
      </c>
      <c r="B1783" t="s">
        <v>4652</v>
      </c>
      <c r="C1783">
        <v>5.31</v>
      </c>
      <c r="D1783">
        <v>5.59</v>
      </c>
      <c r="E1783">
        <v>5.25</v>
      </c>
      <c r="F1783">
        <v>5.59</v>
      </c>
      <c r="G1783">
        <v>172301</v>
      </c>
      <c r="H1783">
        <v>95232640</v>
      </c>
      <c r="I1783">
        <v>0.93</v>
      </c>
      <c r="J1783" t="s">
        <v>173</v>
      </c>
      <c r="K1783" t="s">
        <v>99</v>
      </c>
      <c r="L1783">
        <v>5.08</v>
      </c>
      <c r="M1783">
        <v>5.53</v>
      </c>
      <c r="N1783">
        <v>90232</v>
      </c>
      <c r="O1783">
        <v>82069</v>
      </c>
      <c r="P1783">
        <v>1.1000000000000001</v>
      </c>
      <c r="Q1783">
        <v>10143</v>
      </c>
      <c r="R1783">
        <v>0</v>
      </c>
      <c r="S1783" t="s">
        <v>3</v>
      </c>
      <c r="T1783">
        <v>33644.160000000003</v>
      </c>
      <c r="U1783" t="s">
        <v>1489</v>
      </c>
      <c r="V1783" t="s">
        <v>1489</v>
      </c>
      <c r="W1783">
        <v>5.07</v>
      </c>
    </row>
    <row r="1784" spans="1:23">
      <c r="A1784" t="str">
        <f>"600248"</f>
        <v>600248</v>
      </c>
      <c r="B1784" t="s">
        <v>4653</v>
      </c>
      <c r="C1784">
        <v>8.31</v>
      </c>
      <c r="D1784">
        <v>8.3699999999999992</v>
      </c>
      <c r="E1784">
        <v>8.26</v>
      </c>
      <c r="F1784">
        <v>8.3000000000000007</v>
      </c>
      <c r="G1784">
        <v>42820</v>
      </c>
      <c r="H1784">
        <v>35582204</v>
      </c>
      <c r="I1784">
        <v>1</v>
      </c>
      <c r="J1784" t="s">
        <v>33</v>
      </c>
      <c r="K1784" t="s">
        <v>389</v>
      </c>
      <c r="L1784">
        <v>-0.48</v>
      </c>
      <c r="M1784">
        <v>8.31</v>
      </c>
      <c r="N1784">
        <v>23810</v>
      </c>
      <c r="O1784">
        <v>19009</v>
      </c>
      <c r="P1784">
        <v>1.25</v>
      </c>
      <c r="Q1784">
        <v>257</v>
      </c>
      <c r="R1784">
        <v>121</v>
      </c>
      <c r="S1784" t="s">
        <v>3</v>
      </c>
      <c r="T1784">
        <v>41968.92</v>
      </c>
      <c r="U1784" t="s">
        <v>4654</v>
      </c>
      <c r="V1784" t="s">
        <v>4655</v>
      </c>
      <c r="W1784">
        <v>-0.48</v>
      </c>
    </row>
    <row r="1785" spans="1:23">
      <c r="A1785" t="str">
        <f>"600249"</f>
        <v>600249</v>
      </c>
      <c r="B1785" t="s">
        <v>4656</v>
      </c>
      <c r="C1785">
        <v>6.16</v>
      </c>
      <c r="D1785">
        <v>6.27</v>
      </c>
      <c r="E1785">
        <v>6.06</v>
      </c>
      <c r="F1785">
        <v>6.25</v>
      </c>
      <c r="G1785">
        <v>60420</v>
      </c>
      <c r="H1785">
        <v>37344080</v>
      </c>
      <c r="I1785">
        <v>0.67</v>
      </c>
      <c r="J1785" t="s">
        <v>405</v>
      </c>
      <c r="K1785" t="s">
        <v>417</v>
      </c>
      <c r="L1785">
        <v>1.46</v>
      </c>
      <c r="M1785">
        <v>6.18</v>
      </c>
      <c r="N1785">
        <v>25465</v>
      </c>
      <c r="O1785">
        <v>34955</v>
      </c>
      <c r="P1785">
        <v>0.73</v>
      </c>
      <c r="Q1785">
        <v>367</v>
      </c>
      <c r="R1785">
        <v>143</v>
      </c>
      <c r="S1785" t="s">
        <v>3</v>
      </c>
      <c r="T1785">
        <v>45000</v>
      </c>
      <c r="U1785" t="s">
        <v>3986</v>
      </c>
      <c r="V1785" t="s">
        <v>3986</v>
      </c>
      <c r="W1785">
        <v>1.46</v>
      </c>
    </row>
    <row r="1786" spans="1:23">
      <c r="A1786" t="str">
        <f>"600250"</f>
        <v>600250</v>
      </c>
      <c r="B1786" t="s">
        <v>4657</v>
      </c>
      <c r="C1786">
        <v>8.1300000000000008</v>
      </c>
      <c r="D1786">
        <v>8.15</v>
      </c>
      <c r="E1786">
        <v>7.88</v>
      </c>
      <c r="F1786">
        <v>8.1</v>
      </c>
      <c r="G1786">
        <v>30096</v>
      </c>
      <c r="H1786">
        <v>24098332</v>
      </c>
      <c r="I1786">
        <v>0.73</v>
      </c>
      <c r="J1786" t="s">
        <v>173</v>
      </c>
      <c r="K1786" t="s">
        <v>244</v>
      </c>
      <c r="L1786">
        <v>0.12</v>
      </c>
      <c r="M1786">
        <v>8.01</v>
      </c>
      <c r="N1786">
        <v>17784</v>
      </c>
      <c r="O1786">
        <v>12312</v>
      </c>
      <c r="P1786">
        <v>1.44</v>
      </c>
      <c r="Q1786">
        <v>169</v>
      </c>
      <c r="R1786">
        <v>230</v>
      </c>
      <c r="S1786" t="s">
        <v>3</v>
      </c>
      <c r="T1786">
        <v>25869.25</v>
      </c>
      <c r="U1786" t="s">
        <v>4658</v>
      </c>
      <c r="V1786" t="s">
        <v>4658</v>
      </c>
      <c r="W1786">
        <v>0.12</v>
      </c>
    </row>
    <row r="1787" spans="1:23">
      <c r="A1787" t="str">
        <f>"600251"</f>
        <v>600251</v>
      </c>
      <c r="B1787" t="s">
        <v>4659</v>
      </c>
      <c r="C1787">
        <v>17.190000000000001</v>
      </c>
      <c r="D1787">
        <v>17.579999999999998</v>
      </c>
      <c r="E1787">
        <v>17.149999999999999</v>
      </c>
      <c r="F1787">
        <v>17.41</v>
      </c>
      <c r="G1787">
        <v>66419</v>
      </c>
      <c r="H1787">
        <v>115847304</v>
      </c>
      <c r="I1787">
        <v>1.32</v>
      </c>
      <c r="J1787" t="s">
        <v>169</v>
      </c>
      <c r="K1787" t="s">
        <v>241</v>
      </c>
      <c r="L1787">
        <v>1.1000000000000001</v>
      </c>
      <c r="M1787">
        <v>17.440000000000001</v>
      </c>
      <c r="N1787">
        <v>33111</v>
      </c>
      <c r="O1787">
        <v>33308</v>
      </c>
      <c r="P1787">
        <v>0.99</v>
      </c>
      <c r="Q1787">
        <v>109</v>
      </c>
      <c r="R1787">
        <v>409</v>
      </c>
      <c r="S1787" t="s">
        <v>3</v>
      </c>
      <c r="T1787">
        <v>36210</v>
      </c>
      <c r="U1787" t="s">
        <v>4660</v>
      </c>
      <c r="V1787" t="s">
        <v>697</v>
      </c>
      <c r="W1787">
        <v>1.1000000000000001</v>
      </c>
    </row>
    <row r="1788" spans="1:23">
      <c r="A1788" t="str">
        <f>"600252"</f>
        <v>600252</v>
      </c>
      <c r="B1788" t="s">
        <v>4661</v>
      </c>
      <c r="C1788">
        <v>13.03</v>
      </c>
      <c r="D1788">
        <v>13.05</v>
      </c>
      <c r="E1788">
        <v>12.95</v>
      </c>
      <c r="F1788">
        <v>13.04</v>
      </c>
      <c r="G1788">
        <v>187712</v>
      </c>
      <c r="H1788">
        <v>243992384</v>
      </c>
      <c r="I1788">
        <v>1.17</v>
      </c>
      <c r="J1788" t="s">
        <v>321</v>
      </c>
      <c r="K1788" t="s">
        <v>417</v>
      </c>
      <c r="L1788">
        <v>0.23</v>
      </c>
      <c r="M1788">
        <v>13</v>
      </c>
      <c r="N1788">
        <v>95344</v>
      </c>
      <c r="O1788">
        <v>92368</v>
      </c>
      <c r="P1788">
        <v>1.03</v>
      </c>
      <c r="Q1788">
        <v>887</v>
      </c>
      <c r="R1788">
        <v>3544</v>
      </c>
      <c r="S1788" t="s">
        <v>3</v>
      </c>
      <c r="T1788">
        <v>109174.75</v>
      </c>
      <c r="U1788" t="s">
        <v>4662</v>
      </c>
      <c r="V1788" t="s">
        <v>4662</v>
      </c>
      <c r="W1788">
        <v>0.23</v>
      </c>
    </row>
    <row r="1789" spans="1:23">
      <c r="A1789" t="str">
        <f>"600255"</f>
        <v>600255</v>
      </c>
      <c r="B1789" t="s">
        <v>4663</v>
      </c>
      <c r="C1789">
        <v>13.88</v>
      </c>
      <c r="D1789">
        <v>14.85</v>
      </c>
      <c r="E1789">
        <v>13.71</v>
      </c>
      <c r="F1789">
        <v>14.48</v>
      </c>
      <c r="G1789">
        <v>751387</v>
      </c>
      <c r="H1789">
        <v>1077547392</v>
      </c>
      <c r="I1789">
        <v>2.25</v>
      </c>
      <c r="J1789" t="s">
        <v>670</v>
      </c>
      <c r="K1789" t="s">
        <v>220</v>
      </c>
      <c r="L1789">
        <v>6.71</v>
      </c>
      <c r="M1789">
        <v>14.34</v>
      </c>
      <c r="N1789">
        <v>354506</v>
      </c>
      <c r="O1789">
        <v>396881</v>
      </c>
      <c r="P1789">
        <v>0.89</v>
      </c>
      <c r="Q1789">
        <v>1085</v>
      </c>
      <c r="R1789">
        <v>688</v>
      </c>
      <c r="S1789" t="s">
        <v>3</v>
      </c>
      <c r="T1789">
        <v>44950</v>
      </c>
      <c r="U1789" t="s">
        <v>4664</v>
      </c>
      <c r="V1789" t="s">
        <v>4665</v>
      </c>
      <c r="W1789">
        <v>6.7</v>
      </c>
    </row>
    <row r="1790" spans="1:23">
      <c r="A1790" t="str">
        <f>"600256"</f>
        <v>600256</v>
      </c>
      <c r="B1790" t="s">
        <v>4666</v>
      </c>
      <c r="C1790">
        <v>8.9700000000000006</v>
      </c>
      <c r="D1790">
        <v>9.14</v>
      </c>
      <c r="E1790">
        <v>8.94</v>
      </c>
      <c r="F1790">
        <v>9.06</v>
      </c>
      <c r="G1790">
        <v>977187</v>
      </c>
      <c r="H1790">
        <v>882584960</v>
      </c>
      <c r="I1790">
        <v>0.64</v>
      </c>
      <c r="J1790" t="s">
        <v>26</v>
      </c>
      <c r="K1790" t="s">
        <v>241</v>
      </c>
      <c r="L1790">
        <v>1</v>
      </c>
      <c r="M1790">
        <v>9.0299999999999994</v>
      </c>
      <c r="N1790">
        <v>403364</v>
      </c>
      <c r="O1790">
        <v>573823</v>
      </c>
      <c r="P1790">
        <v>0.7</v>
      </c>
      <c r="Q1790">
        <v>3135</v>
      </c>
      <c r="R1790">
        <v>1664</v>
      </c>
      <c r="S1790" t="s">
        <v>3</v>
      </c>
      <c r="T1790">
        <v>304605.28000000003</v>
      </c>
      <c r="U1790" t="s">
        <v>4667</v>
      </c>
      <c r="V1790" t="s">
        <v>4668</v>
      </c>
      <c r="W1790">
        <v>1</v>
      </c>
    </row>
    <row r="1791" spans="1:23">
      <c r="A1791" t="str">
        <f>"600257"</f>
        <v>600257</v>
      </c>
      <c r="B1791" t="s">
        <v>4669</v>
      </c>
      <c r="C1791">
        <v>7.25</v>
      </c>
      <c r="D1791">
        <v>7.33</v>
      </c>
      <c r="E1791">
        <v>7.15</v>
      </c>
      <c r="F1791">
        <v>7.3</v>
      </c>
      <c r="G1791">
        <v>125869</v>
      </c>
      <c r="H1791">
        <v>91057416</v>
      </c>
      <c r="I1791">
        <v>1.25</v>
      </c>
      <c r="J1791" t="s">
        <v>988</v>
      </c>
      <c r="K1791" t="s">
        <v>234</v>
      </c>
      <c r="L1791">
        <v>0.69</v>
      </c>
      <c r="M1791">
        <v>7.23</v>
      </c>
      <c r="N1791">
        <v>64576</v>
      </c>
      <c r="O1791">
        <v>61293</v>
      </c>
      <c r="P1791">
        <v>1.05</v>
      </c>
      <c r="Q1791">
        <v>345</v>
      </c>
      <c r="R1791">
        <v>1491</v>
      </c>
      <c r="S1791" t="s">
        <v>3</v>
      </c>
      <c r="T1791">
        <v>42705</v>
      </c>
      <c r="U1791" t="s">
        <v>4670</v>
      </c>
      <c r="V1791" t="s">
        <v>4670</v>
      </c>
      <c r="W1791">
        <v>0.69</v>
      </c>
    </row>
    <row r="1792" spans="1:23">
      <c r="A1792" t="str">
        <f>"600258"</f>
        <v>600258</v>
      </c>
      <c r="B1792" t="s">
        <v>4671</v>
      </c>
      <c r="C1792" t="s">
        <v>3</v>
      </c>
      <c r="D1792" t="s">
        <v>3</v>
      </c>
      <c r="E1792" t="s">
        <v>3</v>
      </c>
      <c r="F1792">
        <v>15.24</v>
      </c>
      <c r="G1792">
        <v>0</v>
      </c>
      <c r="H1792">
        <v>0</v>
      </c>
      <c r="I1792">
        <v>0</v>
      </c>
      <c r="J1792" t="s">
        <v>22</v>
      </c>
      <c r="K1792" t="s">
        <v>34</v>
      </c>
      <c r="L1792">
        <v>0</v>
      </c>
      <c r="M1792">
        <v>15.24</v>
      </c>
      <c r="N1792">
        <v>0</v>
      </c>
      <c r="O1792">
        <v>0</v>
      </c>
      <c r="P1792" t="s">
        <v>3</v>
      </c>
      <c r="Q1792">
        <v>0</v>
      </c>
      <c r="R1792">
        <v>0</v>
      </c>
      <c r="S1792" t="s">
        <v>3</v>
      </c>
      <c r="T1792">
        <v>23140</v>
      </c>
      <c r="U1792" t="s">
        <v>3169</v>
      </c>
      <c r="V1792" t="s">
        <v>3169</v>
      </c>
      <c r="W1792">
        <v>0</v>
      </c>
    </row>
    <row r="1793" spans="1:23">
      <c r="A1793" t="str">
        <f>"600259"</f>
        <v>600259</v>
      </c>
      <c r="B1793" t="s">
        <v>4672</v>
      </c>
      <c r="C1793">
        <v>45.79</v>
      </c>
      <c r="D1793">
        <v>46.03</v>
      </c>
      <c r="E1793">
        <v>44.88</v>
      </c>
      <c r="F1793">
        <v>45.1</v>
      </c>
      <c r="G1793">
        <v>40073</v>
      </c>
      <c r="H1793">
        <v>181591568</v>
      </c>
      <c r="I1793">
        <v>0.69</v>
      </c>
      <c r="J1793" t="s">
        <v>328</v>
      </c>
      <c r="K1793" t="s">
        <v>356</v>
      </c>
      <c r="L1793">
        <v>-1.66</v>
      </c>
      <c r="M1793">
        <v>45.31</v>
      </c>
      <c r="N1793">
        <v>23362</v>
      </c>
      <c r="O1793">
        <v>16711</v>
      </c>
      <c r="P1793">
        <v>1.4</v>
      </c>
      <c r="Q1793">
        <v>19</v>
      </c>
      <c r="R1793">
        <v>26</v>
      </c>
      <c r="S1793" t="s">
        <v>3</v>
      </c>
      <c r="T1793">
        <v>24940</v>
      </c>
      <c r="U1793" t="s">
        <v>4673</v>
      </c>
      <c r="V1793" t="s">
        <v>4673</v>
      </c>
      <c r="W1793">
        <v>-1.66</v>
      </c>
    </row>
    <row r="1794" spans="1:23">
      <c r="A1794" t="str">
        <f>"600260"</f>
        <v>600260</v>
      </c>
      <c r="B1794" t="s">
        <v>4674</v>
      </c>
      <c r="C1794" t="s">
        <v>3</v>
      </c>
      <c r="D1794" t="s">
        <v>3</v>
      </c>
      <c r="E1794" t="s">
        <v>3</v>
      </c>
      <c r="F1794">
        <v>6.54</v>
      </c>
      <c r="G1794">
        <v>0</v>
      </c>
      <c r="H1794">
        <v>0</v>
      </c>
      <c r="I1794">
        <v>0</v>
      </c>
      <c r="J1794" t="s">
        <v>531</v>
      </c>
      <c r="K1794" t="s">
        <v>317</v>
      </c>
      <c r="L1794">
        <v>0</v>
      </c>
      <c r="M1794">
        <v>6.54</v>
      </c>
      <c r="N1794">
        <v>0</v>
      </c>
      <c r="O1794">
        <v>0</v>
      </c>
      <c r="P1794" t="s">
        <v>3</v>
      </c>
      <c r="Q1794">
        <v>0</v>
      </c>
      <c r="R1794">
        <v>0</v>
      </c>
      <c r="S1794" t="s">
        <v>3</v>
      </c>
      <c r="T1794">
        <v>52764</v>
      </c>
      <c r="U1794" t="s">
        <v>3642</v>
      </c>
      <c r="V1794" t="s">
        <v>3642</v>
      </c>
      <c r="W1794">
        <v>0</v>
      </c>
    </row>
    <row r="1795" spans="1:23">
      <c r="A1795" t="str">
        <f>"600261"</f>
        <v>600261</v>
      </c>
      <c r="B1795" t="s">
        <v>4675</v>
      </c>
      <c r="C1795">
        <v>10.9</v>
      </c>
      <c r="D1795">
        <v>10.94</v>
      </c>
      <c r="E1795">
        <v>10.65</v>
      </c>
      <c r="F1795">
        <v>10.82</v>
      </c>
      <c r="G1795">
        <v>240316</v>
      </c>
      <c r="H1795">
        <v>259325872</v>
      </c>
      <c r="I1795">
        <v>1.1100000000000001</v>
      </c>
      <c r="J1795" t="s">
        <v>47</v>
      </c>
      <c r="K1795" t="s">
        <v>229</v>
      </c>
      <c r="L1795">
        <v>0.65</v>
      </c>
      <c r="M1795">
        <v>10.79</v>
      </c>
      <c r="N1795">
        <v>133281</v>
      </c>
      <c r="O1795">
        <v>107034</v>
      </c>
      <c r="P1795">
        <v>1.25</v>
      </c>
      <c r="Q1795">
        <v>515</v>
      </c>
      <c r="R1795">
        <v>49</v>
      </c>
      <c r="S1795" t="s">
        <v>3</v>
      </c>
      <c r="T1795">
        <v>96806.85</v>
      </c>
      <c r="U1795" t="s">
        <v>4676</v>
      </c>
      <c r="V1795" t="s">
        <v>4676</v>
      </c>
      <c r="W1795">
        <v>0.65</v>
      </c>
    </row>
    <row r="1796" spans="1:23">
      <c r="A1796" t="str">
        <f>"600262"</f>
        <v>600262</v>
      </c>
      <c r="B1796" t="s">
        <v>4677</v>
      </c>
      <c r="C1796">
        <v>18.46</v>
      </c>
      <c r="D1796">
        <v>19.14</v>
      </c>
      <c r="E1796">
        <v>18.36</v>
      </c>
      <c r="F1796">
        <v>19.03</v>
      </c>
      <c r="G1796">
        <v>63668</v>
      </c>
      <c r="H1796">
        <v>119640640</v>
      </c>
      <c r="I1796">
        <v>0.93</v>
      </c>
      <c r="J1796" t="s">
        <v>233</v>
      </c>
      <c r="K1796" t="s">
        <v>329</v>
      </c>
      <c r="L1796">
        <v>2.7</v>
      </c>
      <c r="M1796">
        <v>18.79</v>
      </c>
      <c r="N1796">
        <v>29446</v>
      </c>
      <c r="O1796">
        <v>34221</v>
      </c>
      <c r="P1796">
        <v>0.86</v>
      </c>
      <c r="Q1796">
        <v>57</v>
      </c>
      <c r="R1796">
        <v>17</v>
      </c>
      <c r="S1796" t="s">
        <v>3</v>
      </c>
      <c r="T1796">
        <v>17000</v>
      </c>
      <c r="U1796" t="s">
        <v>4678</v>
      </c>
      <c r="V1796" t="s">
        <v>4678</v>
      </c>
      <c r="W1796">
        <v>2.69</v>
      </c>
    </row>
    <row r="1797" spans="1:23">
      <c r="A1797" t="str">
        <f>"600265"</f>
        <v>600265</v>
      </c>
      <c r="B1797" t="s">
        <v>4679</v>
      </c>
      <c r="C1797">
        <v>11.19</v>
      </c>
      <c r="D1797">
        <v>11.19</v>
      </c>
      <c r="E1797">
        <v>11</v>
      </c>
      <c r="F1797">
        <v>11.13</v>
      </c>
      <c r="G1797">
        <v>10538</v>
      </c>
      <c r="H1797">
        <v>11679390</v>
      </c>
      <c r="I1797">
        <v>0.57999999999999996</v>
      </c>
      <c r="J1797" t="s">
        <v>577</v>
      </c>
      <c r="K1797" t="s">
        <v>445</v>
      </c>
      <c r="L1797">
        <v>-0.54</v>
      </c>
      <c r="M1797">
        <v>11.08</v>
      </c>
      <c r="N1797">
        <v>6699</v>
      </c>
      <c r="O1797">
        <v>3839</v>
      </c>
      <c r="P1797">
        <v>1.74</v>
      </c>
      <c r="Q1797">
        <v>30</v>
      </c>
      <c r="R1797">
        <v>16</v>
      </c>
      <c r="S1797" t="s">
        <v>3</v>
      </c>
      <c r="T1797">
        <v>12980</v>
      </c>
      <c r="U1797" t="s">
        <v>507</v>
      </c>
      <c r="V1797" t="s">
        <v>507</v>
      </c>
      <c r="W1797">
        <v>-0.54</v>
      </c>
    </row>
    <row r="1798" spans="1:23">
      <c r="A1798" t="str">
        <f>"600266"</f>
        <v>600266</v>
      </c>
      <c r="B1798" t="s">
        <v>4680</v>
      </c>
      <c r="C1798">
        <v>9.98</v>
      </c>
      <c r="D1798">
        <v>10.15</v>
      </c>
      <c r="E1798">
        <v>9.8699999999999992</v>
      </c>
      <c r="F1798">
        <v>9.91</v>
      </c>
      <c r="G1798">
        <v>157123</v>
      </c>
      <c r="H1798">
        <v>156784304</v>
      </c>
      <c r="I1798">
        <v>0.72</v>
      </c>
      <c r="J1798" t="s">
        <v>15</v>
      </c>
      <c r="K1798" t="s">
        <v>34</v>
      </c>
      <c r="L1798">
        <v>-0.7</v>
      </c>
      <c r="M1798">
        <v>9.98</v>
      </c>
      <c r="N1798">
        <v>88275</v>
      </c>
      <c r="O1798">
        <v>68847</v>
      </c>
      <c r="P1798">
        <v>1.28</v>
      </c>
      <c r="Q1798">
        <v>1023</v>
      </c>
      <c r="R1798">
        <v>1227</v>
      </c>
      <c r="S1798" t="s">
        <v>3</v>
      </c>
      <c r="T1798">
        <v>106704</v>
      </c>
      <c r="U1798" t="s">
        <v>4681</v>
      </c>
      <c r="V1798" t="s">
        <v>4682</v>
      </c>
      <c r="W1798">
        <v>-0.71</v>
      </c>
    </row>
    <row r="1799" spans="1:23">
      <c r="A1799" t="str">
        <f>"600267"</f>
        <v>600267</v>
      </c>
      <c r="B1799" t="s">
        <v>4683</v>
      </c>
      <c r="C1799">
        <v>16.3</v>
      </c>
      <c r="D1799">
        <v>16.66</v>
      </c>
      <c r="E1799">
        <v>16.23</v>
      </c>
      <c r="F1799">
        <v>16.38</v>
      </c>
      <c r="G1799">
        <v>176961</v>
      </c>
      <c r="H1799">
        <v>291555360</v>
      </c>
      <c r="I1799">
        <v>1.34</v>
      </c>
      <c r="J1799" t="s">
        <v>219</v>
      </c>
      <c r="K1799" t="s">
        <v>229</v>
      </c>
      <c r="L1799">
        <v>0.55000000000000004</v>
      </c>
      <c r="M1799">
        <v>16.48</v>
      </c>
      <c r="N1799">
        <v>91959</v>
      </c>
      <c r="O1799">
        <v>85001</v>
      </c>
      <c r="P1799">
        <v>1.08</v>
      </c>
      <c r="Q1799">
        <v>75</v>
      </c>
      <c r="R1799">
        <v>2</v>
      </c>
      <c r="S1799" t="s">
        <v>3</v>
      </c>
      <c r="T1799">
        <v>83970.9</v>
      </c>
      <c r="U1799" t="s">
        <v>4684</v>
      </c>
      <c r="V1799" t="s">
        <v>4684</v>
      </c>
      <c r="W1799">
        <v>0.55000000000000004</v>
      </c>
    </row>
    <row r="1800" spans="1:23">
      <c r="A1800" t="str">
        <f>"600268"</f>
        <v>600268</v>
      </c>
      <c r="B1800" t="s">
        <v>4685</v>
      </c>
      <c r="C1800">
        <v>7.19</v>
      </c>
      <c r="D1800">
        <v>7.4</v>
      </c>
      <c r="E1800">
        <v>7.05</v>
      </c>
      <c r="F1800">
        <v>7.33</v>
      </c>
      <c r="G1800">
        <v>356584</v>
      </c>
      <c r="H1800">
        <v>258053440</v>
      </c>
      <c r="I1800">
        <v>0.9</v>
      </c>
      <c r="J1800" t="s">
        <v>145</v>
      </c>
      <c r="K1800" t="s">
        <v>244</v>
      </c>
      <c r="L1800">
        <v>0.96</v>
      </c>
      <c r="M1800">
        <v>7.24</v>
      </c>
      <c r="N1800">
        <v>172587</v>
      </c>
      <c r="O1800">
        <v>183996</v>
      </c>
      <c r="P1800">
        <v>0.94</v>
      </c>
      <c r="Q1800">
        <v>1327</v>
      </c>
      <c r="R1800">
        <v>47</v>
      </c>
      <c r="S1800" t="s">
        <v>3</v>
      </c>
      <c r="T1800">
        <v>63524.639999999999</v>
      </c>
      <c r="U1800" t="s">
        <v>4686</v>
      </c>
      <c r="V1800" t="s">
        <v>4686</v>
      </c>
      <c r="W1800">
        <v>0.96</v>
      </c>
    </row>
    <row r="1801" spans="1:23">
      <c r="A1801" t="str">
        <f>"600269"</f>
        <v>600269</v>
      </c>
      <c r="B1801" t="s">
        <v>4687</v>
      </c>
      <c r="C1801">
        <v>3.14</v>
      </c>
      <c r="D1801">
        <v>3.16</v>
      </c>
      <c r="E1801">
        <v>3.11</v>
      </c>
      <c r="F1801">
        <v>3.13</v>
      </c>
      <c r="G1801">
        <v>183088</v>
      </c>
      <c r="H1801">
        <v>57378028</v>
      </c>
      <c r="I1801">
        <v>0.82</v>
      </c>
      <c r="J1801" t="s">
        <v>336</v>
      </c>
      <c r="K1801" t="s">
        <v>265</v>
      </c>
      <c r="L1801">
        <v>-0.32</v>
      </c>
      <c r="M1801">
        <v>3.13</v>
      </c>
      <c r="N1801">
        <v>91246</v>
      </c>
      <c r="O1801">
        <v>91841</v>
      </c>
      <c r="P1801">
        <v>0.99</v>
      </c>
      <c r="Q1801">
        <v>1142</v>
      </c>
      <c r="R1801">
        <v>2501</v>
      </c>
      <c r="S1801" t="s">
        <v>3</v>
      </c>
      <c r="T1801">
        <v>233540.7</v>
      </c>
      <c r="U1801" t="s">
        <v>4688</v>
      </c>
      <c r="V1801" t="s">
        <v>4688</v>
      </c>
      <c r="W1801">
        <v>-0.32</v>
      </c>
    </row>
    <row r="1802" spans="1:23">
      <c r="A1802" t="str">
        <f>"600270"</f>
        <v>600270</v>
      </c>
      <c r="B1802" t="s">
        <v>4689</v>
      </c>
      <c r="C1802">
        <v>12.73</v>
      </c>
      <c r="D1802">
        <v>13.25</v>
      </c>
      <c r="E1802">
        <v>12.59</v>
      </c>
      <c r="F1802">
        <v>13.15</v>
      </c>
      <c r="G1802">
        <v>194796</v>
      </c>
      <c r="H1802">
        <v>252950096</v>
      </c>
      <c r="I1802">
        <v>1.78</v>
      </c>
      <c r="J1802" t="s">
        <v>1859</v>
      </c>
      <c r="K1802" t="s">
        <v>34</v>
      </c>
      <c r="L1802">
        <v>3.71</v>
      </c>
      <c r="M1802">
        <v>12.99</v>
      </c>
      <c r="N1802">
        <v>86215</v>
      </c>
      <c r="O1802">
        <v>108580</v>
      </c>
      <c r="P1802">
        <v>0.79</v>
      </c>
      <c r="Q1802">
        <v>5</v>
      </c>
      <c r="R1802">
        <v>31</v>
      </c>
      <c r="S1802" t="s">
        <v>3</v>
      </c>
      <c r="T1802">
        <v>33084.39</v>
      </c>
      <c r="U1802" t="s">
        <v>4690</v>
      </c>
      <c r="V1802" t="s">
        <v>4691</v>
      </c>
      <c r="W1802">
        <v>3.7</v>
      </c>
    </row>
    <row r="1803" spans="1:23">
      <c r="A1803" t="str">
        <f>"600271"</f>
        <v>600271</v>
      </c>
      <c r="B1803" t="s">
        <v>4692</v>
      </c>
      <c r="C1803">
        <v>23.95</v>
      </c>
      <c r="D1803">
        <v>24.3</v>
      </c>
      <c r="E1803">
        <v>23.83</v>
      </c>
      <c r="F1803">
        <v>24.06</v>
      </c>
      <c r="G1803">
        <v>170749</v>
      </c>
      <c r="H1803">
        <v>410087712</v>
      </c>
      <c r="I1803">
        <v>0.59</v>
      </c>
      <c r="J1803" t="s">
        <v>66</v>
      </c>
      <c r="K1803" t="s">
        <v>34</v>
      </c>
      <c r="L1803">
        <v>-0.21</v>
      </c>
      <c r="M1803">
        <v>24.02</v>
      </c>
      <c r="N1803">
        <v>82177</v>
      </c>
      <c r="O1803">
        <v>88571</v>
      </c>
      <c r="P1803">
        <v>0.93</v>
      </c>
      <c r="Q1803">
        <v>5</v>
      </c>
      <c r="R1803">
        <v>252</v>
      </c>
      <c r="S1803" t="s">
        <v>3</v>
      </c>
      <c r="T1803">
        <v>92340</v>
      </c>
      <c r="U1803" t="s">
        <v>4693</v>
      </c>
      <c r="V1803" t="s">
        <v>4693</v>
      </c>
      <c r="W1803">
        <v>-0.21</v>
      </c>
    </row>
    <row r="1804" spans="1:23">
      <c r="A1804" t="str">
        <f>"600272"</f>
        <v>600272</v>
      </c>
      <c r="B1804" t="s">
        <v>4694</v>
      </c>
      <c r="C1804">
        <v>12.81</v>
      </c>
      <c r="D1804">
        <v>13.22</v>
      </c>
      <c r="E1804">
        <v>12.77</v>
      </c>
      <c r="F1804">
        <v>13.07</v>
      </c>
      <c r="G1804">
        <v>53559</v>
      </c>
      <c r="H1804">
        <v>69777792</v>
      </c>
      <c r="I1804">
        <v>1.62</v>
      </c>
      <c r="J1804" t="s">
        <v>1373</v>
      </c>
      <c r="K1804" t="s">
        <v>727</v>
      </c>
      <c r="L1804">
        <v>1.79</v>
      </c>
      <c r="M1804">
        <v>13.03</v>
      </c>
      <c r="N1804">
        <v>26090</v>
      </c>
      <c r="O1804">
        <v>27469</v>
      </c>
      <c r="P1804">
        <v>0.95</v>
      </c>
      <c r="Q1804">
        <v>35</v>
      </c>
      <c r="R1804">
        <v>24</v>
      </c>
      <c r="S1804" t="s">
        <v>3</v>
      </c>
      <c r="T1804">
        <v>16000</v>
      </c>
      <c r="U1804" t="s">
        <v>4695</v>
      </c>
      <c r="V1804" t="s">
        <v>4696</v>
      </c>
      <c r="W1804">
        <v>1.79</v>
      </c>
    </row>
    <row r="1805" spans="1:23">
      <c r="A1805" t="str">
        <f>"600273"</f>
        <v>600273</v>
      </c>
      <c r="B1805" t="s">
        <v>4697</v>
      </c>
      <c r="C1805">
        <v>10.17</v>
      </c>
      <c r="D1805">
        <v>11.01</v>
      </c>
      <c r="E1805">
        <v>10.14</v>
      </c>
      <c r="F1805">
        <v>10.82</v>
      </c>
      <c r="G1805">
        <v>158178</v>
      </c>
      <c r="H1805">
        <v>170168048</v>
      </c>
      <c r="I1805">
        <v>3.33</v>
      </c>
      <c r="J1805" t="s">
        <v>55</v>
      </c>
      <c r="K1805" t="s">
        <v>244</v>
      </c>
      <c r="L1805">
        <v>8.09</v>
      </c>
      <c r="M1805">
        <v>10.76</v>
      </c>
      <c r="N1805">
        <v>73710</v>
      </c>
      <c r="O1805">
        <v>84467</v>
      </c>
      <c r="P1805">
        <v>0.87</v>
      </c>
      <c r="Q1805">
        <v>647</v>
      </c>
      <c r="R1805">
        <v>555</v>
      </c>
      <c r="S1805" t="s">
        <v>3</v>
      </c>
      <c r="T1805">
        <v>31500</v>
      </c>
      <c r="U1805" t="s">
        <v>4698</v>
      </c>
      <c r="V1805" t="s">
        <v>4698</v>
      </c>
      <c r="W1805">
        <v>8.09</v>
      </c>
    </row>
    <row r="1806" spans="1:23">
      <c r="A1806" t="str">
        <f>"600275"</f>
        <v>600275</v>
      </c>
      <c r="B1806" t="s">
        <v>4699</v>
      </c>
      <c r="C1806" t="s">
        <v>3</v>
      </c>
      <c r="D1806" t="s">
        <v>3</v>
      </c>
      <c r="E1806" t="s">
        <v>3</v>
      </c>
      <c r="F1806">
        <v>4.25</v>
      </c>
      <c r="G1806">
        <v>0</v>
      </c>
      <c r="H1806">
        <v>0</v>
      </c>
      <c r="I1806">
        <v>0</v>
      </c>
      <c r="J1806" t="s">
        <v>169</v>
      </c>
      <c r="K1806" t="s">
        <v>317</v>
      </c>
      <c r="L1806">
        <v>0</v>
      </c>
      <c r="M1806">
        <v>4.25</v>
      </c>
      <c r="N1806">
        <v>0</v>
      </c>
      <c r="O1806">
        <v>0</v>
      </c>
      <c r="P1806" t="s">
        <v>3</v>
      </c>
      <c r="Q1806">
        <v>0</v>
      </c>
      <c r="R1806">
        <v>0</v>
      </c>
      <c r="S1806" t="s">
        <v>3</v>
      </c>
      <c r="T1806">
        <v>50883.71</v>
      </c>
      <c r="U1806" t="s">
        <v>4700</v>
      </c>
      <c r="V1806" t="s">
        <v>4700</v>
      </c>
      <c r="W1806">
        <v>0</v>
      </c>
    </row>
    <row r="1807" spans="1:23">
      <c r="A1807" t="str">
        <f>"600276"</f>
        <v>600276</v>
      </c>
      <c r="B1807" t="s">
        <v>4701</v>
      </c>
      <c r="C1807">
        <v>34.36</v>
      </c>
      <c r="D1807">
        <v>34.36</v>
      </c>
      <c r="E1807">
        <v>33.86</v>
      </c>
      <c r="F1807">
        <v>33.97</v>
      </c>
      <c r="G1807">
        <v>83218</v>
      </c>
      <c r="H1807">
        <v>283087168</v>
      </c>
      <c r="I1807">
        <v>1.35</v>
      </c>
      <c r="J1807" t="s">
        <v>219</v>
      </c>
      <c r="K1807" t="s">
        <v>244</v>
      </c>
      <c r="L1807">
        <v>-1.28</v>
      </c>
      <c r="M1807">
        <v>34.020000000000003</v>
      </c>
      <c r="N1807">
        <v>52163</v>
      </c>
      <c r="O1807">
        <v>31054</v>
      </c>
      <c r="P1807">
        <v>1.68</v>
      </c>
      <c r="Q1807">
        <v>36</v>
      </c>
      <c r="R1807">
        <v>98</v>
      </c>
      <c r="S1807" t="s">
        <v>3</v>
      </c>
      <c r="T1807">
        <v>149624.31</v>
      </c>
      <c r="U1807" t="s">
        <v>4702</v>
      </c>
      <c r="V1807" t="s">
        <v>4703</v>
      </c>
      <c r="W1807">
        <v>-1.28</v>
      </c>
    </row>
    <row r="1808" spans="1:23">
      <c r="A1808" t="str">
        <f>"600277"</f>
        <v>600277</v>
      </c>
      <c r="B1808" t="s">
        <v>4704</v>
      </c>
      <c r="C1808">
        <v>7.84</v>
      </c>
      <c r="D1808">
        <v>7.9</v>
      </c>
      <c r="E1808">
        <v>7.79</v>
      </c>
      <c r="F1808">
        <v>7.84</v>
      </c>
      <c r="G1808">
        <v>208827</v>
      </c>
      <c r="H1808">
        <v>163422048</v>
      </c>
      <c r="I1808">
        <v>0.86</v>
      </c>
      <c r="J1808" t="s">
        <v>376</v>
      </c>
      <c r="K1808" t="s">
        <v>329</v>
      </c>
      <c r="L1808">
        <v>0</v>
      </c>
      <c r="M1808">
        <v>7.83</v>
      </c>
      <c r="N1808">
        <v>90444</v>
      </c>
      <c r="O1808">
        <v>118383</v>
      </c>
      <c r="P1808">
        <v>0.76</v>
      </c>
      <c r="Q1808">
        <v>84</v>
      </c>
      <c r="R1808">
        <v>3181</v>
      </c>
      <c r="S1808" t="s">
        <v>3</v>
      </c>
      <c r="T1808">
        <v>208958.95</v>
      </c>
      <c r="U1808" t="s">
        <v>4705</v>
      </c>
      <c r="V1808" t="s">
        <v>4705</v>
      </c>
      <c r="W1808">
        <v>0</v>
      </c>
    </row>
    <row r="1809" spans="1:23">
      <c r="A1809" t="str">
        <f>"600278"</f>
        <v>600278</v>
      </c>
      <c r="B1809" t="s">
        <v>4706</v>
      </c>
      <c r="C1809">
        <v>10.35</v>
      </c>
      <c r="D1809">
        <v>10.36</v>
      </c>
      <c r="E1809">
        <v>10.15</v>
      </c>
      <c r="F1809">
        <v>10.28</v>
      </c>
      <c r="G1809">
        <v>53238</v>
      </c>
      <c r="H1809">
        <v>54608160</v>
      </c>
      <c r="I1809">
        <v>1.02</v>
      </c>
      <c r="J1809" t="s">
        <v>173</v>
      </c>
      <c r="K1809" t="s">
        <v>727</v>
      </c>
      <c r="L1809">
        <v>-0.77</v>
      </c>
      <c r="M1809">
        <v>10.26</v>
      </c>
      <c r="N1809">
        <v>29103</v>
      </c>
      <c r="O1809">
        <v>24135</v>
      </c>
      <c r="P1809">
        <v>1.21</v>
      </c>
      <c r="Q1809">
        <v>197</v>
      </c>
      <c r="R1809">
        <v>111</v>
      </c>
      <c r="S1809" t="s">
        <v>3</v>
      </c>
      <c r="T1809">
        <v>52224.17</v>
      </c>
      <c r="U1809" t="s">
        <v>1985</v>
      </c>
      <c r="V1809" t="s">
        <v>1985</v>
      </c>
      <c r="W1809">
        <v>-0.78</v>
      </c>
    </row>
    <row r="1810" spans="1:23">
      <c r="A1810" t="str">
        <f>"600279"</f>
        <v>600279</v>
      </c>
      <c r="B1810" t="s">
        <v>4707</v>
      </c>
      <c r="C1810">
        <v>11.66</v>
      </c>
      <c r="D1810">
        <v>12.15</v>
      </c>
      <c r="E1810">
        <v>11.5</v>
      </c>
      <c r="F1810">
        <v>11.99</v>
      </c>
      <c r="G1810">
        <v>163177</v>
      </c>
      <c r="H1810">
        <v>192120928</v>
      </c>
      <c r="I1810">
        <v>1.1499999999999999</v>
      </c>
      <c r="J1810" t="s">
        <v>70</v>
      </c>
      <c r="K1810" t="s">
        <v>386</v>
      </c>
      <c r="L1810">
        <v>3.01</v>
      </c>
      <c r="M1810">
        <v>11.77</v>
      </c>
      <c r="N1810">
        <v>73144</v>
      </c>
      <c r="O1810">
        <v>90033</v>
      </c>
      <c r="P1810">
        <v>0.81</v>
      </c>
      <c r="Q1810">
        <v>331</v>
      </c>
      <c r="R1810">
        <v>1981</v>
      </c>
      <c r="S1810" t="s">
        <v>3</v>
      </c>
      <c r="T1810">
        <v>34209.230000000003</v>
      </c>
      <c r="U1810" t="s">
        <v>4708</v>
      </c>
      <c r="V1810" t="s">
        <v>4708</v>
      </c>
      <c r="W1810">
        <v>3</v>
      </c>
    </row>
    <row r="1811" spans="1:23">
      <c r="A1811" t="str">
        <f>"600280"</f>
        <v>600280</v>
      </c>
      <c r="B1811" t="s">
        <v>4709</v>
      </c>
      <c r="C1811">
        <v>12.32</v>
      </c>
      <c r="D1811">
        <v>12.82</v>
      </c>
      <c r="E1811">
        <v>12.11</v>
      </c>
      <c r="F1811">
        <v>12.56</v>
      </c>
      <c r="G1811">
        <v>98863</v>
      </c>
      <c r="H1811">
        <v>123421872</v>
      </c>
      <c r="I1811">
        <v>1.41</v>
      </c>
      <c r="J1811" t="s">
        <v>297</v>
      </c>
      <c r="K1811" t="s">
        <v>244</v>
      </c>
      <c r="L1811">
        <v>2.5299999999999998</v>
      </c>
      <c r="M1811">
        <v>12.48</v>
      </c>
      <c r="N1811">
        <v>49319</v>
      </c>
      <c r="O1811">
        <v>49543</v>
      </c>
      <c r="P1811">
        <v>1</v>
      </c>
      <c r="Q1811">
        <v>31</v>
      </c>
      <c r="R1811">
        <v>408</v>
      </c>
      <c r="S1811" t="s">
        <v>3</v>
      </c>
      <c r="T1811">
        <v>57416.73</v>
      </c>
      <c r="U1811" t="s">
        <v>4710</v>
      </c>
      <c r="V1811" t="s">
        <v>4710</v>
      </c>
      <c r="W1811">
        <v>2.5299999999999998</v>
      </c>
    </row>
    <row r="1812" spans="1:23">
      <c r="A1812" t="str">
        <f>"600281"</f>
        <v>600281</v>
      </c>
      <c r="B1812" t="s">
        <v>4711</v>
      </c>
      <c r="C1812">
        <v>5.65</v>
      </c>
      <c r="D1812">
        <v>5.75</v>
      </c>
      <c r="E1812">
        <v>5.61</v>
      </c>
      <c r="F1812">
        <v>5.69</v>
      </c>
      <c r="G1812">
        <v>34283</v>
      </c>
      <c r="H1812">
        <v>19467760</v>
      </c>
      <c r="I1812">
        <v>0.86</v>
      </c>
      <c r="J1812" t="s">
        <v>376</v>
      </c>
      <c r="K1812" t="s">
        <v>742</v>
      </c>
      <c r="L1812">
        <v>0.18</v>
      </c>
      <c r="M1812">
        <v>5.68</v>
      </c>
      <c r="N1812">
        <v>16582</v>
      </c>
      <c r="O1812">
        <v>17701</v>
      </c>
      <c r="P1812">
        <v>0.94</v>
      </c>
      <c r="Q1812">
        <v>225</v>
      </c>
      <c r="R1812">
        <v>318</v>
      </c>
      <c r="S1812" t="s">
        <v>3</v>
      </c>
      <c r="T1812">
        <v>51440.19</v>
      </c>
      <c r="U1812" t="s">
        <v>3472</v>
      </c>
      <c r="V1812" t="s">
        <v>3472</v>
      </c>
      <c r="W1812">
        <v>0.17</v>
      </c>
    </row>
    <row r="1813" spans="1:23">
      <c r="A1813" t="str">
        <f>"600282"</f>
        <v>600282</v>
      </c>
      <c r="B1813" t="s">
        <v>4712</v>
      </c>
      <c r="C1813">
        <v>2.23</v>
      </c>
      <c r="D1813">
        <v>2.35</v>
      </c>
      <c r="E1813">
        <v>2.2200000000000002</v>
      </c>
      <c r="F1813">
        <v>2.33</v>
      </c>
      <c r="G1813">
        <v>107336</v>
      </c>
      <c r="H1813">
        <v>24914964</v>
      </c>
      <c r="I1813">
        <v>1.19</v>
      </c>
      <c r="J1813" t="s">
        <v>279</v>
      </c>
      <c r="K1813" t="s">
        <v>244</v>
      </c>
      <c r="L1813">
        <v>3.1</v>
      </c>
      <c r="M1813">
        <v>2.3199999999999998</v>
      </c>
      <c r="N1813">
        <v>47638</v>
      </c>
      <c r="O1813">
        <v>59698</v>
      </c>
      <c r="P1813">
        <v>0.8</v>
      </c>
      <c r="Q1813">
        <v>986</v>
      </c>
      <c r="R1813">
        <v>8922</v>
      </c>
      <c r="S1813" t="s">
        <v>3</v>
      </c>
      <c r="T1813">
        <v>387575.25</v>
      </c>
      <c r="U1813" t="s">
        <v>4713</v>
      </c>
      <c r="V1813" t="s">
        <v>4713</v>
      </c>
      <c r="W1813">
        <v>3.09</v>
      </c>
    </row>
    <row r="1814" spans="1:23">
      <c r="A1814" t="str">
        <f>"600283"</f>
        <v>600283</v>
      </c>
      <c r="B1814" t="s">
        <v>4714</v>
      </c>
      <c r="C1814">
        <v>9.74</v>
      </c>
      <c r="D1814">
        <v>9.75</v>
      </c>
      <c r="E1814">
        <v>9.5</v>
      </c>
      <c r="F1814">
        <v>9.6</v>
      </c>
      <c r="G1814">
        <v>65259</v>
      </c>
      <c r="H1814">
        <v>62615880</v>
      </c>
      <c r="I1814">
        <v>0.82</v>
      </c>
      <c r="J1814" t="s">
        <v>609</v>
      </c>
      <c r="K1814" t="s">
        <v>229</v>
      </c>
      <c r="L1814">
        <v>-1.34</v>
      </c>
      <c r="M1814">
        <v>9.59</v>
      </c>
      <c r="N1814">
        <v>40736</v>
      </c>
      <c r="O1814">
        <v>24522</v>
      </c>
      <c r="P1814">
        <v>1.66</v>
      </c>
      <c r="Q1814">
        <v>184</v>
      </c>
      <c r="R1814">
        <v>32</v>
      </c>
      <c r="S1814" t="s">
        <v>3</v>
      </c>
      <c r="T1814">
        <v>28533</v>
      </c>
      <c r="U1814" t="s">
        <v>803</v>
      </c>
      <c r="V1814" t="s">
        <v>803</v>
      </c>
      <c r="W1814">
        <v>-1.34</v>
      </c>
    </row>
    <row r="1815" spans="1:23">
      <c r="A1815" t="str">
        <f>"600284"</f>
        <v>600284</v>
      </c>
      <c r="B1815" t="s">
        <v>4715</v>
      </c>
      <c r="C1815">
        <v>9.99</v>
      </c>
      <c r="D1815">
        <v>10.06</v>
      </c>
      <c r="E1815">
        <v>9.9</v>
      </c>
      <c r="F1815">
        <v>9.9700000000000006</v>
      </c>
      <c r="G1815">
        <v>120333</v>
      </c>
      <c r="H1815">
        <v>119944608</v>
      </c>
      <c r="I1815">
        <v>1.04</v>
      </c>
      <c r="J1815" t="s">
        <v>33</v>
      </c>
      <c r="K1815" t="s">
        <v>727</v>
      </c>
      <c r="L1815">
        <v>-0.1</v>
      </c>
      <c r="M1815">
        <v>9.9700000000000006</v>
      </c>
      <c r="N1815">
        <v>70296</v>
      </c>
      <c r="O1815">
        <v>50036</v>
      </c>
      <c r="P1815">
        <v>1.4</v>
      </c>
      <c r="Q1815">
        <v>332</v>
      </c>
      <c r="R1815">
        <v>535</v>
      </c>
      <c r="S1815" t="s">
        <v>3</v>
      </c>
      <c r="T1815">
        <v>66104</v>
      </c>
      <c r="U1815" t="s">
        <v>4716</v>
      </c>
      <c r="V1815" t="s">
        <v>1026</v>
      </c>
      <c r="W1815">
        <v>-0.1</v>
      </c>
    </row>
    <row r="1816" spans="1:23">
      <c r="A1816" t="str">
        <f>"600285"</f>
        <v>600285</v>
      </c>
      <c r="B1816" t="s">
        <v>4717</v>
      </c>
      <c r="C1816">
        <v>8.58</v>
      </c>
      <c r="D1816">
        <v>8.68</v>
      </c>
      <c r="E1816">
        <v>8.3800000000000008</v>
      </c>
      <c r="F1816">
        <v>8.56</v>
      </c>
      <c r="G1816">
        <v>357973</v>
      </c>
      <c r="H1816">
        <v>305687328</v>
      </c>
      <c r="I1816">
        <v>1.46</v>
      </c>
      <c r="J1816" t="s">
        <v>321</v>
      </c>
      <c r="K1816" t="s">
        <v>254</v>
      </c>
      <c r="L1816">
        <v>0.71</v>
      </c>
      <c r="M1816">
        <v>8.5399999999999991</v>
      </c>
      <c r="N1816">
        <v>166843</v>
      </c>
      <c r="O1816">
        <v>191129</v>
      </c>
      <c r="P1816">
        <v>0.87</v>
      </c>
      <c r="Q1816">
        <v>406</v>
      </c>
      <c r="R1816">
        <v>1214</v>
      </c>
      <c r="S1816" t="s">
        <v>3</v>
      </c>
      <c r="T1816">
        <v>45841.73</v>
      </c>
      <c r="U1816" t="s">
        <v>4718</v>
      </c>
      <c r="V1816" t="s">
        <v>4719</v>
      </c>
      <c r="W1816">
        <v>0.7</v>
      </c>
    </row>
    <row r="1817" spans="1:23">
      <c r="A1817" t="str">
        <f>"600287"</f>
        <v>600287</v>
      </c>
      <c r="B1817" t="s">
        <v>4720</v>
      </c>
      <c r="C1817">
        <v>7.59</v>
      </c>
      <c r="D1817">
        <v>7.9</v>
      </c>
      <c r="E1817">
        <v>7.28</v>
      </c>
      <c r="F1817">
        <v>7.77</v>
      </c>
      <c r="G1817">
        <v>406311</v>
      </c>
      <c r="H1817">
        <v>305516960</v>
      </c>
      <c r="I1817">
        <v>7.05</v>
      </c>
      <c r="J1817" t="s">
        <v>173</v>
      </c>
      <c r="K1817" t="s">
        <v>244</v>
      </c>
      <c r="L1817">
        <v>1.04</v>
      </c>
      <c r="M1817">
        <v>7.52</v>
      </c>
      <c r="N1817">
        <v>183472</v>
      </c>
      <c r="O1817">
        <v>222838</v>
      </c>
      <c r="P1817">
        <v>0.82</v>
      </c>
      <c r="Q1817">
        <v>165</v>
      </c>
      <c r="R1817">
        <v>43</v>
      </c>
      <c r="S1817" t="s">
        <v>3</v>
      </c>
      <c r="T1817">
        <v>43679.6</v>
      </c>
      <c r="U1817" t="s">
        <v>2660</v>
      </c>
      <c r="V1817" t="s">
        <v>2660</v>
      </c>
      <c r="W1817">
        <v>1.04</v>
      </c>
    </row>
    <row r="1818" spans="1:23">
      <c r="A1818" t="str">
        <f>"600288"</f>
        <v>600288</v>
      </c>
      <c r="B1818" t="s">
        <v>4721</v>
      </c>
      <c r="C1818">
        <v>11.05</v>
      </c>
      <c r="D1818">
        <v>11.2</v>
      </c>
      <c r="E1818">
        <v>10.7</v>
      </c>
      <c r="F1818">
        <v>10.73</v>
      </c>
      <c r="G1818">
        <v>212386</v>
      </c>
      <c r="H1818">
        <v>229977568</v>
      </c>
      <c r="I1818">
        <v>0.97</v>
      </c>
      <c r="J1818" t="s">
        <v>112</v>
      </c>
      <c r="K1818" t="s">
        <v>34</v>
      </c>
      <c r="L1818">
        <v>-0.37</v>
      </c>
      <c r="M1818">
        <v>10.83</v>
      </c>
      <c r="N1818">
        <v>132458</v>
      </c>
      <c r="O1818">
        <v>79927</v>
      </c>
      <c r="P1818">
        <v>1.66</v>
      </c>
      <c r="Q1818">
        <v>14</v>
      </c>
      <c r="R1818">
        <v>461</v>
      </c>
      <c r="S1818" t="s">
        <v>3</v>
      </c>
      <c r="T1818">
        <v>43680</v>
      </c>
      <c r="U1818" t="s">
        <v>4722</v>
      </c>
      <c r="V1818" t="s">
        <v>4722</v>
      </c>
      <c r="W1818">
        <v>-0.38</v>
      </c>
    </row>
    <row r="1819" spans="1:23">
      <c r="A1819" t="str">
        <f>"600289"</f>
        <v>600289</v>
      </c>
      <c r="B1819" t="s">
        <v>4723</v>
      </c>
      <c r="C1819">
        <v>10.55</v>
      </c>
      <c r="D1819">
        <v>10.75</v>
      </c>
      <c r="E1819">
        <v>10.48</v>
      </c>
      <c r="F1819">
        <v>10.72</v>
      </c>
      <c r="G1819">
        <v>312507</v>
      </c>
      <c r="H1819">
        <v>331843968</v>
      </c>
      <c r="I1819">
        <v>1.17</v>
      </c>
      <c r="J1819" t="s">
        <v>758</v>
      </c>
      <c r="K1819" t="s">
        <v>565</v>
      </c>
      <c r="L1819">
        <v>1.9</v>
      </c>
      <c r="M1819">
        <v>10.62</v>
      </c>
      <c r="N1819">
        <v>156859</v>
      </c>
      <c r="O1819">
        <v>155647</v>
      </c>
      <c r="P1819">
        <v>1.01</v>
      </c>
      <c r="Q1819">
        <v>457</v>
      </c>
      <c r="R1819">
        <v>134</v>
      </c>
      <c r="S1819" t="s">
        <v>3</v>
      </c>
      <c r="T1819">
        <v>56737.87</v>
      </c>
      <c r="U1819" t="s">
        <v>4724</v>
      </c>
      <c r="V1819" t="s">
        <v>4724</v>
      </c>
      <c r="W1819">
        <v>1.9</v>
      </c>
    </row>
    <row r="1820" spans="1:23">
      <c r="A1820" t="str">
        <f>"600290"</f>
        <v>600290</v>
      </c>
      <c r="B1820" t="s">
        <v>4725</v>
      </c>
      <c r="C1820">
        <v>11.4</v>
      </c>
      <c r="D1820">
        <v>11.61</v>
      </c>
      <c r="E1820">
        <v>11.26</v>
      </c>
      <c r="F1820">
        <v>11.29</v>
      </c>
      <c r="G1820">
        <v>117318</v>
      </c>
      <c r="H1820">
        <v>133984792</v>
      </c>
      <c r="I1820">
        <v>0.7</v>
      </c>
      <c r="J1820" t="s">
        <v>145</v>
      </c>
      <c r="K1820" t="s">
        <v>229</v>
      </c>
      <c r="L1820">
        <v>-0.18</v>
      </c>
      <c r="M1820">
        <v>11.42</v>
      </c>
      <c r="N1820">
        <v>64080</v>
      </c>
      <c r="O1820">
        <v>53237</v>
      </c>
      <c r="P1820">
        <v>1.2</v>
      </c>
      <c r="Q1820">
        <v>41</v>
      </c>
      <c r="R1820">
        <v>380</v>
      </c>
      <c r="S1820" t="s">
        <v>3</v>
      </c>
      <c r="T1820">
        <v>52688.37</v>
      </c>
      <c r="U1820" t="s">
        <v>4726</v>
      </c>
      <c r="V1820" t="s">
        <v>4726</v>
      </c>
      <c r="W1820">
        <v>-0.18</v>
      </c>
    </row>
    <row r="1821" spans="1:23">
      <c r="A1821" t="str">
        <f>"600291"</f>
        <v>600291</v>
      </c>
      <c r="B1821" t="s">
        <v>4727</v>
      </c>
      <c r="C1821">
        <v>11.21</v>
      </c>
      <c r="D1821">
        <v>11.25</v>
      </c>
      <c r="E1821">
        <v>11.02</v>
      </c>
      <c r="F1821">
        <v>11.11</v>
      </c>
      <c r="G1821">
        <v>52235</v>
      </c>
      <c r="H1821">
        <v>58041212</v>
      </c>
      <c r="I1821">
        <v>0.76</v>
      </c>
      <c r="J1821" t="s">
        <v>258</v>
      </c>
      <c r="K1821" t="s">
        <v>329</v>
      </c>
      <c r="L1821">
        <v>-0.8</v>
      </c>
      <c r="M1821">
        <v>11.11</v>
      </c>
      <c r="N1821">
        <v>31568</v>
      </c>
      <c r="O1821">
        <v>20667</v>
      </c>
      <c r="P1821">
        <v>1.53</v>
      </c>
      <c r="Q1821">
        <v>1370</v>
      </c>
      <c r="R1821">
        <v>377</v>
      </c>
      <c r="S1821" t="s">
        <v>3</v>
      </c>
      <c r="T1821">
        <v>38400</v>
      </c>
      <c r="U1821" t="s">
        <v>2839</v>
      </c>
      <c r="V1821" t="s">
        <v>2839</v>
      </c>
      <c r="W1821">
        <v>-0.81</v>
      </c>
    </row>
    <row r="1822" spans="1:23">
      <c r="A1822" t="str">
        <f>"600292"</f>
        <v>600292</v>
      </c>
      <c r="B1822" t="s">
        <v>4728</v>
      </c>
      <c r="C1822">
        <v>23.01</v>
      </c>
      <c r="D1822">
        <v>23.6</v>
      </c>
      <c r="E1822">
        <v>22.99</v>
      </c>
      <c r="F1822">
        <v>23.22</v>
      </c>
      <c r="G1822">
        <v>101700</v>
      </c>
      <c r="H1822">
        <v>237405232</v>
      </c>
      <c r="I1822">
        <v>1.06</v>
      </c>
      <c r="J1822" t="s">
        <v>462</v>
      </c>
      <c r="K1822" t="s">
        <v>386</v>
      </c>
      <c r="L1822">
        <v>1.44</v>
      </c>
      <c r="M1822">
        <v>23.34</v>
      </c>
      <c r="N1822">
        <v>46671</v>
      </c>
      <c r="O1822">
        <v>55028</v>
      </c>
      <c r="P1822">
        <v>0.85</v>
      </c>
      <c r="Q1822">
        <v>222</v>
      </c>
      <c r="R1822">
        <v>295</v>
      </c>
      <c r="S1822" t="s">
        <v>3</v>
      </c>
      <c r="T1822">
        <v>51187.26</v>
      </c>
      <c r="U1822" t="s">
        <v>4729</v>
      </c>
      <c r="V1822" t="s">
        <v>4730</v>
      </c>
      <c r="W1822">
        <v>1.44</v>
      </c>
    </row>
    <row r="1823" spans="1:23">
      <c r="A1823" t="str">
        <f>"600293"</f>
        <v>600293</v>
      </c>
      <c r="B1823" t="s">
        <v>4731</v>
      </c>
      <c r="C1823">
        <v>6.24</v>
      </c>
      <c r="D1823">
        <v>6.44</v>
      </c>
      <c r="E1823">
        <v>6.2</v>
      </c>
      <c r="F1823">
        <v>6.28</v>
      </c>
      <c r="G1823">
        <v>162463</v>
      </c>
      <c r="H1823">
        <v>102561592</v>
      </c>
      <c r="I1823">
        <v>1.9</v>
      </c>
      <c r="J1823" t="s">
        <v>41</v>
      </c>
      <c r="K1823" t="s">
        <v>317</v>
      </c>
      <c r="L1823">
        <v>0.64</v>
      </c>
      <c r="M1823">
        <v>6.31</v>
      </c>
      <c r="N1823">
        <v>86374</v>
      </c>
      <c r="O1823">
        <v>76088</v>
      </c>
      <c r="P1823">
        <v>1.1399999999999999</v>
      </c>
      <c r="Q1823">
        <v>552</v>
      </c>
      <c r="R1823">
        <v>2703</v>
      </c>
      <c r="S1823" t="s">
        <v>3</v>
      </c>
      <c r="T1823">
        <v>34450.26</v>
      </c>
      <c r="U1823" t="s">
        <v>4700</v>
      </c>
      <c r="V1823" t="s">
        <v>4700</v>
      </c>
      <c r="W1823">
        <v>0.64</v>
      </c>
    </row>
    <row r="1824" spans="1:23">
      <c r="A1824" t="str">
        <f>"600295"</f>
        <v>600295</v>
      </c>
      <c r="B1824" t="s">
        <v>4732</v>
      </c>
      <c r="C1824" t="s">
        <v>3</v>
      </c>
      <c r="D1824" t="s">
        <v>3</v>
      </c>
      <c r="E1824" t="s">
        <v>3</v>
      </c>
      <c r="F1824">
        <v>7.38</v>
      </c>
      <c r="G1824">
        <v>0</v>
      </c>
      <c r="H1824">
        <v>0</v>
      </c>
      <c r="I1824">
        <v>0</v>
      </c>
      <c r="J1824" t="s">
        <v>1373</v>
      </c>
      <c r="K1824" t="s">
        <v>329</v>
      </c>
      <c r="L1824">
        <v>0</v>
      </c>
      <c r="M1824">
        <v>7.38</v>
      </c>
      <c r="N1824">
        <v>0</v>
      </c>
      <c r="O1824">
        <v>0</v>
      </c>
      <c r="P1824" t="s">
        <v>3</v>
      </c>
      <c r="Q1824">
        <v>0</v>
      </c>
      <c r="R1824">
        <v>0</v>
      </c>
      <c r="S1824" t="s">
        <v>3</v>
      </c>
      <c r="T1824">
        <v>61200</v>
      </c>
      <c r="U1824" t="s">
        <v>4733</v>
      </c>
      <c r="V1824" t="s">
        <v>4734</v>
      </c>
      <c r="W1824">
        <v>0</v>
      </c>
    </row>
    <row r="1825" spans="1:23">
      <c r="A1825" t="str">
        <f>"600297"</f>
        <v>600297</v>
      </c>
      <c r="B1825" t="s">
        <v>4735</v>
      </c>
      <c r="C1825">
        <v>9.86</v>
      </c>
      <c r="D1825">
        <v>10.19</v>
      </c>
      <c r="E1825">
        <v>9.8000000000000007</v>
      </c>
      <c r="F1825">
        <v>10.07</v>
      </c>
      <c r="G1825">
        <v>85355</v>
      </c>
      <c r="H1825">
        <v>85731184</v>
      </c>
      <c r="I1825">
        <v>0.65</v>
      </c>
      <c r="J1825" t="s">
        <v>219</v>
      </c>
      <c r="K1825" t="s">
        <v>162</v>
      </c>
      <c r="L1825">
        <v>1.51</v>
      </c>
      <c r="M1825">
        <v>10.039999999999999</v>
      </c>
      <c r="N1825">
        <v>41372</v>
      </c>
      <c r="O1825">
        <v>43982</v>
      </c>
      <c r="P1825">
        <v>0.94</v>
      </c>
      <c r="Q1825">
        <v>239</v>
      </c>
      <c r="R1825">
        <v>2369</v>
      </c>
      <c r="S1825" t="s">
        <v>3</v>
      </c>
      <c r="T1825">
        <v>35000</v>
      </c>
      <c r="U1825" t="s">
        <v>4736</v>
      </c>
      <c r="V1825" t="s">
        <v>4736</v>
      </c>
      <c r="W1825">
        <v>1.51</v>
      </c>
    </row>
    <row r="1826" spans="1:23">
      <c r="A1826" t="str">
        <f>"600298"</f>
        <v>600298</v>
      </c>
      <c r="B1826" t="s">
        <v>4737</v>
      </c>
      <c r="C1826">
        <v>17.89</v>
      </c>
      <c r="D1826">
        <v>18.59</v>
      </c>
      <c r="E1826">
        <v>17.850000000000001</v>
      </c>
      <c r="F1826">
        <v>18.309999999999999</v>
      </c>
      <c r="G1826">
        <v>74085</v>
      </c>
      <c r="H1826">
        <v>135530544</v>
      </c>
      <c r="I1826">
        <v>1.71</v>
      </c>
      <c r="J1826" t="s">
        <v>421</v>
      </c>
      <c r="K1826" t="s">
        <v>317</v>
      </c>
      <c r="L1826">
        <v>2.92</v>
      </c>
      <c r="M1826">
        <v>18.29</v>
      </c>
      <c r="N1826">
        <v>31152</v>
      </c>
      <c r="O1826">
        <v>42933</v>
      </c>
      <c r="P1826">
        <v>0.73</v>
      </c>
      <c r="Q1826">
        <v>9</v>
      </c>
      <c r="R1826">
        <v>231</v>
      </c>
      <c r="S1826" t="s">
        <v>3</v>
      </c>
      <c r="T1826">
        <v>31988.36</v>
      </c>
      <c r="U1826" t="s">
        <v>4738</v>
      </c>
      <c r="V1826" t="s">
        <v>4739</v>
      </c>
      <c r="W1826">
        <v>2.92</v>
      </c>
    </row>
    <row r="1827" spans="1:23">
      <c r="A1827" t="str">
        <f>"600299"</f>
        <v>600299</v>
      </c>
      <c r="B1827" t="s">
        <v>4740</v>
      </c>
      <c r="C1827" t="s">
        <v>3</v>
      </c>
      <c r="D1827" t="s">
        <v>3</v>
      </c>
      <c r="E1827" t="s">
        <v>3</v>
      </c>
      <c r="F1827">
        <v>3.91</v>
      </c>
      <c r="G1827">
        <v>0</v>
      </c>
      <c r="H1827">
        <v>0</v>
      </c>
      <c r="I1827">
        <v>0</v>
      </c>
      <c r="J1827" t="s">
        <v>376</v>
      </c>
      <c r="K1827" t="s">
        <v>34</v>
      </c>
      <c r="L1827">
        <v>0</v>
      </c>
      <c r="M1827">
        <v>3.91</v>
      </c>
      <c r="N1827">
        <v>0</v>
      </c>
      <c r="O1827">
        <v>0</v>
      </c>
      <c r="P1827" t="s">
        <v>3</v>
      </c>
      <c r="Q1827">
        <v>0</v>
      </c>
      <c r="R1827">
        <v>0</v>
      </c>
      <c r="S1827" t="s">
        <v>3</v>
      </c>
      <c r="T1827">
        <v>52270.76</v>
      </c>
      <c r="U1827" t="s">
        <v>4741</v>
      </c>
      <c r="V1827" t="s">
        <v>4741</v>
      </c>
      <c r="W1827">
        <v>0</v>
      </c>
    </row>
    <row r="1828" spans="1:23">
      <c r="A1828" t="str">
        <f>"600300"</f>
        <v>600300</v>
      </c>
      <c r="B1828" t="s">
        <v>4742</v>
      </c>
      <c r="C1828">
        <v>4.53</v>
      </c>
      <c r="D1828">
        <v>4.5599999999999996</v>
      </c>
      <c r="E1828">
        <v>4.4800000000000004</v>
      </c>
      <c r="F1828">
        <v>4.5</v>
      </c>
      <c r="G1828">
        <v>178838</v>
      </c>
      <c r="H1828">
        <v>80731696</v>
      </c>
      <c r="I1828">
        <v>0.68</v>
      </c>
      <c r="J1828" t="s">
        <v>59</v>
      </c>
      <c r="K1828" t="s">
        <v>244</v>
      </c>
      <c r="L1828">
        <v>-0.88</v>
      </c>
      <c r="M1828">
        <v>4.51</v>
      </c>
      <c r="N1828">
        <v>101910</v>
      </c>
      <c r="O1828">
        <v>76927</v>
      </c>
      <c r="P1828">
        <v>1.32</v>
      </c>
      <c r="Q1828">
        <v>1251</v>
      </c>
      <c r="R1828">
        <v>1446</v>
      </c>
      <c r="S1828" t="s">
        <v>3</v>
      </c>
      <c r="T1828">
        <v>167200</v>
      </c>
      <c r="U1828" t="s">
        <v>4743</v>
      </c>
      <c r="V1828" t="s">
        <v>4743</v>
      </c>
      <c r="W1828">
        <v>-0.89</v>
      </c>
    </row>
    <row r="1829" spans="1:23">
      <c r="A1829" t="str">
        <f>"600301"</f>
        <v>600301</v>
      </c>
      <c r="B1829" t="s">
        <v>4744</v>
      </c>
      <c r="C1829">
        <v>8.5399999999999991</v>
      </c>
      <c r="D1829">
        <v>8.5500000000000007</v>
      </c>
      <c r="E1829">
        <v>8.36</v>
      </c>
      <c r="F1829">
        <v>8.4</v>
      </c>
      <c r="G1829">
        <v>20268</v>
      </c>
      <c r="H1829">
        <v>17075386</v>
      </c>
      <c r="I1829">
        <v>1.24</v>
      </c>
      <c r="J1829" t="s">
        <v>376</v>
      </c>
      <c r="K1829" t="s">
        <v>417</v>
      </c>
      <c r="L1829">
        <v>-1.98</v>
      </c>
      <c r="M1829">
        <v>8.42</v>
      </c>
      <c r="N1829">
        <v>13990</v>
      </c>
      <c r="O1829">
        <v>6277</v>
      </c>
      <c r="P1829">
        <v>2.23</v>
      </c>
      <c r="Q1829">
        <v>194</v>
      </c>
      <c r="R1829">
        <v>50</v>
      </c>
      <c r="S1829" t="s">
        <v>3</v>
      </c>
      <c r="T1829">
        <v>23514.81</v>
      </c>
      <c r="U1829" t="s">
        <v>4745</v>
      </c>
      <c r="V1829" t="s">
        <v>4745</v>
      </c>
      <c r="W1829">
        <v>-1.99</v>
      </c>
    </row>
    <row r="1830" spans="1:23">
      <c r="A1830" t="str">
        <f>"600302"</f>
        <v>600302</v>
      </c>
      <c r="B1830" t="s">
        <v>4746</v>
      </c>
      <c r="C1830">
        <v>5.6</v>
      </c>
      <c r="D1830">
        <v>5.63</v>
      </c>
      <c r="E1830">
        <v>5.5</v>
      </c>
      <c r="F1830">
        <v>5.56</v>
      </c>
      <c r="G1830">
        <v>28637</v>
      </c>
      <c r="H1830">
        <v>15867764</v>
      </c>
      <c r="I1830">
        <v>0.73</v>
      </c>
      <c r="J1830" t="s">
        <v>721</v>
      </c>
      <c r="K1830" t="s">
        <v>389</v>
      </c>
      <c r="L1830">
        <v>-0.18</v>
      </c>
      <c r="M1830">
        <v>5.54</v>
      </c>
      <c r="N1830">
        <v>17488</v>
      </c>
      <c r="O1830">
        <v>11149</v>
      </c>
      <c r="P1830">
        <v>1.57</v>
      </c>
      <c r="Q1830">
        <v>22</v>
      </c>
      <c r="R1830">
        <v>305</v>
      </c>
      <c r="S1830" t="s">
        <v>3</v>
      </c>
      <c r="T1830">
        <v>34600.980000000003</v>
      </c>
      <c r="U1830" t="s">
        <v>4747</v>
      </c>
      <c r="V1830" t="s">
        <v>4747</v>
      </c>
      <c r="W1830">
        <v>-0.18</v>
      </c>
    </row>
    <row r="1831" spans="1:23">
      <c r="A1831" t="str">
        <f>"600303"</f>
        <v>600303</v>
      </c>
      <c r="B1831" t="s">
        <v>4748</v>
      </c>
      <c r="C1831">
        <v>5.12</v>
      </c>
      <c r="D1831">
        <v>5.63</v>
      </c>
      <c r="E1831">
        <v>5.0599999999999996</v>
      </c>
      <c r="F1831">
        <v>5.48</v>
      </c>
      <c r="G1831">
        <v>328376</v>
      </c>
      <c r="H1831">
        <v>177343792</v>
      </c>
      <c r="I1831">
        <v>3.63</v>
      </c>
      <c r="J1831" t="s">
        <v>476</v>
      </c>
      <c r="K1831" t="s">
        <v>162</v>
      </c>
      <c r="L1831">
        <v>7.03</v>
      </c>
      <c r="M1831">
        <v>5.4</v>
      </c>
      <c r="N1831">
        <v>166839</v>
      </c>
      <c r="O1831">
        <v>161536</v>
      </c>
      <c r="P1831">
        <v>1.03</v>
      </c>
      <c r="Q1831">
        <v>2</v>
      </c>
      <c r="R1831">
        <v>522</v>
      </c>
      <c r="S1831" t="s">
        <v>3</v>
      </c>
      <c r="T1831">
        <v>57450.6</v>
      </c>
      <c r="U1831" t="s">
        <v>3633</v>
      </c>
      <c r="V1831" t="s">
        <v>3362</v>
      </c>
      <c r="W1831">
        <v>7.03</v>
      </c>
    </row>
    <row r="1832" spans="1:23">
      <c r="A1832" t="str">
        <f>"600305"</f>
        <v>600305</v>
      </c>
      <c r="B1832" t="s">
        <v>4749</v>
      </c>
      <c r="C1832">
        <v>17.21</v>
      </c>
      <c r="D1832">
        <v>17.21</v>
      </c>
      <c r="E1832">
        <v>16.899999999999999</v>
      </c>
      <c r="F1832">
        <v>17.010000000000002</v>
      </c>
      <c r="G1832">
        <v>32344</v>
      </c>
      <c r="H1832">
        <v>54986976</v>
      </c>
      <c r="I1832">
        <v>0.94</v>
      </c>
      <c r="J1832" t="s">
        <v>421</v>
      </c>
      <c r="K1832" t="s">
        <v>244</v>
      </c>
      <c r="L1832">
        <v>-0.93</v>
      </c>
      <c r="M1832">
        <v>17</v>
      </c>
      <c r="N1832">
        <v>19331</v>
      </c>
      <c r="O1832">
        <v>13012</v>
      </c>
      <c r="P1832">
        <v>1.49</v>
      </c>
      <c r="Q1832">
        <v>180</v>
      </c>
      <c r="R1832">
        <v>23</v>
      </c>
      <c r="S1832" t="s">
        <v>3</v>
      </c>
      <c r="T1832">
        <v>25430</v>
      </c>
      <c r="U1832" t="s">
        <v>4750</v>
      </c>
      <c r="V1832" t="s">
        <v>4751</v>
      </c>
      <c r="W1832">
        <v>-0.94</v>
      </c>
    </row>
    <row r="1833" spans="1:23">
      <c r="A1833" t="str">
        <f>"600306"</f>
        <v>600306</v>
      </c>
      <c r="B1833" t="s">
        <v>4752</v>
      </c>
      <c r="C1833">
        <v>8.89</v>
      </c>
      <c r="D1833">
        <v>8.98</v>
      </c>
      <c r="E1833">
        <v>8.7799999999999994</v>
      </c>
      <c r="F1833">
        <v>8.94</v>
      </c>
      <c r="G1833">
        <v>30653</v>
      </c>
      <c r="H1833">
        <v>27192716</v>
      </c>
      <c r="I1833">
        <v>0.96</v>
      </c>
      <c r="J1833" t="s">
        <v>297</v>
      </c>
      <c r="K1833" t="s">
        <v>162</v>
      </c>
      <c r="L1833">
        <v>1.1299999999999999</v>
      </c>
      <c r="M1833">
        <v>8.8699999999999992</v>
      </c>
      <c r="N1833">
        <v>15190</v>
      </c>
      <c r="O1833">
        <v>15462</v>
      </c>
      <c r="P1833">
        <v>0.98</v>
      </c>
      <c r="Q1833">
        <v>12</v>
      </c>
      <c r="R1833">
        <v>448</v>
      </c>
      <c r="S1833" t="s">
        <v>3</v>
      </c>
      <c r="T1833">
        <v>17727.78</v>
      </c>
      <c r="U1833" t="s">
        <v>4510</v>
      </c>
      <c r="V1833" t="s">
        <v>4753</v>
      </c>
      <c r="W1833">
        <v>1.1299999999999999</v>
      </c>
    </row>
    <row r="1834" spans="1:23">
      <c r="A1834" t="str">
        <f>"600307"</f>
        <v>600307</v>
      </c>
      <c r="B1834" t="s">
        <v>4754</v>
      </c>
      <c r="C1834">
        <v>2.78</v>
      </c>
      <c r="D1834">
        <v>2.82</v>
      </c>
      <c r="E1834">
        <v>2.73</v>
      </c>
      <c r="F1834">
        <v>2.78</v>
      </c>
      <c r="G1834">
        <v>102299</v>
      </c>
      <c r="H1834">
        <v>28467756</v>
      </c>
      <c r="I1834">
        <v>1.19</v>
      </c>
      <c r="J1834" t="s">
        <v>279</v>
      </c>
      <c r="K1834" t="s">
        <v>483</v>
      </c>
      <c r="L1834">
        <v>0.36</v>
      </c>
      <c r="M1834">
        <v>2.78</v>
      </c>
      <c r="N1834">
        <v>51563</v>
      </c>
      <c r="O1834">
        <v>50735</v>
      </c>
      <c r="P1834">
        <v>1.02</v>
      </c>
      <c r="Q1834">
        <v>1693</v>
      </c>
      <c r="R1834">
        <v>6035</v>
      </c>
      <c r="S1834" t="s">
        <v>3</v>
      </c>
      <c r="T1834">
        <v>626335.75</v>
      </c>
      <c r="U1834" t="s">
        <v>4755</v>
      </c>
      <c r="V1834" t="s">
        <v>4755</v>
      </c>
      <c r="W1834">
        <v>0.36</v>
      </c>
    </row>
    <row r="1835" spans="1:23">
      <c r="A1835" t="str">
        <f>"600308"</f>
        <v>600308</v>
      </c>
      <c r="B1835" t="s">
        <v>4756</v>
      </c>
      <c r="C1835">
        <v>3.28</v>
      </c>
      <c r="D1835">
        <v>3.35</v>
      </c>
      <c r="E1835">
        <v>3.24</v>
      </c>
      <c r="F1835">
        <v>3.33</v>
      </c>
      <c r="G1835">
        <v>300047</v>
      </c>
      <c r="H1835">
        <v>98951184</v>
      </c>
      <c r="I1835">
        <v>2.2799999999999998</v>
      </c>
      <c r="J1835" t="s">
        <v>343</v>
      </c>
      <c r="K1835" t="s">
        <v>250</v>
      </c>
      <c r="L1835">
        <v>3.42</v>
      </c>
      <c r="M1835">
        <v>3.3</v>
      </c>
      <c r="N1835">
        <v>134006</v>
      </c>
      <c r="O1835">
        <v>166041</v>
      </c>
      <c r="P1835">
        <v>0.81</v>
      </c>
      <c r="Q1835">
        <v>998</v>
      </c>
      <c r="R1835">
        <v>6853</v>
      </c>
      <c r="S1835" t="s">
        <v>3</v>
      </c>
      <c r="T1835">
        <v>116756.14</v>
      </c>
      <c r="U1835" t="s">
        <v>4757</v>
      </c>
      <c r="V1835" t="s">
        <v>4757</v>
      </c>
      <c r="W1835">
        <v>3.41</v>
      </c>
    </row>
    <row r="1836" spans="1:23">
      <c r="A1836" t="str">
        <f>"600309"</f>
        <v>600309</v>
      </c>
      <c r="B1836" t="s">
        <v>4758</v>
      </c>
      <c r="C1836">
        <v>17.72</v>
      </c>
      <c r="D1836">
        <v>17.920000000000002</v>
      </c>
      <c r="E1836">
        <v>17.510000000000002</v>
      </c>
      <c r="F1836">
        <v>17.55</v>
      </c>
      <c r="G1836">
        <v>128153</v>
      </c>
      <c r="H1836">
        <v>226760512</v>
      </c>
      <c r="I1836">
        <v>0.89</v>
      </c>
      <c r="J1836" t="s">
        <v>376</v>
      </c>
      <c r="K1836" t="s">
        <v>250</v>
      </c>
      <c r="L1836">
        <v>-0.23</v>
      </c>
      <c r="M1836">
        <v>17.690000000000001</v>
      </c>
      <c r="N1836">
        <v>60841</v>
      </c>
      <c r="O1836">
        <v>67311</v>
      </c>
      <c r="P1836">
        <v>0.9</v>
      </c>
      <c r="Q1836">
        <v>4</v>
      </c>
      <c r="R1836">
        <v>64</v>
      </c>
      <c r="S1836" t="s">
        <v>3</v>
      </c>
      <c r="T1836">
        <v>216233.45</v>
      </c>
      <c r="U1836" t="s">
        <v>4759</v>
      </c>
      <c r="V1836" t="s">
        <v>4759</v>
      </c>
      <c r="W1836">
        <v>-0.23</v>
      </c>
    </row>
    <row r="1837" spans="1:23">
      <c r="A1837" t="str">
        <f>"600310"</f>
        <v>600310</v>
      </c>
      <c r="B1837" t="s">
        <v>4760</v>
      </c>
      <c r="C1837">
        <v>13.8</v>
      </c>
      <c r="D1837">
        <v>13.84</v>
      </c>
      <c r="E1837">
        <v>13.52</v>
      </c>
      <c r="F1837">
        <v>13.58</v>
      </c>
      <c r="G1837">
        <v>42706</v>
      </c>
      <c r="H1837">
        <v>58244664</v>
      </c>
      <c r="I1837">
        <v>0.69</v>
      </c>
      <c r="J1837" t="s">
        <v>852</v>
      </c>
      <c r="K1837" t="s">
        <v>417</v>
      </c>
      <c r="L1837">
        <v>-1.67</v>
      </c>
      <c r="M1837">
        <v>13.64</v>
      </c>
      <c r="N1837">
        <v>26812</v>
      </c>
      <c r="O1837">
        <v>15894</v>
      </c>
      <c r="P1837">
        <v>1.69</v>
      </c>
      <c r="Q1837">
        <v>10</v>
      </c>
      <c r="R1837">
        <v>48</v>
      </c>
      <c r="S1837" t="s">
        <v>3</v>
      </c>
      <c r="T1837">
        <v>27592.5</v>
      </c>
      <c r="U1837" t="s">
        <v>4009</v>
      </c>
      <c r="V1837" t="s">
        <v>4009</v>
      </c>
      <c r="W1837">
        <v>-1.67</v>
      </c>
    </row>
    <row r="1838" spans="1:23">
      <c r="A1838" t="str">
        <f>"600311"</f>
        <v>600311</v>
      </c>
      <c r="B1838" t="s">
        <v>4761</v>
      </c>
      <c r="C1838">
        <v>5.59</v>
      </c>
      <c r="D1838">
        <v>5.59</v>
      </c>
      <c r="E1838">
        <v>5.5</v>
      </c>
      <c r="F1838">
        <v>5.55</v>
      </c>
      <c r="G1838">
        <v>106625</v>
      </c>
      <c r="H1838">
        <v>59070024</v>
      </c>
      <c r="I1838">
        <v>0.78</v>
      </c>
      <c r="J1838" t="s">
        <v>1783</v>
      </c>
      <c r="K1838" t="s">
        <v>483</v>
      </c>
      <c r="L1838">
        <v>-0.89</v>
      </c>
      <c r="M1838">
        <v>5.54</v>
      </c>
      <c r="N1838">
        <v>58791</v>
      </c>
      <c r="O1838">
        <v>47834</v>
      </c>
      <c r="P1838">
        <v>1.23</v>
      </c>
      <c r="Q1838">
        <v>255</v>
      </c>
      <c r="R1838">
        <v>1376</v>
      </c>
      <c r="S1838" t="s">
        <v>3</v>
      </c>
      <c r="T1838">
        <v>66560</v>
      </c>
      <c r="U1838" t="s">
        <v>4762</v>
      </c>
      <c r="V1838" t="s">
        <v>4762</v>
      </c>
      <c r="W1838">
        <v>-0.9</v>
      </c>
    </row>
    <row r="1839" spans="1:23">
      <c r="A1839" t="str">
        <f>"600312"</f>
        <v>600312</v>
      </c>
      <c r="B1839" t="s">
        <v>4763</v>
      </c>
      <c r="C1839">
        <v>14.06</v>
      </c>
      <c r="D1839">
        <v>14.19</v>
      </c>
      <c r="E1839">
        <v>13.91</v>
      </c>
      <c r="F1839">
        <v>14</v>
      </c>
      <c r="G1839">
        <v>173300</v>
      </c>
      <c r="H1839">
        <v>242850928</v>
      </c>
      <c r="I1839">
        <v>0.79</v>
      </c>
      <c r="J1839" t="s">
        <v>145</v>
      </c>
      <c r="K1839" t="s">
        <v>254</v>
      </c>
      <c r="L1839">
        <v>-1.41</v>
      </c>
      <c r="M1839">
        <v>14.01</v>
      </c>
      <c r="N1839">
        <v>96178</v>
      </c>
      <c r="O1839">
        <v>77122</v>
      </c>
      <c r="P1839">
        <v>1.25</v>
      </c>
      <c r="Q1839">
        <v>552</v>
      </c>
      <c r="R1839">
        <v>323</v>
      </c>
      <c r="S1839" t="s">
        <v>3</v>
      </c>
      <c r="T1839">
        <v>81896.61</v>
      </c>
      <c r="U1839" t="s">
        <v>4764</v>
      </c>
      <c r="V1839" t="s">
        <v>4765</v>
      </c>
      <c r="W1839">
        <v>-1.41</v>
      </c>
    </row>
    <row r="1840" spans="1:23">
      <c r="A1840" t="str">
        <f>"600313"</f>
        <v>600313</v>
      </c>
      <c r="B1840" t="s">
        <v>4766</v>
      </c>
      <c r="C1840" t="s">
        <v>3</v>
      </c>
      <c r="D1840" t="s">
        <v>3</v>
      </c>
      <c r="E1840" t="s">
        <v>3</v>
      </c>
      <c r="F1840">
        <v>8.41</v>
      </c>
      <c r="G1840">
        <v>0</v>
      </c>
      <c r="H1840">
        <v>0</v>
      </c>
      <c r="I1840">
        <v>0</v>
      </c>
      <c r="J1840" t="s">
        <v>829</v>
      </c>
      <c r="K1840" t="s">
        <v>34</v>
      </c>
      <c r="L1840">
        <v>0</v>
      </c>
      <c r="M1840">
        <v>8.41</v>
      </c>
      <c r="N1840">
        <v>0</v>
      </c>
      <c r="O1840">
        <v>0</v>
      </c>
      <c r="P1840" t="s">
        <v>3</v>
      </c>
      <c r="Q1840">
        <v>0</v>
      </c>
      <c r="R1840">
        <v>0</v>
      </c>
      <c r="S1840" t="s">
        <v>3</v>
      </c>
      <c r="T1840">
        <v>30420</v>
      </c>
      <c r="U1840" t="s">
        <v>4767</v>
      </c>
      <c r="V1840" t="s">
        <v>4768</v>
      </c>
      <c r="W1840">
        <v>0</v>
      </c>
    </row>
    <row r="1841" spans="1:23">
      <c r="A1841" t="str">
        <f>"600315"</f>
        <v>600315</v>
      </c>
      <c r="B1841" t="s">
        <v>4769</v>
      </c>
      <c r="C1841">
        <v>36.020000000000003</v>
      </c>
      <c r="D1841">
        <v>36.69</v>
      </c>
      <c r="E1841">
        <v>35.83</v>
      </c>
      <c r="F1841">
        <v>36.17</v>
      </c>
      <c r="G1841">
        <v>110695</v>
      </c>
      <c r="H1841">
        <v>400703424</v>
      </c>
      <c r="I1841">
        <v>0.94</v>
      </c>
      <c r="J1841" t="s">
        <v>405</v>
      </c>
      <c r="K1841" t="s">
        <v>727</v>
      </c>
      <c r="L1841">
        <v>-0.57999999999999996</v>
      </c>
      <c r="M1841">
        <v>36.200000000000003</v>
      </c>
      <c r="N1841">
        <v>56020</v>
      </c>
      <c r="O1841">
        <v>54674</v>
      </c>
      <c r="P1841">
        <v>1.02</v>
      </c>
      <c r="Q1841">
        <v>51</v>
      </c>
      <c r="R1841">
        <v>238</v>
      </c>
      <c r="S1841" t="s">
        <v>3</v>
      </c>
      <c r="T1841">
        <v>66086.460000000006</v>
      </c>
      <c r="U1841" t="s">
        <v>4770</v>
      </c>
      <c r="V1841" t="s">
        <v>4771</v>
      </c>
      <c r="W1841">
        <v>-0.57999999999999996</v>
      </c>
    </row>
    <row r="1842" spans="1:23">
      <c r="A1842" t="str">
        <f>"600316"</f>
        <v>600316</v>
      </c>
      <c r="B1842" t="s">
        <v>4772</v>
      </c>
      <c r="C1842">
        <v>24.95</v>
      </c>
      <c r="D1842">
        <v>25.28</v>
      </c>
      <c r="E1842">
        <v>24.63</v>
      </c>
      <c r="F1842">
        <v>24.98</v>
      </c>
      <c r="G1842">
        <v>545268</v>
      </c>
      <c r="H1842">
        <v>1362484224</v>
      </c>
      <c r="I1842">
        <v>0.8</v>
      </c>
      <c r="J1842" t="s">
        <v>892</v>
      </c>
      <c r="K1842" t="s">
        <v>265</v>
      </c>
      <c r="L1842">
        <v>-1.5</v>
      </c>
      <c r="M1842">
        <v>24.99</v>
      </c>
      <c r="N1842">
        <v>269972</v>
      </c>
      <c r="O1842">
        <v>275296</v>
      </c>
      <c r="P1842">
        <v>0.98</v>
      </c>
      <c r="Q1842">
        <v>126</v>
      </c>
      <c r="R1842">
        <v>59</v>
      </c>
      <c r="S1842" t="s">
        <v>3</v>
      </c>
      <c r="T1842">
        <v>71711.45</v>
      </c>
      <c r="U1842" t="s">
        <v>4773</v>
      </c>
      <c r="V1842" t="s">
        <v>4773</v>
      </c>
      <c r="W1842">
        <v>-1.5</v>
      </c>
    </row>
    <row r="1843" spans="1:23">
      <c r="A1843" t="str">
        <f>"600317"</f>
        <v>600317</v>
      </c>
      <c r="B1843" t="s">
        <v>4774</v>
      </c>
      <c r="C1843">
        <v>4.88</v>
      </c>
      <c r="D1843">
        <v>5.18</v>
      </c>
      <c r="E1843">
        <v>4.8</v>
      </c>
      <c r="F1843">
        <v>4.93</v>
      </c>
      <c r="G1843">
        <v>3183468</v>
      </c>
      <c r="H1843">
        <v>1592836864</v>
      </c>
      <c r="I1843">
        <v>0.76</v>
      </c>
      <c r="J1843" t="s">
        <v>70</v>
      </c>
      <c r="K1843" t="s">
        <v>162</v>
      </c>
      <c r="L1843">
        <v>-1.2</v>
      </c>
      <c r="M1843">
        <v>5</v>
      </c>
      <c r="N1843">
        <v>1659340</v>
      </c>
      <c r="O1843">
        <v>1524127</v>
      </c>
      <c r="P1843">
        <v>1.0900000000000001</v>
      </c>
      <c r="Q1843">
        <v>447</v>
      </c>
      <c r="R1843">
        <v>6345</v>
      </c>
      <c r="S1843" t="s">
        <v>3</v>
      </c>
      <c r="T1843">
        <v>329271.5</v>
      </c>
      <c r="U1843" t="s">
        <v>4775</v>
      </c>
      <c r="V1843" t="s">
        <v>4776</v>
      </c>
      <c r="W1843">
        <v>-1.21</v>
      </c>
    </row>
    <row r="1844" spans="1:23">
      <c r="A1844" t="str">
        <f>"600318"</f>
        <v>600318</v>
      </c>
      <c r="B1844" t="s">
        <v>4777</v>
      </c>
      <c r="C1844">
        <v>10.49</v>
      </c>
      <c r="D1844">
        <v>10.85</v>
      </c>
      <c r="E1844">
        <v>10.45</v>
      </c>
      <c r="F1844">
        <v>10.81</v>
      </c>
      <c r="G1844">
        <v>76178</v>
      </c>
      <c r="H1844">
        <v>81357488</v>
      </c>
      <c r="I1844">
        <v>1.56</v>
      </c>
      <c r="J1844" t="s">
        <v>258</v>
      </c>
      <c r="K1844" t="s">
        <v>220</v>
      </c>
      <c r="L1844">
        <v>3.54</v>
      </c>
      <c r="M1844">
        <v>10.68</v>
      </c>
      <c r="N1844">
        <v>31775</v>
      </c>
      <c r="O1844">
        <v>44403</v>
      </c>
      <c r="P1844">
        <v>0.72</v>
      </c>
      <c r="Q1844">
        <v>72</v>
      </c>
      <c r="R1844">
        <v>280</v>
      </c>
      <c r="S1844" t="s">
        <v>3</v>
      </c>
      <c r="T1844">
        <v>24200</v>
      </c>
      <c r="U1844" t="s">
        <v>3036</v>
      </c>
      <c r="V1844" t="s">
        <v>3036</v>
      </c>
      <c r="W1844">
        <v>3.54</v>
      </c>
    </row>
    <row r="1845" spans="1:23">
      <c r="A1845" t="str">
        <f>"600319"</f>
        <v>600319</v>
      </c>
      <c r="B1845" t="s">
        <v>4778</v>
      </c>
      <c r="C1845">
        <v>5.67</v>
      </c>
      <c r="D1845">
        <v>5.84</v>
      </c>
      <c r="E1845">
        <v>5.61</v>
      </c>
      <c r="F1845">
        <v>5.76</v>
      </c>
      <c r="G1845">
        <v>144222</v>
      </c>
      <c r="H1845">
        <v>82890856</v>
      </c>
      <c r="I1845">
        <v>0.85</v>
      </c>
      <c r="J1845" t="s">
        <v>376</v>
      </c>
      <c r="K1845" t="s">
        <v>250</v>
      </c>
      <c r="L1845">
        <v>-0.52</v>
      </c>
      <c r="M1845">
        <v>5.75</v>
      </c>
      <c r="N1845">
        <v>78112</v>
      </c>
      <c r="O1845">
        <v>66110</v>
      </c>
      <c r="P1845">
        <v>1.18</v>
      </c>
      <c r="Q1845">
        <v>969</v>
      </c>
      <c r="R1845">
        <v>209</v>
      </c>
      <c r="S1845" t="s">
        <v>3</v>
      </c>
      <c r="T1845">
        <v>31559.4</v>
      </c>
      <c r="U1845" t="s">
        <v>4033</v>
      </c>
      <c r="V1845" t="s">
        <v>4033</v>
      </c>
      <c r="W1845">
        <v>-0.52</v>
      </c>
    </row>
    <row r="1846" spans="1:23">
      <c r="A1846" t="str">
        <f>"600320"</f>
        <v>600320</v>
      </c>
      <c r="B1846" t="s">
        <v>4779</v>
      </c>
      <c r="C1846">
        <v>4.24</v>
      </c>
      <c r="D1846">
        <v>4.54</v>
      </c>
      <c r="E1846">
        <v>4.1900000000000004</v>
      </c>
      <c r="F1846">
        <v>4.3499999999999996</v>
      </c>
      <c r="G1846">
        <v>820554</v>
      </c>
      <c r="H1846">
        <v>358871968</v>
      </c>
      <c r="I1846">
        <v>1.5</v>
      </c>
      <c r="J1846" t="s">
        <v>233</v>
      </c>
      <c r="K1846" t="s">
        <v>727</v>
      </c>
      <c r="L1846">
        <v>1.64</v>
      </c>
      <c r="M1846">
        <v>4.37</v>
      </c>
      <c r="N1846">
        <v>423141</v>
      </c>
      <c r="O1846">
        <v>397412</v>
      </c>
      <c r="P1846">
        <v>1.06</v>
      </c>
      <c r="Q1846">
        <v>840</v>
      </c>
      <c r="R1846">
        <v>200</v>
      </c>
      <c r="S1846" t="s">
        <v>3</v>
      </c>
      <c r="T1846">
        <v>276833.13</v>
      </c>
      <c r="U1846" t="s">
        <v>4780</v>
      </c>
      <c r="V1846" t="s">
        <v>4781</v>
      </c>
      <c r="W1846">
        <v>1.63</v>
      </c>
    </row>
    <row r="1847" spans="1:23">
      <c r="A1847" t="str">
        <f>"600321"</f>
        <v>600321</v>
      </c>
      <c r="B1847" t="s">
        <v>4782</v>
      </c>
      <c r="C1847">
        <v>2.42</v>
      </c>
      <c r="D1847">
        <v>2.48</v>
      </c>
      <c r="E1847">
        <v>2.41</v>
      </c>
      <c r="F1847">
        <v>2.4500000000000002</v>
      </c>
      <c r="G1847">
        <v>365854</v>
      </c>
      <c r="H1847">
        <v>89655424</v>
      </c>
      <c r="I1847">
        <v>1.19</v>
      </c>
      <c r="J1847" t="s">
        <v>150</v>
      </c>
      <c r="K1847" t="s">
        <v>225</v>
      </c>
      <c r="L1847">
        <v>2.08</v>
      </c>
      <c r="M1847">
        <v>2.4500000000000002</v>
      </c>
      <c r="N1847">
        <v>183163</v>
      </c>
      <c r="O1847">
        <v>182691</v>
      </c>
      <c r="P1847">
        <v>1</v>
      </c>
      <c r="Q1847">
        <v>6354</v>
      </c>
      <c r="R1847">
        <v>8766</v>
      </c>
      <c r="S1847" t="s">
        <v>3</v>
      </c>
      <c r="T1847">
        <v>118088</v>
      </c>
      <c r="U1847" t="s">
        <v>2860</v>
      </c>
      <c r="V1847" t="s">
        <v>2860</v>
      </c>
      <c r="W1847">
        <v>2.08</v>
      </c>
    </row>
    <row r="1848" spans="1:23">
      <c r="A1848" t="str">
        <f>"600322"</f>
        <v>600322</v>
      </c>
      <c r="B1848" t="s">
        <v>4783</v>
      </c>
      <c r="C1848">
        <v>3.72</v>
      </c>
      <c r="D1848">
        <v>3.74</v>
      </c>
      <c r="E1848">
        <v>3.67</v>
      </c>
      <c r="F1848">
        <v>3.72</v>
      </c>
      <c r="G1848">
        <v>182648</v>
      </c>
      <c r="H1848">
        <v>67659272</v>
      </c>
      <c r="I1848">
        <v>0.93</v>
      </c>
      <c r="J1848" t="s">
        <v>15</v>
      </c>
      <c r="K1848" t="s">
        <v>442</v>
      </c>
      <c r="L1848">
        <v>0.81</v>
      </c>
      <c r="M1848">
        <v>3.7</v>
      </c>
      <c r="N1848">
        <v>91052</v>
      </c>
      <c r="O1848">
        <v>91596</v>
      </c>
      <c r="P1848">
        <v>0.99</v>
      </c>
      <c r="Q1848">
        <v>14476</v>
      </c>
      <c r="R1848">
        <v>2376</v>
      </c>
      <c r="S1848" t="s">
        <v>3</v>
      </c>
      <c r="T1848">
        <v>110570</v>
      </c>
      <c r="U1848" t="s">
        <v>4784</v>
      </c>
      <c r="V1848" t="s">
        <v>4784</v>
      </c>
      <c r="W1848">
        <v>0.81</v>
      </c>
    </row>
    <row r="1849" spans="1:23">
      <c r="A1849" t="str">
        <f>"600323"</f>
        <v>600323</v>
      </c>
      <c r="B1849" t="s">
        <v>4785</v>
      </c>
      <c r="C1849">
        <v>13.34</v>
      </c>
      <c r="D1849">
        <v>13.5</v>
      </c>
      <c r="E1849">
        <v>13.17</v>
      </c>
      <c r="F1849">
        <v>13.46</v>
      </c>
      <c r="G1849">
        <v>90645</v>
      </c>
      <c r="H1849">
        <v>121510824</v>
      </c>
      <c r="I1849">
        <v>1.45</v>
      </c>
      <c r="J1849" t="s">
        <v>609</v>
      </c>
      <c r="K1849" t="s">
        <v>211</v>
      </c>
      <c r="L1849">
        <v>1.1299999999999999</v>
      </c>
      <c r="M1849">
        <v>13.41</v>
      </c>
      <c r="N1849">
        <v>45660</v>
      </c>
      <c r="O1849">
        <v>44985</v>
      </c>
      <c r="P1849">
        <v>1.02</v>
      </c>
      <c r="Q1849">
        <v>233</v>
      </c>
      <c r="R1849">
        <v>275</v>
      </c>
      <c r="S1849" t="s">
        <v>3</v>
      </c>
      <c r="T1849">
        <v>48792.32</v>
      </c>
      <c r="U1849" t="s">
        <v>1436</v>
      </c>
      <c r="V1849" t="s">
        <v>4786</v>
      </c>
      <c r="W1849">
        <v>1.1200000000000001</v>
      </c>
    </row>
    <row r="1850" spans="1:23">
      <c r="A1850" t="str">
        <f>"600325"</f>
        <v>600325</v>
      </c>
      <c r="B1850" t="s">
        <v>4787</v>
      </c>
      <c r="C1850">
        <v>7.27</v>
      </c>
      <c r="D1850">
        <v>7.3</v>
      </c>
      <c r="E1850">
        <v>7.16</v>
      </c>
      <c r="F1850">
        <v>7.18</v>
      </c>
      <c r="G1850">
        <v>205260</v>
      </c>
      <c r="H1850">
        <v>148093280</v>
      </c>
      <c r="I1850">
        <v>0.86</v>
      </c>
      <c r="J1850" t="s">
        <v>15</v>
      </c>
      <c r="K1850" t="s">
        <v>211</v>
      </c>
      <c r="L1850">
        <v>-0.97</v>
      </c>
      <c r="M1850">
        <v>7.21</v>
      </c>
      <c r="N1850">
        <v>116693</v>
      </c>
      <c r="O1850">
        <v>88567</v>
      </c>
      <c r="P1850">
        <v>1.32</v>
      </c>
      <c r="Q1850">
        <v>2104</v>
      </c>
      <c r="R1850">
        <v>2164</v>
      </c>
      <c r="S1850" t="s">
        <v>3</v>
      </c>
      <c r="T1850">
        <v>81704.56</v>
      </c>
      <c r="U1850" t="s">
        <v>3859</v>
      </c>
      <c r="V1850" t="s">
        <v>3859</v>
      </c>
      <c r="W1850">
        <v>-0.97</v>
      </c>
    </row>
    <row r="1851" spans="1:23">
      <c r="A1851" t="str">
        <f>"600326"</f>
        <v>600326</v>
      </c>
      <c r="B1851" t="s">
        <v>4788</v>
      </c>
      <c r="C1851">
        <v>7.29</v>
      </c>
      <c r="D1851">
        <v>7.44</v>
      </c>
      <c r="E1851">
        <v>7.25</v>
      </c>
      <c r="F1851">
        <v>7.4</v>
      </c>
      <c r="G1851">
        <v>155873</v>
      </c>
      <c r="H1851">
        <v>115078568</v>
      </c>
      <c r="I1851">
        <v>1.18</v>
      </c>
      <c r="J1851" t="s">
        <v>33</v>
      </c>
      <c r="K1851" t="s">
        <v>905</v>
      </c>
      <c r="L1851">
        <v>1.51</v>
      </c>
      <c r="M1851">
        <v>7.38</v>
      </c>
      <c r="N1851">
        <v>75363</v>
      </c>
      <c r="O1851">
        <v>80509</v>
      </c>
      <c r="P1851">
        <v>0.94</v>
      </c>
      <c r="Q1851">
        <v>1248</v>
      </c>
      <c r="R1851">
        <v>2350</v>
      </c>
      <c r="S1851" t="s">
        <v>3</v>
      </c>
      <c r="T1851">
        <v>54720</v>
      </c>
      <c r="U1851" t="s">
        <v>4789</v>
      </c>
      <c r="V1851" t="s">
        <v>4789</v>
      </c>
      <c r="W1851">
        <v>1.5</v>
      </c>
    </row>
    <row r="1852" spans="1:23">
      <c r="A1852" t="str">
        <f>"600327"</f>
        <v>600327</v>
      </c>
      <c r="B1852" t="s">
        <v>4790</v>
      </c>
      <c r="C1852">
        <v>6.23</v>
      </c>
      <c r="D1852">
        <v>6.3</v>
      </c>
      <c r="E1852">
        <v>6.2</v>
      </c>
      <c r="F1852">
        <v>6.26</v>
      </c>
      <c r="G1852">
        <v>138492</v>
      </c>
      <c r="H1852">
        <v>86566856</v>
      </c>
      <c r="I1852">
        <v>0.67</v>
      </c>
      <c r="J1852" t="s">
        <v>297</v>
      </c>
      <c r="K1852" t="s">
        <v>244</v>
      </c>
      <c r="L1852">
        <v>0.48</v>
      </c>
      <c r="M1852">
        <v>6.25</v>
      </c>
      <c r="N1852">
        <v>83919</v>
      </c>
      <c r="O1852">
        <v>54573</v>
      </c>
      <c r="P1852">
        <v>1.54</v>
      </c>
      <c r="Q1852">
        <v>405</v>
      </c>
      <c r="R1852">
        <v>611</v>
      </c>
      <c r="S1852" t="s">
        <v>3</v>
      </c>
      <c r="T1852">
        <v>52171.17</v>
      </c>
      <c r="U1852" t="s">
        <v>4791</v>
      </c>
      <c r="V1852" t="s">
        <v>4791</v>
      </c>
      <c r="W1852">
        <v>0.48</v>
      </c>
    </row>
    <row r="1853" spans="1:23">
      <c r="A1853" t="str">
        <f>"600328"</f>
        <v>600328</v>
      </c>
      <c r="B1853" t="s">
        <v>4792</v>
      </c>
      <c r="C1853">
        <v>8.83</v>
      </c>
      <c r="D1853">
        <v>8.91</v>
      </c>
      <c r="E1853">
        <v>8.76</v>
      </c>
      <c r="F1853">
        <v>8.86</v>
      </c>
      <c r="G1853">
        <v>50593</v>
      </c>
      <c r="H1853">
        <v>44632612</v>
      </c>
      <c r="I1853">
        <v>0.94</v>
      </c>
      <c r="J1853" t="s">
        <v>376</v>
      </c>
      <c r="K1853" t="s">
        <v>329</v>
      </c>
      <c r="L1853">
        <v>0.23</v>
      </c>
      <c r="M1853">
        <v>8.82</v>
      </c>
      <c r="N1853">
        <v>29522</v>
      </c>
      <c r="O1853">
        <v>21070</v>
      </c>
      <c r="P1853">
        <v>1.4</v>
      </c>
      <c r="Q1853">
        <v>62</v>
      </c>
      <c r="R1853">
        <v>223</v>
      </c>
      <c r="S1853" t="s">
        <v>3</v>
      </c>
      <c r="T1853">
        <v>35911.800000000003</v>
      </c>
      <c r="U1853" t="s">
        <v>4793</v>
      </c>
      <c r="V1853" t="s">
        <v>4793</v>
      </c>
      <c r="W1853">
        <v>0.22</v>
      </c>
    </row>
    <row r="1854" spans="1:23">
      <c r="A1854" t="str">
        <f>"600329"</f>
        <v>600329</v>
      </c>
      <c r="B1854" t="s">
        <v>4794</v>
      </c>
      <c r="C1854">
        <v>14.21</v>
      </c>
      <c r="D1854">
        <v>14.72</v>
      </c>
      <c r="E1854">
        <v>14.06</v>
      </c>
      <c r="F1854">
        <v>14.71</v>
      </c>
      <c r="G1854">
        <v>134239</v>
      </c>
      <c r="H1854">
        <v>194389360</v>
      </c>
      <c r="I1854">
        <v>2.33</v>
      </c>
      <c r="J1854" t="s">
        <v>321</v>
      </c>
      <c r="K1854" t="s">
        <v>442</v>
      </c>
      <c r="L1854">
        <v>3.96</v>
      </c>
      <c r="M1854">
        <v>14.48</v>
      </c>
      <c r="N1854">
        <v>53868</v>
      </c>
      <c r="O1854">
        <v>80370</v>
      </c>
      <c r="P1854">
        <v>0.67</v>
      </c>
      <c r="Q1854">
        <v>48</v>
      </c>
      <c r="R1854">
        <v>360</v>
      </c>
      <c r="S1854" t="s">
        <v>3</v>
      </c>
      <c r="T1854">
        <v>53343.37</v>
      </c>
      <c r="U1854" t="s">
        <v>4795</v>
      </c>
      <c r="V1854" t="s">
        <v>525</v>
      </c>
      <c r="W1854">
        <v>3.95</v>
      </c>
    </row>
    <row r="1855" spans="1:23">
      <c r="A1855" t="str">
        <f>"600330"</f>
        <v>600330</v>
      </c>
      <c r="B1855" t="s">
        <v>4796</v>
      </c>
      <c r="C1855">
        <v>12.6</v>
      </c>
      <c r="D1855">
        <v>12.67</v>
      </c>
      <c r="E1855">
        <v>12.38</v>
      </c>
      <c r="F1855">
        <v>12.6</v>
      </c>
      <c r="G1855">
        <v>189676</v>
      </c>
      <c r="H1855">
        <v>237117552</v>
      </c>
      <c r="I1855">
        <v>0.71</v>
      </c>
      <c r="J1855" t="s">
        <v>62</v>
      </c>
      <c r="K1855" t="s">
        <v>229</v>
      </c>
      <c r="L1855">
        <v>0.16</v>
      </c>
      <c r="M1855">
        <v>12.5</v>
      </c>
      <c r="N1855">
        <v>97090</v>
      </c>
      <c r="O1855">
        <v>92586</v>
      </c>
      <c r="P1855">
        <v>1.05</v>
      </c>
      <c r="Q1855">
        <v>64</v>
      </c>
      <c r="R1855">
        <v>39</v>
      </c>
      <c r="S1855" t="s">
        <v>3</v>
      </c>
      <c r="T1855">
        <v>58881.83</v>
      </c>
      <c r="U1855" t="s">
        <v>4797</v>
      </c>
      <c r="V1855" t="s">
        <v>4798</v>
      </c>
      <c r="W1855">
        <v>0.15</v>
      </c>
    </row>
    <row r="1856" spans="1:23">
      <c r="A1856" t="str">
        <f>"600331"</f>
        <v>600331</v>
      </c>
      <c r="B1856" t="s">
        <v>4799</v>
      </c>
      <c r="C1856">
        <v>5.97</v>
      </c>
      <c r="D1856">
        <v>6.04</v>
      </c>
      <c r="E1856">
        <v>5.91</v>
      </c>
      <c r="F1856">
        <v>5.92</v>
      </c>
      <c r="G1856">
        <v>193493</v>
      </c>
      <c r="H1856">
        <v>115571840</v>
      </c>
      <c r="I1856">
        <v>0.85</v>
      </c>
      <c r="J1856" t="s">
        <v>165</v>
      </c>
      <c r="K1856" t="s">
        <v>225</v>
      </c>
      <c r="L1856">
        <v>-0.67</v>
      </c>
      <c r="M1856">
        <v>5.97</v>
      </c>
      <c r="N1856">
        <v>105224</v>
      </c>
      <c r="O1856">
        <v>88268</v>
      </c>
      <c r="P1856">
        <v>1.19</v>
      </c>
      <c r="Q1856">
        <v>8</v>
      </c>
      <c r="R1856">
        <v>488</v>
      </c>
      <c r="S1856" t="s">
        <v>3</v>
      </c>
      <c r="T1856">
        <v>103200</v>
      </c>
      <c r="U1856" t="s">
        <v>4800</v>
      </c>
      <c r="V1856" t="s">
        <v>4801</v>
      </c>
      <c r="W1856">
        <v>-0.68</v>
      </c>
    </row>
    <row r="1857" spans="1:23">
      <c r="A1857" t="str">
        <f>"600332"</f>
        <v>600332</v>
      </c>
      <c r="B1857" t="s">
        <v>4802</v>
      </c>
      <c r="C1857">
        <v>27.96</v>
      </c>
      <c r="D1857">
        <v>28.68</v>
      </c>
      <c r="E1857">
        <v>27.75</v>
      </c>
      <c r="F1857">
        <v>28.35</v>
      </c>
      <c r="G1857">
        <v>261805</v>
      </c>
      <c r="H1857">
        <v>740201472</v>
      </c>
      <c r="I1857">
        <v>1.0900000000000001</v>
      </c>
      <c r="J1857" t="s">
        <v>321</v>
      </c>
      <c r="K1857" t="s">
        <v>211</v>
      </c>
      <c r="L1857">
        <v>1.83</v>
      </c>
      <c r="M1857">
        <v>28.27</v>
      </c>
      <c r="N1857">
        <v>114890</v>
      </c>
      <c r="O1857">
        <v>146915</v>
      </c>
      <c r="P1857">
        <v>0.78</v>
      </c>
      <c r="Q1857">
        <v>54</v>
      </c>
      <c r="R1857">
        <v>1</v>
      </c>
      <c r="S1857" t="s">
        <v>3</v>
      </c>
      <c r="T1857">
        <v>103660.1</v>
      </c>
      <c r="U1857" t="s">
        <v>4803</v>
      </c>
      <c r="V1857" t="s">
        <v>4804</v>
      </c>
      <c r="W1857">
        <v>1.83</v>
      </c>
    </row>
    <row r="1858" spans="1:23">
      <c r="A1858" t="str">
        <f>"600333"</f>
        <v>600333</v>
      </c>
      <c r="B1858" t="s">
        <v>4805</v>
      </c>
      <c r="C1858">
        <v>7.67</v>
      </c>
      <c r="D1858">
        <v>7.75</v>
      </c>
      <c r="E1858">
        <v>7.65</v>
      </c>
      <c r="F1858">
        <v>7.74</v>
      </c>
      <c r="G1858">
        <v>94891</v>
      </c>
      <c r="H1858">
        <v>73084424</v>
      </c>
      <c r="I1858">
        <v>1.01</v>
      </c>
      <c r="J1858" t="s">
        <v>581</v>
      </c>
      <c r="K1858" t="s">
        <v>99</v>
      </c>
      <c r="L1858">
        <v>0.52</v>
      </c>
      <c r="M1858">
        <v>7.7</v>
      </c>
      <c r="N1858">
        <v>39222</v>
      </c>
      <c r="O1858">
        <v>55669</v>
      </c>
      <c r="P1858">
        <v>0.7</v>
      </c>
      <c r="Q1858">
        <v>272</v>
      </c>
      <c r="R1858">
        <v>2635</v>
      </c>
      <c r="S1858" t="s">
        <v>3</v>
      </c>
      <c r="T1858">
        <v>49601.98</v>
      </c>
      <c r="U1858" t="s">
        <v>4806</v>
      </c>
      <c r="V1858" t="s">
        <v>763</v>
      </c>
      <c r="W1858">
        <v>0.52</v>
      </c>
    </row>
    <row r="1859" spans="1:23">
      <c r="A1859" t="str">
        <f>"600335"</f>
        <v>600335</v>
      </c>
      <c r="B1859" t="s">
        <v>4807</v>
      </c>
      <c r="C1859">
        <v>17.25</v>
      </c>
      <c r="D1859">
        <v>17.399999999999999</v>
      </c>
      <c r="E1859">
        <v>17.04</v>
      </c>
      <c r="F1859">
        <v>17.309999999999999</v>
      </c>
      <c r="G1859">
        <v>105330</v>
      </c>
      <c r="H1859">
        <v>181865792</v>
      </c>
      <c r="I1859">
        <v>1.17</v>
      </c>
      <c r="J1859" t="s">
        <v>98</v>
      </c>
      <c r="K1859" t="s">
        <v>442</v>
      </c>
      <c r="L1859">
        <v>0.52</v>
      </c>
      <c r="M1859">
        <v>17.27</v>
      </c>
      <c r="N1859">
        <v>47136</v>
      </c>
      <c r="O1859">
        <v>58194</v>
      </c>
      <c r="P1859">
        <v>0.81</v>
      </c>
      <c r="Q1859">
        <v>101</v>
      </c>
      <c r="R1859">
        <v>101</v>
      </c>
      <c r="S1859" t="s">
        <v>3</v>
      </c>
      <c r="T1859">
        <v>27595.72</v>
      </c>
      <c r="U1859" t="s">
        <v>951</v>
      </c>
      <c r="V1859" t="s">
        <v>4808</v>
      </c>
      <c r="W1859">
        <v>0.52</v>
      </c>
    </row>
    <row r="1860" spans="1:23">
      <c r="A1860" t="str">
        <f>"600336"</f>
        <v>600336</v>
      </c>
      <c r="B1860" t="s">
        <v>4809</v>
      </c>
      <c r="C1860">
        <v>5.35</v>
      </c>
      <c r="D1860">
        <v>5.35</v>
      </c>
      <c r="E1860">
        <v>5.27</v>
      </c>
      <c r="F1860">
        <v>5.32</v>
      </c>
      <c r="G1860">
        <v>130686</v>
      </c>
      <c r="H1860">
        <v>69403704</v>
      </c>
      <c r="I1860">
        <v>0.9</v>
      </c>
      <c r="J1860" t="s">
        <v>47</v>
      </c>
      <c r="K1860" t="s">
        <v>250</v>
      </c>
      <c r="L1860">
        <v>-0.56000000000000005</v>
      </c>
      <c r="M1860">
        <v>5.31</v>
      </c>
      <c r="N1860">
        <v>77241</v>
      </c>
      <c r="O1860">
        <v>53445</v>
      </c>
      <c r="P1860">
        <v>1.45</v>
      </c>
      <c r="Q1860">
        <v>467</v>
      </c>
      <c r="R1860">
        <v>830</v>
      </c>
      <c r="S1860" t="s">
        <v>3</v>
      </c>
      <c r="T1860">
        <v>68007.199999999997</v>
      </c>
      <c r="U1860" t="s">
        <v>4810</v>
      </c>
      <c r="V1860" t="s">
        <v>4811</v>
      </c>
      <c r="W1860">
        <v>-0.56999999999999995</v>
      </c>
    </row>
    <row r="1861" spans="1:23">
      <c r="A1861" t="str">
        <f>"600337"</f>
        <v>600337</v>
      </c>
      <c r="B1861" t="s">
        <v>4812</v>
      </c>
      <c r="C1861">
        <v>7.1</v>
      </c>
      <c r="D1861">
        <v>7.26</v>
      </c>
      <c r="E1861">
        <v>7.01</v>
      </c>
      <c r="F1861">
        <v>7.21</v>
      </c>
      <c r="G1861">
        <v>68931</v>
      </c>
      <c r="H1861">
        <v>49326952</v>
      </c>
      <c r="I1861">
        <v>1.1000000000000001</v>
      </c>
      <c r="J1861" t="s">
        <v>1183</v>
      </c>
      <c r="K1861" t="s">
        <v>241</v>
      </c>
      <c r="L1861">
        <v>1.26</v>
      </c>
      <c r="M1861">
        <v>7.16</v>
      </c>
      <c r="N1861">
        <v>32625</v>
      </c>
      <c r="O1861">
        <v>36306</v>
      </c>
      <c r="P1861">
        <v>0.9</v>
      </c>
      <c r="Q1861">
        <v>30</v>
      </c>
      <c r="R1861">
        <v>1087</v>
      </c>
      <c r="S1861" t="s">
        <v>3</v>
      </c>
      <c r="T1861">
        <v>63833.23</v>
      </c>
      <c r="U1861" t="s">
        <v>3536</v>
      </c>
      <c r="V1861" t="s">
        <v>4813</v>
      </c>
      <c r="W1861">
        <v>1.26</v>
      </c>
    </row>
    <row r="1862" spans="1:23">
      <c r="A1862" t="str">
        <f>"600338"</f>
        <v>600338</v>
      </c>
      <c r="B1862" t="s">
        <v>4814</v>
      </c>
      <c r="C1862">
        <v>14.27</v>
      </c>
      <c r="D1862">
        <v>14.5</v>
      </c>
      <c r="E1862">
        <v>14.09</v>
      </c>
      <c r="F1862">
        <v>14.48</v>
      </c>
      <c r="G1862">
        <v>44918</v>
      </c>
      <c r="H1862">
        <v>64243712</v>
      </c>
      <c r="I1862">
        <v>0.73</v>
      </c>
      <c r="J1862" t="s">
        <v>165</v>
      </c>
      <c r="K1862" t="s">
        <v>905</v>
      </c>
      <c r="L1862">
        <v>1.54</v>
      </c>
      <c r="M1862">
        <v>14.3</v>
      </c>
      <c r="N1862">
        <v>24362</v>
      </c>
      <c r="O1862">
        <v>20556</v>
      </c>
      <c r="P1862">
        <v>1.19</v>
      </c>
      <c r="Q1862">
        <v>35</v>
      </c>
      <c r="R1862">
        <v>168</v>
      </c>
      <c r="S1862" t="s">
        <v>3</v>
      </c>
      <c r="T1862">
        <v>15833.33</v>
      </c>
      <c r="U1862" t="s">
        <v>4815</v>
      </c>
      <c r="V1862" t="s">
        <v>4815</v>
      </c>
      <c r="W1862">
        <v>1.54</v>
      </c>
    </row>
    <row r="1863" spans="1:23">
      <c r="A1863" t="str">
        <f>"600339"</f>
        <v>600339</v>
      </c>
      <c r="B1863" t="s">
        <v>4816</v>
      </c>
      <c r="C1863">
        <v>6.34</v>
      </c>
      <c r="D1863">
        <v>6.48</v>
      </c>
      <c r="E1863">
        <v>6.27</v>
      </c>
      <c r="F1863">
        <v>6.37</v>
      </c>
      <c r="G1863">
        <v>188925</v>
      </c>
      <c r="H1863">
        <v>120605392</v>
      </c>
      <c r="I1863">
        <v>0.76</v>
      </c>
      <c r="J1863" t="s">
        <v>161</v>
      </c>
      <c r="K1863" t="s">
        <v>241</v>
      </c>
      <c r="L1863">
        <v>0.16</v>
      </c>
      <c r="M1863">
        <v>6.38</v>
      </c>
      <c r="N1863">
        <v>96879</v>
      </c>
      <c r="O1863">
        <v>92046</v>
      </c>
      <c r="P1863">
        <v>1.05</v>
      </c>
      <c r="Q1863">
        <v>79</v>
      </c>
      <c r="R1863">
        <v>688</v>
      </c>
      <c r="S1863" t="s">
        <v>3</v>
      </c>
      <c r="T1863">
        <v>57815.46</v>
      </c>
      <c r="U1863" t="s">
        <v>4817</v>
      </c>
      <c r="V1863" t="s">
        <v>4817</v>
      </c>
      <c r="W1863">
        <v>0.15</v>
      </c>
    </row>
    <row r="1864" spans="1:23">
      <c r="A1864" t="str">
        <f>"600340"</f>
        <v>600340</v>
      </c>
      <c r="B1864" t="s">
        <v>4818</v>
      </c>
      <c r="C1864">
        <v>27.33</v>
      </c>
      <c r="D1864">
        <v>27.33</v>
      </c>
      <c r="E1864">
        <v>26.65</v>
      </c>
      <c r="F1864">
        <v>26.85</v>
      </c>
      <c r="G1864">
        <v>83950</v>
      </c>
      <c r="H1864">
        <v>225812032</v>
      </c>
      <c r="I1864">
        <v>0.71</v>
      </c>
      <c r="J1864" t="s">
        <v>15</v>
      </c>
      <c r="K1864" t="s">
        <v>238</v>
      </c>
      <c r="L1864">
        <v>-1.76</v>
      </c>
      <c r="M1864">
        <v>26.9</v>
      </c>
      <c r="N1864">
        <v>43778</v>
      </c>
      <c r="O1864">
        <v>40171</v>
      </c>
      <c r="P1864">
        <v>1.0900000000000001</v>
      </c>
      <c r="Q1864">
        <v>28</v>
      </c>
      <c r="R1864">
        <v>110</v>
      </c>
      <c r="S1864" t="s">
        <v>3</v>
      </c>
      <c r="T1864">
        <v>52316.87</v>
      </c>
      <c r="U1864" t="s">
        <v>4819</v>
      </c>
      <c r="V1864" t="s">
        <v>4820</v>
      </c>
      <c r="W1864">
        <v>-1.76</v>
      </c>
    </row>
    <row r="1865" spans="1:23">
      <c r="A1865" t="str">
        <f>"600343"</f>
        <v>600343</v>
      </c>
      <c r="B1865" t="s">
        <v>4821</v>
      </c>
      <c r="C1865">
        <v>14.61</v>
      </c>
      <c r="D1865">
        <v>14.85</v>
      </c>
      <c r="E1865">
        <v>14.46</v>
      </c>
      <c r="F1865">
        <v>14.57</v>
      </c>
      <c r="G1865">
        <v>347596</v>
      </c>
      <c r="H1865">
        <v>509189824</v>
      </c>
      <c r="I1865">
        <v>0.83</v>
      </c>
      <c r="J1865" t="s">
        <v>892</v>
      </c>
      <c r="K1865" t="s">
        <v>389</v>
      </c>
      <c r="L1865">
        <v>-0.27</v>
      </c>
      <c r="M1865">
        <v>14.65</v>
      </c>
      <c r="N1865">
        <v>180064</v>
      </c>
      <c r="O1865">
        <v>167532</v>
      </c>
      <c r="P1865">
        <v>1.07</v>
      </c>
      <c r="Q1865">
        <v>357</v>
      </c>
      <c r="R1865">
        <v>412</v>
      </c>
      <c r="S1865" t="s">
        <v>3</v>
      </c>
      <c r="T1865">
        <v>57536.639999999999</v>
      </c>
      <c r="U1865" t="s">
        <v>4822</v>
      </c>
      <c r="V1865" t="s">
        <v>4823</v>
      </c>
      <c r="W1865">
        <v>-0.28000000000000003</v>
      </c>
    </row>
    <row r="1866" spans="1:23">
      <c r="A1866" t="str">
        <f>"600345"</f>
        <v>600345</v>
      </c>
      <c r="B1866" t="s">
        <v>4824</v>
      </c>
      <c r="C1866">
        <v>16.45</v>
      </c>
      <c r="D1866">
        <v>17.11</v>
      </c>
      <c r="E1866">
        <v>16.45</v>
      </c>
      <c r="F1866">
        <v>16.690000000000001</v>
      </c>
      <c r="G1866">
        <v>63193</v>
      </c>
      <c r="H1866">
        <v>106108328</v>
      </c>
      <c r="I1866">
        <v>1.28</v>
      </c>
      <c r="J1866" t="s">
        <v>112</v>
      </c>
      <c r="K1866" t="s">
        <v>317</v>
      </c>
      <c r="L1866">
        <v>2.14</v>
      </c>
      <c r="M1866">
        <v>16.79</v>
      </c>
      <c r="N1866">
        <v>32439</v>
      </c>
      <c r="O1866">
        <v>30753</v>
      </c>
      <c r="P1866">
        <v>1.05</v>
      </c>
      <c r="Q1866">
        <v>3</v>
      </c>
      <c r="R1866">
        <v>187</v>
      </c>
      <c r="S1866" t="s">
        <v>3</v>
      </c>
      <c r="T1866">
        <v>19800</v>
      </c>
      <c r="U1866" t="s">
        <v>2058</v>
      </c>
      <c r="V1866" t="s">
        <v>2058</v>
      </c>
      <c r="W1866">
        <v>2.14</v>
      </c>
    </row>
    <row r="1867" spans="1:23">
      <c r="A1867" t="str">
        <f>"600346"</f>
        <v>600346</v>
      </c>
      <c r="B1867" t="s">
        <v>4825</v>
      </c>
      <c r="C1867">
        <v>9.16</v>
      </c>
      <c r="D1867">
        <v>9.6199999999999992</v>
      </c>
      <c r="E1867">
        <v>9.1300000000000008</v>
      </c>
      <c r="F1867">
        <v>9.61</v>
      </c>
      <c r="G1867">
        <v>94530</v>
      </c>
      <c r="H1867">
        <v>88934352</v>
      </c>
      <c r="I1867">
        <v>2.74</v>
      </c>
      <c r="J1867" t="s">
        <v>1082</v>
      </c>
      <c r="K1867" t="s">
        <v>162</v>
      </c>
      <c r="L1867">
        <v>4.68</v>
      </c>
      <c r="M1867">
        <v>9.41</v>
      </c>
      <c r="N1867">
        <v>30491</v>
      </c>
      <c r="O1867">
        <v>64039</v>
      </c>
      <c r="P1867">
        <v>0.48</v>
      </c>
      <c r="Q1867">
        <v>1809</v>
      </c>
      <c r="R1867">
        <v>220</v>
      </c>
      <c r="S1867" t="s">
        <v>3</v>
      </c>
      <c r="T1867">
        <v>21000</v>
      </c>
      <c r="U1867" t="s">
        <v>4826</v>
      </c>
      <c r="V1867" t="s">
        <v>4827</v>
      </c>
      <c r="W1867">
        <v>4.68</v>
      </c>
    </row>
    <row r="1868" spans="1:23">
      <c r="A1868" t="str">
        <f>"600348"</f>
        <v>600348</v>
      </c>
      <c r="B1868" t="s">
        <v>4828</v>
      </c>
      <c r="C1868">
        <v>6.98</v>
      </c>
      <c r="D1868">
        <v>7.14</v>
      </c>
      <c r="E1868">
        <v>6.84</v>
      </c>
      <c r="F1868">
        <v>7.1</v>
      </c>
      <c r="G1868">
        <v>433999</v>
      </c>
      <c r="H1868">
        <v>304666176</v>
      </c>
      <c r="I1868">
        <v>1.5</v>
      </c>
      <c r="J1868" t="s">
        <v>482</v>
      </c>
      <c r="K1868" t="s">
        <v>742</v>
      </c>
      <c r="L1868">
        <v>1.72</v>
      </c>
      <c r="M1868">
        <v>7.02</v>
      </c>
      <c r="N1868">
        <v>215784</v>
      </c>
      <c r="O1868">
        <v>218214</v>
      </c>
      <c r="P1868">
        <v>0.99</v>
      </c>
      <c r="Q1868">
        <v>632</v>
      </c>
      <c r="R1868">
        <v>548</v>
      </c>
      <c r="S1868" t="s">
        <v>3</v>
      </c>
      <c r="T1868">
        <v>240500</v>
      </c>
      <c r="U1868" t="s">
        <v>4829</v>
      </c>
      <c r="V1868" t="s">
        <v>4830</v>
      </c>
      <c r="W1868">
        <v>1.71</v>
      </c>
    </row>
    <row r="1869" spans="1:23">
      <c r="A1869" t="str">
        <f>"600350"</f>
        <v>600350</v>
      </c>
      <c r="B1869" t="s">
        <v>4831</v>
      </c>
      <c r="C1869">
        <v>3.33</v>
      </c>
      <c r="D1869">
        <v>3.35</v>
      </c>
      <c r="E1869">
        <v>3.29</v>
      </c>
      <c r="F1869">
        <v>3.33</v>
      </c>
      <c r="G1869">
        <v>51158</v>
      </c>
      <c r="H1869">
        <v>16954020</v>
      </c>
      <c r="I1869">
        <v>0.45</v>
      </c>
      <c r="J1869" t="s">
        <v>336</v>
      </c>
      <c r="K1869" t="s">
        <v>250</v>
      </c>
      <c r="L1869">
        <v>0</v>
      </c>
      <c r="M1869">
        <v>3.31</v>
      </c>
      <c r="N1869">
        <v>28853</v>
      </c>
      <c r="O1869">
        <v>22305</v>
      </c>
      <c r="P1869">
        <v>1.29</v>
      </c>
      <c r="Q1869">
        <v>7686</v>
      </c>
      <c r="R1869">
        <v>389</v>
      </c>
      <c r="S1869" t="s">
        <v>3</v>
      </c>
      <c r="T1869">
        <v>481116.59</v>
      </c>
      <c r="U1869" t="s">
        <v>4832</v>
      </c>
      <c r="V1869" t="s">
        <v>4832</v>
      </c>
      <c r="W1869">
        <v>0</v>
      </c>
    </row>
    <row r="1870" spans="1:23">
      <c r="A1870" t="str">
        <f>"600351"</f>
        <v>600351</v>
      </c>
      <c r="B1870" t="s">
        <v>4833</v>
      </c>
      <c r="C1870">
        <v>9.4600000000000009</v>
      </c>
      <c r="D1870">
        <v>9.75</v>
      </c>
      <c r="E1870">
        <v>9.34</v>
      </c>
      <c r="F1870">
        <v>9.7100000000000009</v>
      </c>
      <c r="G1870">
        <v>154558</v>
      </c>
      <c r="H1870">
        <v>147343296</v>
      </c>
      <c r="I1870">
        <v>1.32</v>
      </c>
      <c r="J1870" t="s">
        <v>321</v>
      </c>
      <c r="K1870" t="s">
        <v>742</v>
      </c>
      <c r="L1870">
        <v>2.86</v>
      </c>
      <c r="M1870">
        <v>9.5299999999999994</v>
      </c>
      <c r="N1870">
        <v>74414</v>
      </c>
      <c r="O1870">
        <v>80144</v>
      </c>
      <c r="P1870">
        <v>0.93</v>
      </c>
      <c r="Q1870">
        <v>672</v>
      </c>
      <c r="R1870">
        <v>153</v>
      </c>
      <c r="S1870" t="s">
        <v>3</v>
      </c>
      <c r="T1870">
        <v>63295.19</v>
      </c>
      <c r="U1870" t="s">
        <v>1609</v>
      </c>
      <c r="V1870" t="s">
        <v>4834</v>
      </c>
      <c r="W1870">
        <v>2.86</v>
      </c>
    </row>
    <row r="1871" spans="1:23">
      <c r="A1871" t="str">
        <f>"600352"</f>
        <v>600352</v>
      </c>
      <c r="B1871" t="s">
        <v>4835</v>
      </c>
      <c r="C1871">
        <v>14.76</v>
      </c>
      <c r="D1871">
        <v>14.88</v>
      </c>
      <c r="E1871">
        <v>14.51</v>
      </c>
      <c r="F1871">
        <v>14.83</v>
      </c>
      <c r="G1871">
        <v>641443</v>
      </c>
      <c r="H1871">
        <v>939366720</v>
      </c>
      <c r="I1871">
        <v>1.1100000000000001</v>
      </c>
      <c r="J1871" t="s">
        <v>522</v>
      </c>
      <c r="K1871" t="s">
        <v>229</v>
      </c>
      <c r="L1871">
        <v>0.82</v>
      </c>
      <c r="M1871">
        <v>14.64</v>
      </c>
      <c r="N1871">
        <v>284299</v>
      </c>
      <c r="O1871">
        <v>357143</v>
      </c>
      <c r="P1871">
        <v>0.8</v>
      </c>
      <c r="Q1871">
        <v>192</v>
      </c>
      <c r="R1871">
        <v>871</v>
      </c>
      <c r="S1871" t="s">
        <v>3</v>
      </c>
      <c r="T1871">
        <v>152786.59</v>
      </c>
      <c r="U1871" t="s">
        <v>4836</v>
      </c>
      <c r="V1871" t="s">
        <v>4837</v>
      </c>
      <c r="W1871">
        <v>0.81</v>
      </c>
    </row>
    <row r="1872" spans="1:23">
      <c r="A1872" t="str">
        <f>"600353"</f>
        <v>600353</v>
      </c>
      <c r="B1872" t="s">
        <v>4838</v>
      </c>
      <c r="C1872">
        <v>8.56</v>
      </c>
      <c r="D1872">
        <v>8.66</v>
      </c>
      <c r="E1872">
        <v>8.43</v>
      </c>
      <c r="F1872">
        <v>8.58</v>
      </c>
      <c r="G1872">
        <v>77064</v>
      </c>
      <c r="H1872">
        <v>65990040</v>
      </c>
      <c r="I1872">
        <v>0.54</v>
      </c>
      <c r="J1872" t="s">
        <v>62</v>
      </c>
      <c r="K1872" t="s">
        <v>225</v>
      </c>
      <c r="L1872">
        <v>0.7</v>
      </c>
      <c r="M1872">
        <v>8.56</v>
      </c>
      <c r="N1872">
        <v>40414</v>
      </c>
      <c r="O1872">
        <v>36650</v>
      </c>
      <c r="P1872">
        <v>1.1000000000000001</v>
      </c>
      <c r="Q1872">
        <v>98</v>
      </c>
      <c r="R1872">
        <v>35</v>
      </c>
      <c r="S1872" t="s">
        <v>3</v>
      </c>
      <c r="T1872">
        <v>27186</v>
      </c>
      <c r="U1872" t="s">
        <v>835</v>
      </c>
      <c r="V1872" t="s">
        <v>835</v>
      </c>
      <c r="W1872">
        <v>0.7</v>
      </c>
    </row>
    <row r="1873" spans="1:23">
      <c r="A1873" t="str">
        <f>"600354"</f>
        <v>600354</v>
      </c>
      <c r="B1873" t="s">
        <v>4839</v>
      </c>
      <c r="C1873">
        <v>6.86</v>
      </c>
      <c r="D1873">
        <v>6.89</v>
      </c>
      <c r="E1873">
        <v>6.75</v>
      </c>
      <c r="F1873">
        <v>6.86</v>
      </c>
      <c r="G1873">
        <v>127726</v>
      </c>
      <c r="H1873">
        <v>87053328</v>
      </c>
      <c r="I1873">
        <v>0.52</v>
      </c>
      <c r="J1873" t="s">
        <v>829</v>
      </c>
      <c r="K1873" t="s">
        <v>483</v>
      </c>
      <c r="L1873">
        <v>0.59</v>
      </c>
      <c r="M1873">
        <v>6.82</v>
      </c>
      <c r="N1873">
        <v>65287</v>
      </c>
      <c r="O1873">
        <v>62438</v>
      </c>
      <c r="P1873">
        <v>1.05</v>
      </c>
      <c r="Q1873">
        <v>1053</v>
      </c>
      <c r="R1873">
        <v>901</v>
      </c>
      <c r="S1873" t="s">
        <v>3</v>
      </c>
      <c r="T1873">
        <v>44780.21</v>
      </c>
      <c r="U1873" t="s">
        <v>1709</v>
      </c>
      <c r="V1873" t="s">
        <v>1709</v>
      </c>
      <c r="W1873">
        <v>0.57999999999999996</v>
      </c>
    </row>
    <row r="1874" spans="1:23">
      <c r="A1874" t="str">
        <f>"600355"</f>
        <v>600355</v>
      </c>
      <c r="B1874" t="s">
        <v>4840</v>
      </c>
      <c r="C1874">
        <v>9.1999999999999993</v>
      </c>
      <c r="D1874">
        <v>9.3800000000000008</v>
      </c>
      <c r="E1874">
        <v>9.0500000000000007</v>
      </c>
      <c r="F1874">
        <v>9.15</v>
      </c>
      <c r="G1874">
        <v>86764</v>
      </c>
      <c r="H1874">
        <v>79598032</v>
      </c>
      <c r="I1874">
        <v>1.05</v>
      </c>
      <c r="J1874" t="s">
        <v>62</v>
      </c>
      <c r="K1874" t="s">
        <v>317</v>
      </c>
      <c r="L1874">
        <v>-1.08</v>
      </c>
      <c r="M1874">
        <v>9.17</v>
      </c>
      <c r="N1874">
        <v>56469</v>
      </c>
      <c r="O1874">
        <v>30294</v>
      </c>
      <c r="P1874">
        <v>1.86</v>
      </c>
      <c r="Q1874">
        <v>37</v>
      </c>
      <c r="R1874">
        <v>203</v>
      </c>
      <c r="S1874" t="s">
        <v>3</v>
      </c>
      <c r="T1874">
        <v>24604.46</v>
      </c>
      <c r="U1874" t="s">
        <v>4841</v>
      </c>
      <c r="V1874" t="s">
        <v>4841</v>
      </c>
      <c r="W1874">
        <v>-1.0900000000000001</v>
      </c>
    </row>
    <row r="1875" spans="1:23">
      <c r="A1875" t="str">
        <f>"600356"</f>
        <v>600356</v>
      </c>
      <c r="B1875" t="s">
        <v>4842</v>
      </c>
      <c r="C1875">
        <v>7.1</v>
      </c>
      <c r="D1875">
        <v>7.18</v>
      </c>
      <c r="E1875">
        <v>7.05</v>
      </c>
      <c r="F1875">
        <v>7.17</v>
      </c>
      <c r="G1875">
        <v>30569</v>
      </c>
      <c r="H1875">
        <v>21765986</v>
      </c>
      <c r="I1875">
        <v>0.72</v>
      </c>
      <c r="J1875" t="s">
        <v>343</v>
      </c>
      <c r="K1875" t="s">
        <v>565</v>
      </c>
      <c r="L1875">
        <v>1.1299999999999999</v>
      </c>
      <c r="M1875">
        <v>7.12</v>
      </c>
      <c r="N1875">
        <v>14225</v>
      </c>
      <c r="O1875">
        <v>16344</v>
      </c>
      <c r="P1875">
        <v>0.87</v>
      </c>
      <c r="Q1875">
        <v>25</v>
      </c>
      <c r="R1875">
        <v>83</v>
      </c>
      <c r="S1875" t="s">
        <v>3</v>
      </c>
      <c r="T1875">
        <v>25233.03</v>
      </c>
      <c r="U1875" t="s">
        <v>713</v>
      </c>
      <c r="V1875" t="s">
        <v>713</v>
      </c>
      <c r="W1875">
        <v>1.1200000000000001</v>
      </c>
    </row>
    <row r="1876" spans="1:23">
      <c r="A1876" t="str">
        <f>"600358"</f>
        <v>600358</v>
      </c>
      <c r="B1876" t="s">
        <v>4843</v>
      </c>
      <c r="C1876">
        <v>6.43</v>
      </c>
      <c r="D1876">
        <v>6.59</v>
      </c>
      <c r="E1876">
        <v>6.42</v>
      </c>
      <c r="F1876">
        <v>6.56</v>
      </c>
      <c r="G1876">
        <v>81596</v>
      </c>
      <c r="H1876">
        <v>53185220</v>
      </c>
      <c r="I1876">
        <v>0.88</v>
      </c>
      <c r="J1876" t="s">
        <v>625</v>
      </c>
      <c r="K1876" t="s">
        <v>244</v>
      </c>
      <c r="L1876">
        <v>0.77</v>
      </c>
      <c r="M1876">
        <v>6.52</v>
      </c>
      <c r="N1876">
        <v>39040</v>
      </c>
      <c r="O1876">
        <v>42555</v>
      </c>
      <c r="P1876">
        <v>0.92</v>
      </c>
      <c r="Q1876">
        <v>116</v>
      </c>
      <c r="R1876">
        <v>62</v>
      </c>
      <c r="S1876" t="s">
        <v>3</v>
      </c>
      <c r="T1876">
        <v>43200</v>
      </c>
      <c r="U1876" t="s">
        <v>2213</v>
      </c>
      <c r="V1876" t="s">
        <v>2213</v>
      </c>
      <c r="W1876">
        <v>0.76</v>
      </c>
    </row>
    <row r="1877" spans="1:23">
      <c r="A1877" t="str">
        <f>"600359"</f>
        <v>600359</v>
      </c>
      <c r="B1877" t="s">
        <v>4844</v>
      </c>
      <c r="C1877">
        <v>8.68</v>
      </c>
      <c r="D1877">
        <v>8.74</v>
      </c>
      <c r="E1877">
        <v>8.57</v>
      </c>
      <c r="F1877">
        <v>8.7100000000000009</v>
      </c>
      <c r="G1877">
        <v>46776</v>
      </c>
      <c r="H1877">
        <v>40504560</v>
      </c>
      <c r="I1877">
        <v>0.9</v>
      </c>
      <c r="J1877" t="s">
        <v>169</v>
      </c>
      <c r="K1877" t="s">
        <v>241</v>
      </c>
      <c r="L1877">
        <v>0.46</v>
      </c>
      <c r="M1877">
        <v>8.66</v>
      </c>
      <c r="N1877">
        <v>19660</v>
      </c>
      <c r="O1877">
        <v>27116</v>
      </c>
      <c r="P1877">
        <v>0.73</v>
      </c>
      <c r="Q1877">
        <v>315</v>
      </c>
      <c r="R1877">
        <v>759</v>
      </c>
      <c r="S1877" t="s">
        <v>3</v>
      </c>
      <c r="T1877">
        <v>32100</v>
      </c>
      <c r="U1877" t="s">
        <v>1611</v>
      </c>
      <c r="V1877" t="s">
        <v>1611</v>
      </c>
      <c r="W1877">
        <v>0.46</v>
      </c>
    </row>
    <row r="1878" spans="1:23">
      <c r="A1878" t="str">
        <f>"600360"</f>
        <v>600360</v>
      </c>
      <c r="B1878" t="s">
        <v>4845</v>
      </c>
      <c r="C1878" t="s">
        <v>3</v>
      </c>
      <c r="D1878" t="s">
        <v>3</v>
      </c>
      <c r="E1878" t="s">
        <v>3</v>
      </c>
      <c r="F1878">
        <v>5.69</v>
      </c>
      <c r="G1878">
        <v>0</v>
      </c>
      <c r="H1878">
        <v>0</v>
      </c>
      <c r="I1878">
        <v>0</v>
      </c>
      <c r="J1878" t="s">
        <v>1581</v>
      </c>
      <c r="K1878" t="s">
        <v>99</v>
      </c>
      <c r="L1878">
        <v>0</v>
      </c>
      <c r="M1878">
        <v>5.69</v>
      </c>
      <c r="N1878">
        <v>0</v>
      </c>
      <c r="O1878">
        <v>0</v>
      </c>
      <c r="P1878" t="s">
        <v>3</v>
      </c>
      <c r="Q1878">
        <v>0</v>
      </c>
      <c r="R1878">
        <v>0</v>
      </c>
      <c r="S1878" t="s">
        <v>3</v>
      </c>
      <c r="T1878">
        <v>73808</v>
      </c>
      <c r="U1878" t="s">
        <v>4846</v>
      </c>
      <c r="V1878" t="s">
        <v>4846</v>
      </c>
      <c r="W1878">
        <v>0</v>
      </c>
    </row>
    <row r="1879" spans="1:23">
      <c r="A1879" t="str">
        <f>"600361"</f>
        <v>600361</v>
      </c>
      <c r="B1879" t="s">
        <v>4847</v>
      </c>
      <c r="C1879">
        <v>5.1100000000000003</v>
      </c>
      <c r="D1879">
        <v>5.16</v>
      </c>
      <c r="E1879">
        <v>5.09</v>
      </c>
      <c r="F1879">
        <v>5.15</v>
      </c>
      <c r="G1879">
        <v>54201</v>
      </c>
      <c r="H1879">
        <v>27826096</v>
      </c>
      <c r="I1879">
        <v>0.85</v>
      </c>
      <c r="J1879" t="s">
        <v>920</v>
      </c>
      <c r="K1879" t="s">
        <v>34</v>
      </c>
      <c r="L1879">
        <v>0.59</v>
      </c>
      <c r="M1879">
        <v>5.13</v>
      </c>
      <c r="N1879">
        <v>27217</v>
      </c>
      <c r="O1879">
        <v>26983</v>
      </c>
      <c r="P1879">
        <v>1.01</v>
      </c>
      <c r="Q1879">
        <v>66</v>
      </c>
      <c r="R1879">
        <v>2270</v>
      </c>
      <c r="S1879" t="s">
        <v>3</v>
      </c>
      <c r="T1879">
        <v>66580.78</v>
      </c>
      <c r="U1879" t="s">
        <v>1843</v>
      </c>
      <c r="V1879" t="s">
        <v>1843</v>
      </c>
      <c r="W1879">
        <v>0.57999999999999996</v>
      </c>
    </row>
    <row r="1880" spans="1:23">
      <c r="A1880" t="str">
        <f>"600362"</f>
        <v>600362</v>
      </c>
      <c r="B1880" t="s">
        <v>4848</v>
      </c>
      <c r="C1880">
        <v>13.97</v>
      </c>
      <c r="D1880">
        <v>14.08</v>
      </c>
      <c r="E1880">
        <v>13.85</v>
      </c>
      <c r="F1880">
        <v>13.94</v>
      </c>
      <c r="G1880">
        <v>218399</v>
      </c>
      <c r="H1880">
        <v>304465472</v>
      </c>
      <c r="I1880">
        <v>0.86</v>
      </c>
      <c r="J1880" t="s">
        <v>670</v>
      </c>
      <c r="K1880" t="s">
        <v>265</v>
      </c>
      <c r="L1880">
        <v>-0.92</v>
      </c>
      <c r="M1880">
        <v>13.94</v>
      </c>
      <c r="N1880">
        <v>116241</v>
      </c>
      <c r="O1880">
        <v>102158</v>
      </c>
      <c r="P1880">
        <v>1.1399999999999999</v>
      </c>
      <c r="Q1880">
        <v>973</v>
      </c>
      <c r="R1880">
        <v>521</v>
      </c>
      <c r="S1880" t="s">
        <v>3</v>
      </c>
      <c r="T1880">
        <v>207524.73</v>
      </c>
      <c r="U1880" t="s">
        <v>4849</v>
      </c>
      <c r="V1880" t="s">
        <v>4849</v>
      </c>
      <c r="W1880">
        <v>-0.93</v>
      </c>
    </row>
    <row r="1881" spans="1:23">
      <c r="A1881" t="str">
        <f>"600363"</f>
        <v>600363</v>
      </c>
      <c r="B1881" t="s">
        <v>4850</v>
      </c>
      <c r="C1881">
        <v>10.56</v>
      </c>
      <c r="D1881">
        <v>10.56</v>
      </c>
      <c r="E1881">
        <v>10.3</v>
      </c>
      <c r="F1881">
        <v>10.42</v>
      </c>
      <c r="G1881">
        <v>160134</v>
      </c>
      <c r="H1881">
        <v>166738912</v>
      </c>
      <c r="I1881">
        <v>0.53</v>
      </c>
      <c r="J1881" t="s">
        <v>62</v>
      </c>
      <c r="K1881" t="s">
        <v>265</v>
      </c>
      <c r="L1881">
        <v>-0.86</v>
      </c>
      <c r="M1881">
        <v>10.41</v>
      </c>
      <c r="N1881">
        <v>89033</v>
      </c>
      <c r="O1881">
        <v>71100</v>
      </c>
      <c r="P1881">
        <v>1.25</v>
      </c>
      <c r="Q1881">
        <v>55</v>
      </c>
      <c r="R1881">
        <v>55</v>
      </c>
      <c r="S1881" t="s">
        <v>3</v>
      </c>
      <c r="T1881">
        <v>42280.67</v>
      </c>
      <c r="U1881" t="s">
        <v>4851</v>
      </c>
      <c r="V1881" t="s">
        <v>4852</v>
      </c>
      <c r="W1881">
        <v>-0.86</v>
      </c>
    </row>
    <row r="1882" spans="1:23">
      <c r="A1882" t="str">
        <f>"600365"</f>
        <v>600365</v>
      </c>
      <c r="B1882" t="s">
        <v>4853</v>
      </c>
      <c r="C1882">
        <v>10</v>
      </c>
      <c r="D1882">
        <v>10.47</v>
      </c>
      <c r="E1882">
        <v>9.9499999999999993</v>
      </c>
      <c r="F1882">
        <v>10.31</v>
      </c>
      <c r="G1882">
        <v>32320</v>
      </c>
      <c r="H1882">
        <v>32990492</v>
      </c>
      <c r="I1882">
        <v>1.04</v>
      </c>
      <c r="J1882" t="s">
        <v>495</v>
      </c>
      <c r="K1882" t="s">
        <v>99</v>
      </c>
      <c r="L1882">
        <v>3.41</v>
      </c>
      <c r="M1882">
        <v>10.210000000000001</v>
      </c>
      <c r="N1882">
        <v>12632</v>
      </c>
      <c r="O1882">
        <v>19687</v>
      </c>
      <c r="P1882">
        <v>0.64</v>
      </c>
      <c r="Q1882">
        <v>21</v>
      </c>
      <c r="R1882">
        <v>0</v>
      </c>
      <c r="S1882" t="s">
        <v>3</v>
      </c>
      <c r="T1882">
        <v>14000</v>
      </c>
      <c r="U1882" t="s">
        <v>3418</v>
      </c>
      <c r="V1882" t="s">
        <v>3529</v>
      </c>
      <c r="W1882">
        <v>3.41</v>
      </c>
    </row>
    <row r="1883" spans="1:23">
      <c r="A1883" t="str">
        <f>"600366"</f>
        <v>600366</v>
      </c>
      <c r="B1883" t="s">
        <v>4854</v>
      </c>
      <c r="C1883">
        <v>17.809999999999999</v>
      </c>
      <c r="D1883">
        <v>18.02</v>
      </c>
      <c r="E1883">
        <v>17.72</v>
      </c>
      <c r="F1883">
        <v>17.95</v>
      </c>
      <c r="G1883">
        <v>120852</v>
      </c>
      <c r="H1883">
        <v>216494736</v>
      </c>
      <c r="I1883">
        <v>1.24</v>
      </c>
      <c r="J1883" t="s">
        <v>617</v>
      </c>
      <c r="K1883" t="s">
        <v>229</v>
      </c>
      <c r="L1883">
        <v>1.3</v>
      </c>
      <c r="M1883">
        <v>17.91</v>
      </c>
      <c r="N1883">
        <v>52125</v>
      </c>
      <c r="O1883">
        <v>68727</v>
      </c>
      <c r="P1883">
        <v>0.76</v>
      </c>
      <c r="Q1883">
        <v>892</v>
      </c>
      <c r="R1883">
        <v>1501</v>
      </c>
      <c r="S1883" t="s">
        <v>3</v>
      </c>
      <c r="T1883">
        <v>51449.760000000002</v>
      </c>
      <c r="U1883" t="s">
        <v>4855</v>
      </c>
      <c r="V1883" t="s">
        <v>4855</v>
      </c>
      <c r="W1883">
        <v>1.29</v>
      </c>
    </row>
    <row r="1884" spans="1:23">
      <c r="A1884" t="str">
        <f>"600367"</f>
        <v>600367</v>
      </c>
      <c r="B1884" t="s">
        <v>4856</v>
      </c>
      <c r="C1884">
        <v>10.9</v>
      </c>
      <c r="D1884">
        <v>11.16</v>
      </c>
      <c r="E1884">
        <v>10.85</v>
      </c>
      <c r="F1884">
        <v>11.15</v>
      </c>
      <c r="G1884">
        <v>105610</v>
      </c>
      <c r="H1884">
        <v>116380272</v>
      </c>
      <c r="I1884">
        <v>1.3</v>
      </c>
      <c r="J1884" t="s">
        <v>376</v>
      </c>
      <c r="K1884" t="s">
        <v>452</v>
      </c>
      <c r="L1884">
        <v>1.64</v>
      </c>
      <c r="M1884">
        <v>11.02</v>
      </c>
      <c r="N1884">
        <v>49181</v>
      </c>
      <c r="O1884">
        <v>56429</v>
      </c>
      <c r="P1884">
        <v>0.87</v>
      </c>
      <c r="Q1884">
        <v>908</v>
      </c>
      <c r="R1884">
        <v>472</v>
      </c>
      <c r="S1884" t="s">
        <v>3</v>
      </c>
      <c r="T1884">
        <v>29120</v>
      </c>
      <c r="U1884" t="s">
        <v>3655</v>
      </c>
      <c r="V1884" t="s">
        <v>3655</v>
      </c>
      <c r="W1884">
        <v>1.64</v>
      </c>
    </row>
    <row r="1885" spans="1:23">
      <c r="A1885" t="str">
        <f>"600368"</f>
        <v>600368</v>
      </c>
      <c r="B1885" t="s">
        <v>4857</v>
      </c>
      <c r="C1885">
        <v>4.7699999999999996</v>
      </c>
      <c r="D1885">
        <v>4.93</v>
      </c>
      <c r="E1885">
        <v>4.71</v>
      </c>
      <c r="F1885">
        <v>4.84</v>
      </c>
      <c r="G1885">
        <v>209013</v>
      </c>
      <c r="H1885">
        <v>100282168</v>
      </c>
      <c r="I1885">
        <v>1.67</v>
      </c>
      <c r="J1885" t="s">
        <v>336</v>
      </c>
      <c r="K1885" t="s">
        <v>417</v>
      </c>
      <c r="L1885">
        <v>1.04</v>
      </c>
      <c r="M1885">
        <v>4.8</v>
      </c>
      <c r="N1885">
        <v>105368</v>
      </c>
      <c r="O1885">
        <v>103644</v>
      </c>
      <c r="P1885">
        <v>1.02</v>
      </c>
      <c r="Q1885">
        <v>286</v>
      </c>
      <c r="R1885">
        <v>665</v>
      </c>
      <c r="S1885" t="s">
        <v>3</v>
      </c>
      <c r="T1885">
        <v>83380.149999999994</v>
      </c>
      <c r="U1885" t="s">
        <v>4858</v>
      </c>
      <c r="V1885" t="s">
        <v>4858</v>
      </c>
      <c r="W1885">
        <v>1.04</v>
      </c>
    </row>
    <row r="1886" spans="1:23">
      <c r="A1886" t="str">
        <f>"600369"</f>
        <v>600369</v>
      </c>
      <c r="B1886" t="s">
        <v>4859</v>
      </c>
      <c r="C1886">
        <v>10.41</v>
      </c>
      <c r="D1886">
        <v>10.44</v>
      </c>
      <c r="E1886">
        <v>10.199999999999999</v>
      </c>
      <c r="F1886">
        <v>10.23</v>
      </c>
      <c r="G1886">
        <v>165081</v>
      </c>
      <c r="H1886">
        <v>170168160</v>
      </c>
      <c r="I1886">
        <v>0.83</v>
      </c>
      <c r="J1886" t="s">
        <v>512</v>
      </c>
      <c r="K1886" t="s">
        <v>386</v>
      </c>
      <c r="L1886">
        <v>-0.97</v>
      </c>
      <c r="M1886">
        <v>10.31</v>
      </c>
      <c r="N1886">
        <v>92675</v>
      </c>
      <c r="O1886">
        <v>72406</v>
      </c>
      <c r="P1886">
        <v>1.28</v>
      </c>
      <c r="Q1886">
        <v>429</v>
      </c>
      <c r="R1886">
        <v>363</v>
      </c>
      <c r="S1886" t="s">
        <v>3</v>
      </c>
      <c r="T1886">
        <v>232255.45</v>
      </c>
      <c r="U1886" t="s">
        <v>4860</v>
      </c>
      <c r="V1886" t="s">
        <v>4861</v>
      </c>
      <c r="W1886">
        <v>-0.97</v>
      </c>
    </row>
    <row r="1887" spans="1:23">
      <c r="A1887" t="str">
        <f>"600370"</f>
        <v>600370</v>
      </c>
      <c r="B1887" t="s">
        <v>4862</v>
      </c>
      <c r="C1887">
        <v>7.81</v>
      </c>
      <c r="D1887">
        <v>8.32</v>
      </c>
      <c r="E1887">
        <v>7.8</v>
      </c>
      <c r="F1887">
        <v>8.26</v>
      </c>
      <c r="G1887">
        <v>62149</v>
      </c>
      <c r="H1887">
        <v>50599392</v>
      </c>
      <c r="I1887">
        <v>2.1800000000000002</v>
      </c>
      <c r="J1887" t="s">
        <v>55</v>
      </c>
      <c r="K1887" t="s">
        <v>244</v>
      </c>
      <c r="L1887">
        <v>5.09</v>
      </c>
      <c r="M1887">
        <v>8.14</v>
      </c>
      <c r="N1887">
        <v>23501</v>
      </c>
      <c r="O1887">
        <v>38648</v>
      </c>
      <c r="P1887">
        <v>0.61</v>
      </c>
      <c r="Q1887">
        <v>11</v>
      </c>
      <c r="R1887">
        <v>332</v>
      </c>
      <c r="S1887" t="s">
        <v>3</v>
      </c>
      <c r="T1887">
        <v>31889.759999999998</v>
      </c>
      <c r="U1887" t="s">
        <v>4863</v>
      </c>
      <c r="V1887" t="s">
        <v>4863</v>
      </c>
      <c r="W1887">
        <v>5.08</v>
      </c>
    </row>
    <row r="1888" spans="1:23">
      <c r="A1888" t="str">
        <f>"600371"</f>
        <v>600371</v>
      </c>
      <c r="B1888" t="s">
        <v>4864</v>
      </c>
      <c r="C1888">
        <v>12.1</v>
      </c>
      <c r="D1888">
        <v>12.12</v>
      </c>
      <c r="E1888">
        <v>11.84</v>
      </c>
      <c r="F1888">
        <v>11.99</v>
      </c>
      <c r="G1888">
        <v>58859</v>
      </c>
      <c r="H1888">
        <v>70351584</v>
      </c>
      <c r="I1888">
        <v>0.86</v>
      </c>
      <c r="J1888" t="s">
        <v>829</v>
      </c>
      <c r="K1888" t="s">
        <v>565</v>
      </c>
      <c r="L1888">
        <v>-0.75</v>
      </c>
      <c r="M1888">
        <v>11.95</v>
      </c>
      <c r="N1888">
        <v>33261</v>
      </c>
      <c r="O1888">
        <v>25597</v>
      </c>
      <c r="P1888">
        <v>1.3</v>
      </c>
      <c r="Q1888">
        <v>25</v>
      </c>
      <c r="R1888">
        <v>228</v>
      </c>
      <c r="S1888" t="s">
        <v>3</v>
      </c>
      <c r="T1888">
        <v>20460</v>
      </c>
      <c r="U1888" t="s">
        <v>1491</v>
      </c>
      <c r="V1888" t="s">
        <v>1491</v>
      </c>
      <c r="W1888">
        <v>-0.75</v>
      </c>
    </row>
    <row r="1889" spans="1:23">
      <c r="A1889" t="str">
        <f>"600372"</f>
        <v>600372</v>
      </c>
      <c r="B1889" t="s">
        <v>4865</v>
      </c>
      <c r="C1889">
        <v>26.03</v>
      </c>
      <c r="D1889">
        <v>26.53</v>
      </c>
      <c r="E1889">
        <v>25.81</v>
      </c>
      <c r="F1889">
        <v>26.2</v>
      </c>
      <c r="G1889">
        <v>158655</v>
      </c>
      <c r="H1889">
        <v>415555040</v>
      </c>
      <c r="I1889">
        <v>0.45</v>
      </c>
      <c r="J1889" t="s">
        <v>892</v>
      </c>
      <c r="K1889" t="s">
        <v>265</v>
      </c>
      <c r="L1889">
        <v>0.77</v>
      </c>
      <c r="M1889">
        <v>26.19</v>
      </c>
      <c r="N1889">
        <v>77547</v>
      </c>
      <c r="O1889">
        <v>81107</v>
      </c>
      <c r="P1889">
        <v>0.96</v>
      </c>
      <c r="Q1889">
        <v>23</v>
      </c>
      <c r="R1889">
        <v>193</v>
      </c>
      <c r="S1889" t="s">
        <v>3</v>
      </c>
      <c r="T1889">
        <v>175916.3</v>
      </c>
      <c r="U1889" t="s">
        <v>4866</v>
      </c>
      <c r="V1889" t="s">
        <v>4866</v>
      </c>
      <c r="W1889">
        <v>0.76</v>
      </c>
    </row>
    <row r="1890" spans="1:23">
      <c r="A1890" t="str">
        <f>"600373"</f>
        <v>600373</v>
      </c>
      <c r="B1890" t="s">
        <v>4867</v>
      </c>
      <c r="C1890">
        <v>16.149999999999999</v>
      </c>
      <c r="D1890">
        <v>16.149999999999999</v>
      </c>
      <c r="E1890">
        <v>15.62</v>
      </c>
      <c r="F1890">
        <v>15.94</v>
      </c>
      <c r="G1890">
        <v>159469</v>
      </c>
      <c r="H1890">
        <v>253225824</v>
      </c>
      <c r="I1890">
        <v>0.76</v>
      </c>
      <c r="J1890" t="s">
        <v>360</v>
      </c>
      <c r="K1890" t="s">
        <v>265</v>
      </c>
      <c r="L1890">
        <v>-1.24</v>
      </c>
      <c r="M1890">
        <v>15.88</v>
      </c>
      <c r="N1890">
        <v>90680</v>
      </c>
      <c r="O1890">
        <v>68788</v>
      </c>
      <c r="P1890">
        <v>1.32</v>
      </c>
      <c r="Q1890">
        <v>118</v>
      </c>
      <c r="R1890">
        <v>63</v>
      </c>
      <c r="S1890" t="s">
        <v>3</v>
      </c>
      <c r="T1890">
        <v>118568.14</v>
      </c>
      <c r="U1890" t="s">
        <v>4868</v>
      </c>
      <c r="V1890" t="s">
        <v>4868</v>
      </c>
      <c r="W1890">
        <v>-1.24</v>
      </c>
    </row>
    <row r="1891" spans="1:23">
      <c r="A1891" t="str">
        <f>"600375"</f>
        <v>600375</v>
      </c>
      <c r="B1891" t="s">
        <v>4869</v>
      </c>
      <c r="C1891">
        <v>11.51</v>
      </c>
      <c r="D1891">
        <v>11.74</v>
      </c>
      <c r="E1891">
        <v>11.5</v>
      </c>
      <c r="F1891">
        <v>11.65</v>
      </c>
      <c r="G1891">
        <v>170835</v>
      </c>
      <c r="H1891">
        <v>198484912</v>
      </c>
      <c r="I1891">
        <v>0.84</v>
      </c>
      <c r="J1891" t="s">
        <v>476</v>
      </c>
      <c r="K1891" t="s">
        <v>220</v>
      </c>
      <c r="L1891">
        <v>1.04</v>
      </c>
      <c r="M1891">
        <v>11.62</v>
      </c>
      <c r="N1891">
        <v>80587</v>
      </c>
      <c r="O1891">
        <v>90247</v>
      </c>
      <c r="P1891">
        <v>0.89</v>
      </c>
      <c r="Q1891">
        <v>347</v>
      </c>
      <c r="R1891">
        <v>30</v>
      </c>
      <c r="S1891" t="s">
        <v>3</v>
      </c>
      <c r="T1891">
        <v>49788.89</v>
      </c>
      <c r="U1891" t="s">
        <v>4870</v>
      </c>
      <c r="V1891" t="s">
        <v>4871</v>
      </c>
      <c r="W1891">
        <v>1.04</v>
      </c>
    </row>
    <row r="1892" spans="1:23">
      <c r="A1892" t="str">
        <f>"600376"</f>
        <v>600376</v>
      </c>
      <c r="B1892" t="s">
        <v>4872</v>
      </c>
      <c r="C1892">
        <v>5.33</v>
      </c>
      <c r="D1892">
        <v>5.34</v>
      </c>
      <c r="E1892">
        <v>5.21</v>
      </c>
      <c r="F1892">
        <v>5.24</v>
      </c>
      <c r="G1892">
        <v>266457</v>
      </c>
      <c r="H1892">
        <v>140083360</v>
      </c>
      <c r="I1892">
        <v>1.1399999999999999</v>
      </c>
      <c r="J1892" t="s">
        <v>15</v>
      </c>
      <c r="K1892" t="s">
        <v>34</v>
      </c>
      <c r="L1892">
        <v>-1.5</v>
      </c>
      <c r="M1892">
        <v>5.26</v>
      </c>
      <c r="N1892">
        <v>177164</v>
      </c>
      <c r="O1892">
        <v>89292</v>
      </c>
      <c r="P1892">
        <v>1.98</v>
      </c>
      <c r="Q1892">
        <v>2789</v>
      </c>
      <c r="R1892">
        <v>12</v>
      </c>
      <c r="S1892" t="s">
        <v>3</v>
      </c>
      <c r="T1892">
        <v>224201.25</v>
      </c>
      <c r="U1892" t="s">
        <v>4873</v>
      </c>
      <c r="V1892" t="s">
        <v>4873</v>
      </c>
      <c r="W1892">
        <v>-1.51</v>
      </c>
    </row>
    <row r="1893" spans="1:23">
      <c r="A1893" t="str">
        <f>"600377"</f>
        <v>600377</v>
      </c>
      <c r="B1893" t="s">
        <v>4874</v>
      </c>
      <c r="C1893">
        <v>6.29</v>
      </c>
      <c r="D1893">
        <v>6.31</v>
      </c>
      <c r="E1893">
        <v>6.23</v>
      </c>
      <c r="F1893">
        <v>6.26</v>
      </c>
      <c r="G1893">
        <v>49495</v>
      </c>
      <c r="H1893">
        <v>30948116</v>
      </c>
      <c r="I1893">
        <v>0.56000000000000005</v>
      </c>
      <c r="J1893" t="s">
        <v>336</v>
      </c>
      <c r="K1893" t="s">
        <v>244</v>
      </c>
      <c r="L1893">
        <v>-0.16</v>
      </c>
      <c r="M1893">
        <v>6.25</v>
      </c>
      <c r="N1893">
        <v>24120</v>
      </c>
      <c r="O1893">
        <v>25374</v>
      </c>
      <c r="P1893">
        <v>0.95</v>
      </c>
      <c r="Q1893">
        <v>380</v>
      </c>
      <c r="R1893">
        <v>754</v>
      </c>
      <c r="S1893" t="s">
        <v>3</v>
      </c>
      <c r="T1893">
        <v>379275.53</v>
      </c>
      <c r="U1893" t="s">
        <v>4875</v>
      </c>
      <c r="V1893" t="s">
        <v>4876</v>
      </c>
      <c r="W1893">
        <v>-0.16</v>
      </c>
    </row>
    <row r="1894" spans="1:23">
      <c r="A1894" t="str">
        <f>"600378"</f>
        <v>600378</v>
      </c>
      <c r="B1894" t="s">
        <v>4877</v>
      </c>
      <c r="C1894">
        <v>13.92</v>
      </c>
      <c r="D1894">
        <v>14.18</v>
      </c>
      <c r="E1894">
        <v>13.86</v>
      </c>
      <c r="F1894">
        <v>14.16</v>
      </c>
      <c r="G1894">
        <v>26313</v>
      </c>
      <c r="H1894">
        <v>36842268</v>
      </c>
      <c r="I1894">
        <v>1.03</v>
      </c>
      <c r="J1894" t="s">
        <v>376</v>
      </c>
      <c r="K1894" t="s">
        <v>225</v>
      </c>
      <c r="L1894">
        <v>1.36</v>
      </c>
      <c r="M1894">
        <v>14</v>
      </c>
      <c r="N1894">
        <v>9625</v>
      </c>
      <c r="O1894">
        <v>16688</v>
      </c>
      <c r="P1894">
        <v>0.57999999999999996</v>
      </c>
      <c r="Q1894">
        <v>14</v>
      </c>
      <c r="R1894">
        <v>37</v>
      </c>
      <c r="S1894" t="s">
        <v>3</v>
      </c>
      <c r="T1894">
        <v>29719.33</v>
      </c>
      <c r="U1894" t="s">
        <v>4878</v>
      </c>
      <c r="V1894" t="s">
        <v>4878</v>
      </c>
      <c r="W1894">
        <v>1.36</v>
      </c>
    </row>
    <row r="1895" spans="1:23">
      <c r="A1895" t="str">
        <f>"600379"</f>
        <v>600379</v>
      </c>
      <c r="B1895" t="s">
        <v>4879</v>
      </c>
      <c r="C1895" t="s">
        <v>3</v>
      </c>
      <c r="D1895" t="s">
        <v>3</v>
      </c>
      <c r="E1895" t="s">
        <v>3</v>
      </c>
      <c r="F1895">
        <v>9.51</v>
      </c>
      <c r="G1895">
        <v>0</v>
      </c>
      <c r="H1895">
        <v>0</v>
      </c>
      <c r="I1895">
        <v>0</v>
      </c>
      <c r="J1895" t="s">
        <v>145</v>
      </c>
      <c r="K1895" t="s">
        <v>389</v>
      </c>
      <c r="L1895">
        <v>0</v>
      </c>
      <c r="M1895">
        <v>9.51</v>
      </c>
      <c r="N1895">
        <v>0</v>
      </c>
      <c r="O1895">
        <v>0</v>
      </c>
      <c r="P1895" t="s">
        <v>3</v>
      </c>
      <c r="Q1895">
        <v>0</v>
      </c>
      <c r="R1895">
        <v>0</v>
      </c>
      <c r="S1895" t="s">
        <v>3</v>
      </c>
      <c r="T1895">
        <v>23585.83</v>
      </c>
      <c r="U1895" t="s">
        <v>3357</v>
      </c>
      <c r="V1895" t="s">
        <v>3357</v>
      </c>
      <c r="W1895">
        <v>0</v>
      </c>
    </row>
    <row r="1896" spans="1:23">
      <c r="A1896" t="str">
        <f>"600380"</f>
        <v>600380</v>
      </c>
      <c r="B1896" t="s">
        <v>4880</v>
      </c>
      <c r="C1896">
        <v>5.74</v>
      </c>
      <c r="D1896">
        <v>6.03</v>
      </c>
      <c r="E1896">
        <v>5.68</v>
      </c>
      <c r="F1896">
        <v>5.94</v>
      </c>
      <c r="G1896">
        <v>323516</v>
      </c>
      <c r="H1896">
        <v>190321776</v>
      </c>
      <c r="I1896">
        <v>2.82</v>
      </c>
      <c r="J1896" t="s">
        <v>219</v>
      </c>
      <c r="K1896" t="s">
        <v>2</v>
      </c>
      <c r="L1896">
        <v>3.85</v>
      </c>
      <c r="M1896">
        <v>5.88</v>
      </c>
      <c r="N1896">
        <v>166016</v>
      </c>
      <c r="O1896">
        <v>157499</v>
      </c>
      <c r="P1896">
        <v>1.05</v>
      </c>
      <c r="Q1896">
        <v>223</v>
      </c>
      <c r="R1896">
        <v>3618</v>
      </c>
      <c r="S1896" t="s">
        <v>3</v>
      </c>
      <c r="T1896">
        <v>154583.59</v>
      </c>
      <c r="U1896" t="s">
        <v>4881</v>
      </c>
      <c r="V1896" t="s">
        <v>4881</v>
      </c>
      <c r="W1896">
        <v>3.84</v>
      </c>
    </row>
    <row r="1897" spans="1:23">
      <c r="A1897" t="str">
        <f>"600381"</f>
        <v>600381</v>
      </c>
      <c r="B1897" t="s">
        <v>4882</v>
      </c>
      <c r="C1897" t="s">
        <v>3</v>
      </c>
      <c r="D1897" t="s">
        <v>3</v>
      </c>
      <c r="E1897" t="s">
        <v>3</v>
      </c>
      <c r="F1897">
        <v>16.75</v>
      </c>
      <c r="G1897">
        <v>0</v>
      </c>
      <c r="H1897">
        <v>0</v>
      </c>
      <c r="I1897">
        <v>0</v>
      </c>
      <c r="J1897" t="s">
        <v>482</v>
      </c>
      <c r="K1897" t="s">
        <v>613</v>
      </c>
      <c r="L1897">
        <v>0</v>
      </c>
      <c r="M1897">
        <v>16.75</v>
      </c>
      <c r="N1897">
        <v>0</v>
      </c>
      <c r="O1897">
        <v>0</v>
      </c>
      <c r="P1897" t="s">
        <v>3</v>
      </c>
      <c r="Q1897">
        <v>0</v>
      </c>
      <c r="R1897">
        <v>0</v>
      </c>
      <c r="S1897" t="s">
        <v>3</v>
      </c>
      <c r="T1897">
        <v>18711.68</v>
      </c>
      <c r="U1897" t="s">
        <v>1275</v>
      </c>
      <c r="V1897" t="s">
        <v>3131</v>
      </c>
      <c r="W1897">
        <v>0</v>
      </c>
    </row>
    <row r="1898" spans="1:23">
      <c r="A1898" t="str">
        <f>"600382"</f>
        <v>600382</v>
      </c>
      <c r="B1898" t="s">
        <v>4883</v>
      </c>
      <c r="C1898">
        <v>11.73</v>
      </c>
      <c r="D1898">
        <v>11.77</v>
      </c>
      <c r="E1898">
        <v>11.62</v>
      </c>
      <c r="F1898">
        <v>11.7</v>
      </c>
      <c r="G1898">
        <v>97955</v>
      </c>
      <c r="H1898">
        <v>114260288</v>
      </c>
      <c r="I1898">
        <v>0.79</v>
      </c>
      <c r="J1898" t="s">
        <v>173</v>
      </c>
      <c r="K1898" t="s">
        <v>211</v>
      </c>
      <c r="L1898">
        <v>-0.09</v>
      </c>
      <c r="M1898">
        <v>11.66</v>
      </c>
      <c r="N1898">
        <v>55922</v>
      </c>
      <c r="O1898">
        <v>42033</v>
      </c>
      <c r="P1898">
        <v>1.33</v>
      </c>
      <c r="Q1898">
        <v>391</v>
      </c>
      <c r="R1898">
        <v>1040</v>
      </c>
      <c r="S1898" t="s">
        <v>3</v>
      </c>
      <c r="T1898">
        <v>34174.660000000003</v>
      </c>
      <c r="U1898" t="s">
        <v>3700</v>
      </c>
      <c r="V1898" t="s">
        <v>3700</v>
      </c>
      <c r="W1898">
        <v>-0.09</v>
      </c>
    </row>
    <row r="1899" spans="1:23">
      <c r="A1899" t="str">
        <f>"600383"</f>
        <v>600383</v>
      </c>
      <c r="B1899" t="s">
        <v>4884</v>
      </c>
      <c r="C1899">
        <v>9.34</v>
      </c>
      <c r="D1899">
        <v>9.3800000000000008</v>
      </c>
      <c r="E1899">
        <v>9.11</v>
      </c>
      <c r="F1899">
        <v>9.1199999999999992</v>
      </c>
      <c r="G1899">
        <v>118054</v>
      </c>
      <c r="H1899">
        <v>108646064</v>
      </c>
      <c r="I1899">
        <v>0.84</v>
      </c>
      <c r="J1899" t="s">
        <v>7</v>
      </c>
      <c r="K1899" t="s">
        <v>2</v>
      </c>
      <c r="L1899">
        <v>-1.83</v>
      </c>
      <c r="M1899">
        <v>9.1999999999999993</v>
      </c>
      <c r="N1899">
        <v>66228</v>
      </c>
      <c r="O1899">
        <v>51825</v>
      </c>
      <c r="P1899">
        <v>1.28</v>
      </c>
      <c r="Q1899">
        <v>230</v>
      </c>
      <c r="R1899">
        <v>536</v>
      </c>
      <c r="S1899" t="s">
        <v>3</v>
      </c>
      <c r="T1899">
        <v>447150.84</v>
      </c>
      <c r="U1899" t="s">
        <v>4885</v>
      </c>
      <c r="V1899" t="s">
        <v>4885</v>
      </c>
      <c r="W1899">
        <v>-1.83</v>
      </c>
    </row>
    <row r="1900" spans="1:23">
      <c r="A1900" t="str">
        <f>"600385"</f>
        <v>600385</v>
      </c>
      <c r="B1900" t="s">
        <v>4886</v>
      </c>
      <c r="C1900">
        <v>13.57</v>
      </c>
      <c r="D1900">
        <v>13.68</v>
      </c>
      <c r="E1900">
        <v>13.38</v>
      </c>
      <c r="F1900">
        <v>13.39</v>
      </c>
      <c r="G1900">
        <v>27501</v>
      </c>
      <c r="H1900">
        <v>37000496</v>
      </c>
      <c r="I1900">
        <v>1.0900000000000001</v>
      </c>
      <c r="J1900" t="s">
        <v>1783</v>
      </c>
      <c r="K1900" t="s">
        <v>250</v>
      </c>
      <c r="L1900">
        <v>-2.2599999999999998</v>
      </c>
      <c r="M1900">
        <v>13.45</v>
      </c>
      <c r="N1900">
        <v>19258</v>
      </c>
      <c r="O1900">
        <v>8242</v>
      </c>
      <c r="P1900">
        <v>2.34</v>
      </c>
      <c r="Q1900">
        <v>70</v>
      </c>
      <c r="R1900">
        <v>407</v>
      </c>
      <c r="S1900" t="s">
        <v>3</v>
      </c>
      <c r="T1900">
        <v>14277.37</v>
      </c>
      <c r="U1900" t="s">
        <v>1887</v>
      </c>
      <c r="V1900" t="s">
        <v>4887</v>
      </c>
      <c r="W1900">
        <v>-2.27</v>
      </c>
    </row>
    <row r="1901" spans="1:23">
      <c r="A1901" t="str">
        <f>"600386"</f>
        <v>600386</v>
      </c>
      <c r="B1901" t="s">
        <v>4888</v>
      </c>
      <c r="C1901">
        <v>10.72</v>
      </c>
      <c r="D1901">
        <v>10.95</v>
      </c>
      <c r="E1901">
        <v>10.48</v>
      </c>
      <c r="F1901">
        <v>10.93</v>
      </c>
      <c r="G1901">
        <v>89635</v>
      </c>
      <c r="H1901">
        <v>96041568</v>
      </c>
      <c r="I1901">
        <v>0.77</v>
      </c>
      <c r="J1901" t="s">
        <v>314</v>
      </c>
      <c r="K1901" t="s">
        <v>34</v>
      </c>
      <c r="L1901">
        <v>1.67</v>
      </c>
      <c r="M1901">
        <v>10.71</v>
      </c>
      <c r="N1901">
        <v>42102</v>
      </c>
      <c r="O1901">
        <v>47533</v>
      </c>
      <c r="P1901">
        <v>0.89</v>
      </c>
      <c r="Q1901">
        <v>1119</v>
      </c>
      <c r="R1901">
        <v>90</v>
      </c>
      <c r="S1901" t="s">
        <v>3</v>
      </c>
      <c r="T1901">
        <v>40320</v>
      </c>
      <c r="U1901" t="s">
        <v>4889</v>
      </c>
      <c r="V1901" t="s">
        <v>4889</v>
      </c>
      <c r="W1901">
        <v>1.67</v>
      </c>
    </row>
    <row r="1902" spans="1:23">
      <c r="A1902" t="str">
        <f>"600387"</f>
        <v>600387</v>
      </c>
      <c r="B1902" t="s">
        <v>4890</v>
      </c>
      <c r="C1902">
        <v>16.2</v>
      </c>
      <c r="D1902">
        <v>16.3</v>
      </c>
      <c r="E1902">
        <v>16.12</v>
      </c>
      <c r="F1902">
        <v>16.25</v>
      </c>
      <c r="G1902">
        <v>61715</v>
      </c>
      <c r="H1902">
        <v>100082352</v>
      </c>
      <c r="I1902">
        <v>0.66</v>
      </c>
      <c r="J1902" t="s">
        <v>204</v>
      </c>
      <c r="K1902" t="s">
        <v>229</v>
      </c>
      <c r="L1902">
        <v>0.43</v>
      </c>
      <c r="M1902">
        <v>16.22</v>
      </c>
      <c r="N1902">
        <v>35002</v>
      </c>
      <c r="O1902">
        <v>26713</v>
      </c>
      <c r="P1902">
        <v>1.31</v>
      </c>
      <c r="Q1902">
        <v>35</v>
      </c>
      <c r="R1902">
        <v>422</v>
      </c>
      <c r="S1902" t="s">
        <v>3</v>
      </c>
      <c r="T1902">
        <v>38571</v>
      </c>
      <c r="U1902" t="s">
        <v>4891</v>
      </c>
      <c r="V1902" t="s">
        <v>4892</v>
      </c>
      <c r="W1902">
        <v>0.43</v>
      </c>
    </row>
    <row r="1903" spans="1:23">
      <c r="A1903" t="str">
        <f>"600388"</f>
        <v>600388</v>
      </c>
      <c r="B1903" t="s">
        <v>4893</v>
      </c>
      <c r="C1903" t="s">
        <v>3</v>
      </c>
      <c r="D1903" t="s">
        <v>3</v>
      </c>
      <c r="E1903" t="s">
        <v>3</v>
      </c>
      <c r="F1903">
        <v>25.89</v>
      </c>
      <c r="G1903">
        <v>0</v>
      </c>
      <c r="H1903">
        <v>0</v>
      </c>
      <c r="I1903">
        <v>0</v>
      </c>
      <c r="J1903" t="s">
        <v>269</v>
      </c>
      <c r="K1903" t="s">
        <v>414</v>
      </c>
      <c r="L1903">
        <v>0</v>
      </c>
      <c r="M1903">
        <v>25.89</v>
      </c>
      <c r="N1903">
        <v>0</v>
      </c>
      <c r="O1903">
        <v>0</v>
      </c>
      <c r="P1903" t="s">
        <v>3</v>
      </c>
      <c r="Q1903">
        <v>0</v>
      </c>
      <c r="R1903">
        <v>0</v>
      </c>
      <c r="S1903" t="s">
        <v>3</v>
      </c>
      <c r="T1903">
        <v>42762</v>
      </c>
      <c r="U1903" t="s">
        <v>4894</v>
      </c>
      <c r="V1903" t="s">
        <v>4894</v>
      </c>
      <c r="W1903">
        <v>0</v>
      </c>
    </row>
    <row r="1904" spans="1:23">
      <c r="A1904" t="str">
        <f>"600389"</f>
        <v>600389</v>
      </c>
      <c r="B1904" t="s">
        <v>4895</v>
      </c>
      <c r="C1904">
        <v>31.5</v>
      </c>
      <c r="D1904">
        <v>31.64</v>
      </c>
      <c r="E1904">
        <v>31.13</v>
      </c>
      <c r="F1904">
        <v>31.37</v>
      </c>
      <c r="G1904">
        <v>24205</v>
      </c>
      <c r="H1904">
        <v>75638648</v>
      </c>
      <c r="I1904">
        <v>0.82</v>
      </c>
      <c r="J1904" t="s">
        <v>224</v>
      </c>
      <c r="K1904" t="s">
        <v>244</v>
      </c>
      <c r="L1904">
        <v>-0.38</v>
      </c>
      <c r="M1904">
        <v>31.25</v>
      </c>
      <c r="N1904">
        <v>12406</v>
      </c>
      <c r="O1904">
        <v>11798</v>
      </c>
      <c r="P1904">
        <v>1.05</v>
      </c>
      <c r="Q1904">
        <v>58</v>
      </c>
      <c r="R1904">
        <v>129</v>
      </c>
      <c r="S1904" t="s">
        <v>3</v>
      </c>
      <c r="T1904">
        <v>19800</v>
      </c>
      <c r="U1904" t="s">
        <v>4896</v>
      </c>
      <c r="V1904" t="s">
        <v>4896</v>
      </c>
      <c r="W1904">
        <v>-0.39</v>
      </c>
    </row>
    <row r="1905" spans="1:23">
      <c r="A1905" t="str">
        <f>"600390"</f>
        <v>600390</v>
      </c>
      <c r="B1905" t="s">
        <v>4897</v>
      </c>
      <c r="C1905">
        <v>14.31</v>
      </c>
      <c r="D1905">
        <v>14.51</v>
      </c>
      <c r="E1905">
        <v>14.28</v>
      </c>
      <c r="F1905">
        <v>14.36</v>
      </c>
      <c r="G1905">
        <v>138100</v>
      </c>
      <c r="H1905">
        <v>198374080</v>
      </c>
      <c r="I1905">
        <v>0.87</v>
      </c>
      <c r="J1905" t="s">
        <v>328</v>
      </c>
      <c r="K1905" t="s">
        <v>234</v>
      </c>
      <c r="L1905">
        <v>-0.21</v>
      </c>
      <c r="M1905">
        <v>14.36</v>
      </c>
      <c r="N1905">
        <v>73215</v>
      </c>
      <c r="O1905">
        <v>64884</v>
      </c>
      <c r="P1905">
        <v>1.1299999999999999</v>
      </c>
      <c r="Q1905">
        <v>17</v>
      </c>
      <c r="R1905">
        <v>470</v>
      </c>
      <c r="S1905" t="s">
        <v>3</v>
      </c>
      <c r="T1905">
        <v>38194.67</v>
      </c>
      <c r="U1905" t="s">
        <v>1957</v>
      </c>
      <c r="V1905" t="s">
        <v>4898</v>
      </c>
      <c r="W1905">
        <v>-0.21</v>
      </c>
    </row>
    <row r="1906" spans="1:23">
      <c r="A1906" t="str">
        <f>"600391"</f>
        <v>600391</v>
      </c>
      <c r="B1906" t="s">
        <v>4899</v>
      </c>
      <c r="C1906">
        <v>20.59</v>
      </c>
      <c r="D1906">
        <v>21.18</v>
      </c>
      <c r="E1906">
        <v>20.25</v>
      </c>
      <c r="F1906">
        <v>20.85</v>
      </c>
      <c r="G1906">
        <v>243929</v>
      </c>
      <c r="H1906">
        <v>507246976</v>
      </c>
      <c r="I1906">
        <v>0.47</v>
      </c>
      <c r="J1906" t="s">
        <v>892</v>
      </c>
      <c r="K1906" t="s">
        <v>225</v>
      </c>
      <c r="L1906">
        <v>1.02</v>
      </c>
      <c r="M1906">
        <v>20.79</v>
      </c>
      <c r="N1906">
        <v>125150</v>
      </c>
      <c r="O1906">
        <v>118779</v>
      </c>
      <c r="P1906">
        <v>1.05</v>
      </c>
      <c r="Q1906">
        <v>51</v>
      </c>
      <c r="R1906">
        <v>330</v>
      </c>
      <c r="S1906" t="s">
        <v>3</v>
      </c>
      <c r="T1906">
        <v>33012.94</v>
      </c>
      <c r="U1906" t="s">
        <v>4900</v>
      </c>
      <c r="V1906" t="s">
        <v>4900</v>
      </c>
      <c r="W1906">
        <v>1.01</v>
      </c>
    </row>
    <row r="1907" spans="1:23">
      <c r="A1907" t="str">
        <f>"600392"</f>
        <v>600392</v>
      </c>
      <c r="B1907" t="s">
        <v>4901</v>
      </c>
      <c r="C1907">
        <v>20.68</v>
      </c>
      <c r="D1907">
        <v>20.76</v>
      </c>
      <c r="E1907">
        <v>20.399999999999999</v>
      </c>
      <c r="F1907">
        <v>20.43</v>
      </c>
      <c r="G1907">
        <v>42505</v>
      </c>
      <c r="H1907">
        <v>87255328</v>
      </c>
      <c r="I1907">
        <v>0.82</v>
      </c>
      <c r="J1907" t="s">
        <v>328</v>
      </c>
      <c r="K1907" t="s">
        <v>742</v>
      </c>
      <c r="L1907">
        <v>-0.92</v>
      </c>
      <c r="M1907">
        <v>20.53</v>
      </c>
      <c r="N1907">
        <v>24573</v>
      </c>
      <c r="O1907">
        <v>17932</v>
      </c>
      <c r="P1907">
        <v>1.37</v>
      </c>
      <c r="Q1907">
        <v>209</v>
      </c>
      <c r="R1907">
        <v>157</v>
      </c>
      <c r="S1907" t="s">
        <v>3</v>
      </c>
      <c r="T1907">
        <v>15660</v>
      </c>
      <c r="U1907" t="s">
        <v>3497</v>
      </c>
      <c r="V1907" t="s">
        <v>4902</v>
      </c>
      <c r="W1907">
        <v>-0.93</v>
      </c>
    </row>
    <row r="1908" spans="1:23">
      <c r="A1908" t="str">
        <f>"600393"</f>
        <v>600393</v>
      </c>
      <c r="B1908" t="s">
        <v>4903</v>
      </c>
      <c r="C1908">
        <v>6.96</v>
      </c>
      <c r="D1908">
        <v>7.17</v>
      </c>
      <c r="E1908">
        <v>6.87</v>
      </c>
      <c r="F1908">
        <v>7.06</v>
      </c>
      <c r="G1908">
        <v>48728</v>
      </c>
      <c r="H1908">
        <v>34326300</v>
      </c>
      <c r="I1908">
        <v>1.1100000000000001</v>
      </c>
      <c r="J1908" t="s">
        <v>7</v>
      </c>
      <c r="K1908" t="s">
        <v>211</v>
      </c>
      <c r="L1908">
        <v>1.73</v>
      </c>
      <c r="M1908">
        <v>7.04</v>
      </c>
      <c r="N1908">
        <v>20695</v>
      </c>
      <c r="O1908">
        <v>28033</v>
      </c>
      <c r="P1908">
        <v>0.74</v>
      </c>
      <c r="Q1908">
        <v>127</v>
      </c>
      <c r="R1908">
        <v>47</v>
      </c>
      <c r="S1908" t="s">
        <v>3</v>
      </c>
      <c r="T1908">
        <v>28950.5</v>
      </c>
      <c r="U1908" t="s">
        <v>4741</v>
      </c>
      <c r="V1908" t="s">
        <v>4904</v>
      </c>
      <c r="W1908">
        <v>1.72</v>
      </c>
    </row>
    <row r="1909" spans="1:23">
      <c r="A1909" t="str">
        <f>"600395"</f>
        <v>600395</v>
      </c>
      <c r="B1909" t="s">
        <v>4905</v>
      </c>
      <c r="C1909">
        <v>8.31</v>
      </c>
      <c r="D1909">
        <v>8.4700000000000006</v>
      </c>
      <c r="E1909">
        <v>8.2100000000000009</v>
      </c>
      <c r="F1909">
        <v>8.3800000000000008</v>
      </c>
      <c r="G1909">
        <v>231510</v>
      </c>
      <c r="H1909">
        <v>193270672</v>
      </c>
      <c r="I1909">
        <v>1.05</v>
      </c>
      <c r="J1909" t="s">
        <v>482</v>
      </c>
      <c r="K1909" t="s">
        <v>452</v>
      </c>
      <c r="L1909">
        <v>0.84</v>
      </c>
      <c r="M1909">
        <v>8.35</v>
      </c>
      <c r="N1909">
        <v>126742</v>
      </c>
      <c r="O1909">
        <v>104768</v>
      </c>
      <c r="P1909">
        <v>1.21</v>
      </c>
      <c r="Q1909">
        <v>1</v>
      </c>
      <c r="R1909">
        <v>1574</v>
      </c>
      <c r="S1909" t="s">
        <v>3</v>
      </c>
      <c r="T1909">
        <v>165505.19</v>
      </c>
      <c r="U1909" t="s">
        <v>4906</v>
      </c>
      <c r="V1909" t="s">
        <v>4906</v>
      </c>
      <c r="W1909">
        <v>0.84</v>
      </c>
    </row>
    <row r="1910" spans="1:23">
      <c r="A1910" t="str">
        <f>"600396"</f>
        <v>600396</v>
      </c>
      <c r="B1910" t="s">
        <v>4907</v>
      </c>
      <c r="C1910" t="s">
        <v>3</v>
      </c>
      <c r="D1910" t="s">
        <v>3</v>
      </c>
      <c r="E1910" t="s">
        <v>3</v>
      </c>
      <c r="F1910">
        <v>4.9800000000000004</v>
      </c>
      <c r="G1910">
        <v>0</v>
      </c>
      <c r="H1910">
        <v>0</v>
      </c>
      <c r="I1910">
        <v>0</v>
      </c>
      <c r="J1910" t="s">
        <v>87</v>
      </c>
      <c r="K1910" t="s">
        <v>162</v>
      </c>
      <c r="L1910">
        <v>0</v>
      </c>
      <c r="M1910">
        <v>4.9800000000000004</v>
      </c>
      <c r="N1910">
        <v>0</v>
      </c>
      <c r="O1910">
        <v>0</v>
      </c>
      <c r="P1910" t="s">
        <v>3</v>
      </c>
      <c r="Q1910">
        <v>0</v>
      </c>
      <c r="R1910">
        <v>0</v>
      </c>
      <c r="S1910" t="s">
        <v>3</v>
      </c>
      <c r="T1910">
        <v>68120</v>
      </c>
      <c r="U1910" t="s">
        <v>1899</v>
      </c>
      <c r="V1910" t="s">
        <v>4750</v>
      </c>
      <c r="W1910">
        <v>0</v>
      </c>
    </row>
    <row r="1911" spans="1:23">
      <c r="A1911" t="str">
        <f>"600397"</f>
        <v>600397</v>
      </c>
      <c r="B1911" t="s">
        <v>4908</v>
      </c>
      <c r="C1911">
        <v>5</v>
      </c>
      <c r="D1911">
        <v>5.2</v>
      </c>
      <c r="E1911">
        <v>4.9000000000000004</v>
      </c>
      <c r="F1911">
        <v>5.08</v>
      </c>
      <c r="G1911">
        <v>294568</v>
      </c>
      <c r="H1911">
        <v>148970416</v>
      </c>
      <c r="I1911">
        <v>1.31</v>
      </c>
      <c r="J1911" t="s">
        <v>482</v>
      </c>
      <c r="K1911" t="s">
        <v>265</v>
      </c>
      <c r="L1911">
        <v>1.8</v>
      </c>
      <c r="M1911">
        <v>5.0599999999999996</v>
      </c>
      <c r="N1911">
        <v>129385</v>
      </c>
      <c r="O1911">
        <v>165182</v>
      </c>
      <c r="P1911">
        <v>0.78</v>
      </c>
      <c r="Q1911">
        <v>40</v>
      </c>
      <c r="R1911">
        <v>2531</v>
      </c>
      <c r="S1911" t="s">
        <v>3</v>
      </c>
      <c r="T1911">
        <v>64533.3</v>
      </c>
      <c r="U1911" t="s">
        <v>4909</v>
      </c>
      <c r="V1911" t="s">
        <v>4910</v>
      </c>
      <c r="W1911">
        <v>1.8</v>
      </c>
    </row>
    <row r="1912" spans="1:23">
      <c r="A1912" t="str">
        <f>"600398"</f>
        <v>600398</v>
      </c>
      <c r="B1912" t="s">
        <v>4911</v>
      </c>
      <c r="C1912">
        <v>10.33</v>
      </c>
      <c r="D1912">
        <v>10.49</v>
      </c>
      <c r="E1912">
        <v>10.130000000000001</v>
      </c>
      <c r="F1912">
        <v>10.42</v>
      </c>
      <c r="G1912">
        <v>88638</v>
      </c>
      <c r="H1912">
        <v>91854400</v>
      </c>
      <c r="I1912">
        <v>0.73</v>
      </c>
      <c r="J1912" t="s">
        <v>1373</v>
      </c>
      <c r="K1912" t="s">
        <v>244</v>
      </c>
      <c r="L1912">
        <v>0.57999999999999996</v>
      </c>
      <c r="M1912">
        <v>10.36</v>
      </c>
      <c r="N1912">
        <v>49390</v>
      </c>
      <c r="O1912">
        <v>39248</v>
      </c>
      <c r="P1912">
        <v>1.26</v>
      </c>
      <c r="Q1912">
        <v>41</v>
      </c>
      <c r="R1912">
        <v>367</v>
      </c>
      <c r="S1912" t="s">
        <v>3</v>
      </c>
      <c r="T1912">
        <v>64660.41</v>
      </c>
      <c r="U1912" t="s">
        <v>4912</v>
      </c>
      <c r="V1912" t="s">
        <v>4913</v>
      </c>
      <c r="W1912">
        <v>0.56999999999999995</v>
      </c>
    </row>
    <row r="1913" spans="1:23">
      <c r="A1913" t="str">
        <f>"600399"</f>
        <v>600399</v>
      </c>
      <c r="B1913" t="s">
        <v>4914</v>
      </c>
      <c r="C1913">
        <v>21.02</v>
      </c>
      <c r="D1913">
        <v>22.78</v>
      </c>
      <c r="E1913">
        <v>20.23</v>
      </c>
      <c r="F1913">
        <v>22.34</v>
      </c>
      <c r="G1913">
        <v>245672</v>
      </c>
      <c r="H1913">
        <v>539180544</v>
      </c>
      <c r="I1913">
        <v>0.99</v>
      </c>
      <c r="J1913" t="s">
        <v>815</v>
      </c>
      <c r="K1913" t="s">
        <v>162</v>
      </c>
      <c r="L1913">
        <v>5.33</v>
      </c>
      <c r="M1913">
        <v>21.95</v>
      </c>
      <c r="N1913">
        <v>120230</v>
      </c>
      <c r="O1913">
        <v>125442</v>
      </c>
      <c r="P1913">
        <v>0.96</v>
      </c>
      <c r="Q1913">
        <v>109</v>
      </c>
      <c r="R1913">
        <v>18</v>
      </c>
      <c r="S1913" t="s">
        <v>3</v>
      </c>
      <c r="T1913">
        <v>45184.91</v>
      </c>
      <c r="U1913" t="s">
        <v>4915</v>
      </c>
      <c r="V1913" t="s">
        <v>4916</v>
      </c>
      <c r="W1913">
        <v>5.32</v>
      </c>
    </row>
    <row r="1914" spans="1:23">
      <c r="A1914" t="str">
        <f>"600400"</f>
        <v>600400</v>
      </c>
      <c r="B1914" t="s">
        <v>4917</v>
      </c>
      <c r="C1914">
        <v>5.19</v>
      </c>
      <c r="D1914">
        <v>5.2</v>
      </c>
      <c r="E1914">
        <v>5.12</v>
      </c>
      <c r="F1914">
        <v>5.18</v>
      </c>
      <c r="G1914">
        <v>74685</v>
      </c>
      <c r="H1914">
        <v>38530676</v>
      </c>
      <c r="I1914">
        <v>0.88</v>
      </c>
      <c r="J1914" t="s">
        <v>1373</v>
      </c>
      <c r="K1914" t="s">
        <v>244</v>
      </c>
      <c r="L1914">
        <v>-0.19</v>
      </c>
      <c r="M1914">
        <v>5.16</v>
      </c>
      <c r="N1914">
        <v>43941</v>
      </c>
      <c r="O1914">
        <v>30743</v>
      </c>
      <c r="P1914">
        <v>1.43</v>
      </c>
      <c r="Q1914">
        <v>464</v>
      </c>
      <c r="R1914">
        <v>2383</v>
      </c>
      <c r="S1914" t="s">
        <v>3</v>
      </c>
      <c r="T1914">
        <v>56039.96</v>
      </c>
      <c r="U1914" t="s">
        <v>4918</v>
      </c>
      <c r="V1914" t="s">
        <v>4918</v>
      </c>
      <c r="W1914">
        <v>-0.2</v>
      </c>
    </row>
    <row r="1915" spans="1:23">
      <c r="A1915" t="str">
        <f>"600401"</f>
        <v>600401</v>
      </c>
      <c r="B1915" t="s">
        <v>4919</v>
      </c>
      <c r="C1915">
        <v>9.83</v>
      </c>
      <c r="D1915">
        <v>9.93</v>
      </c>
      <c r="E1915">
        <v>9.6</v>
      </c>
      <c r="F1915">
        <v>9.7100000000000009</v>
      </c>
      <c r="G1915">
        <v>143423</v>
      </c>
      <c r="H1915">
        <v>139520464</v>
      </c>
      <c r="I1915">
        <v>0.77</v>
      </c>
      <c r="J1915" t="s">
        <v>1581</v>
      </c>
      <c r="K1915" t="s">
        <v>244</v>
      </c>
      <c r="L1915">
        <v>-0.51</v>
      </c>
      <c r="M1915">
        <v>9.73</v>
      </c>
      <c r="N1915">
        <v>77081</v>
      </c>
      <c r="O1915">
        <v>66341</v>
      </c>
      <c r="P1915">
        <v>1.1599999999999999</v>
      </c>
      <c r="Q1915">
        <v>375</v>
      </c>
      <c r="R1915">
        <v>125</v>
      </c>
      <c r="S1915" t="s">
        <v>3</v>
      </c>
      <c r="T1915">
        <v>35478.370000000003</v>
      </c>
      <c r="U1915" t="s">
        <v>4920</v>
      </c>
      <c r="V1915" t="s">
        <v>4921</v>
      </c>
      <c r="W1915">
        <v>-0.52</v>
      </c>
    </row>
    <row r="1916" spans="1:23">
      <c r="A1916" t="str">
        <f>"600403"</f>
        <v>600403</v>
      </c>
      <c r="B1916" t="s">
        <v>4922</v>
      </c>
      <c r="C1916">
        <v>6.12</v>
      </c>
      <c r="D1916">
        <v>6.18</v>
      </c>
      <c r="E1916">
        <v>6.03</v>
      </c>
      <c r="F1916">
        <v>6.1</v>
      </c>
      <c r="G1916">
        <v>73626</v>
      </c>
      <c r="H1916">
        <v>44867912</v>
      </c>
      <c r="I1916">
        <v>1.04</v>
      </c>
      <c r="J1916" t="s">
        <v>482</v>
      </c>
      <c r="K1916" t="s">
        <v>254</v>
      </c>
      <c r="L1916">
        <v>-0.33</v>
      </c>
      <c r="M1916">
        <v>6.09</v>
      </c>
      <c r="N1916">
        <v>41359</v>
      </c>
      <c r="O1916">
        <v>32266</v>
      </c>
      <c r="P1916">
        <v>1.28</v>
      </c>
      <c r="Q1916">
        <v>246</v>
      </c>
      <c r="R1916">
        <v>101</v>
      </c>
      <c r="S1916" t="s">
        <v>3</v>
      </c>
      <c r="T1916">
        <v>35090.32</v>
      </c>
      <c r="U1916" t="s">
        <v>2003</v>
      </c>
      <c r="V1916" t="s">
        <v>4923</v>
      </c>
      <c r="W1916">
        <v>-0.33</v>
      </c>
    </row>
    <row r="1917" spans="1:23">
      <c r="A1917" t="str">
        <f>"600405"</f>
        <v>600405</v>
      </c>
      <c r="B1917" t="s">
        <v>4924</v>
      </c>
      <c r="C1917">
        <v>12.31</v>
      </c>
      <c r="D1917">
        <v>12.47</v>
      </c>
      <c r="E1917">
        <v>12.31</v>
      </c>
      <c r="F1917">
        <v>12.42</v>
      </c>
      <c r="G1917">
        <v>254887</v>
      </c>
      <c r="H1917">
        <v>316015840</v>
      </c>
      <c r="I1917">
        <v>0.83</v>
      </c>
      <c r="J1917" t="s">
        <v>145</v>
      </c>
      <c r="K1917" t="s">
        <v>34</v>
      </c>
      <c r="L1917">
        <v>1.06</v>
      </c>
      <c r="M1917">
        <v>12.4</v>
      </c>
      <c r="N1917">
        <v>124073</v>
      </c>
      <c r="O1917">
        <v>130813</v>
      </c>
      <c r="P1917">
        <v>0.95</v>
      </c>
      <c r="Q1917">
        <v>45</v>
      </c>
      <c r="R1917">
        <v>1412</v>
      </c>
      <c r="S1917" t="s">
        <v>3</v>
      </c>
      <c r="T1917">
        <v>38131.760000000002</v>
      </c>
      <c r="U1917" t="s">
        <v>4925</v>
      </c>
      <c r="V1917" t="s">
        <v>4926</v>
      </c>
      <c r="W1917">
        <v>1.05</v>
      </c>
    </row>
    <row r="1918" spans="1:23">
      <c r="A1918" t="str">
        <f>"600406"</f>
        <v>600406</v>
      </c>
      <c r="B1918" t="s">
        <v>4927</v>
      </c>
      <c r="C1918">
        <v>17</v>
      </c>
      <c r="D1918">
        <v>17</v>
      </c>
      <c r="E1918">
        <v>16.39</v>
      </c>
      <c r="F1918">
        <v>16.73</v>
      </c>
      <c r="G1918">
        <v>772196</v>
      </c>
      <c r="H1918">
        <v>1290114688</v>
      </c>
      <c r="I1918">
        <v>1.1399999999999999</v>
      </c>
      <c r="J1918" t="s">
        <v>758</v>
      </c>
      <c r="K1918" t="s">
        <v>244</v>
      </c>
      <c r="L1918">
        <v>0.3</v>
      </c>
      <c r="M1918">
        <v>16.71</v>
      </c>
      <c r="N1918">
        <v>390453</v>
      </c>
      <c r="O1918">
        <v>381742</v>
      </c>
      <c r="P1918">
        <v>1.02</v>
      </c>
      <c r="Q1918">
        <v>964</v>
      </c>
      <c r="R1918">
        <v>586</v>
      </c>
      <c r="S1918" t="s">
        <v>3</v>
      </c>
      <c r="T1918">
        <v>220575.34</v>
      </c>
      <c r="U1918" t="s">
        <v>4928</v>
      </c>
      <c r="V1918" t="s">
        <v>4929</v>
      </c>
      <c r="W1918">
        <v>0.3</v>
      </c>
    </row>
    <row r="1919" spans="1:23">
      <c r="A1919" t="str">
        <f>"600408"</f>
        <v>600408</v>
      </c>
      <c r="B1919" t="s">
        <v>4930</v>
      </c>
      <c r="C1919">
        <v>3.12</v>
      </c>
      <c r="D1919">
        <v>3.15</v>
      </c>
      <c r="E1919">
        <v>3.07</v>
      </c>
      <c r="F1919">
        <v>3.12</v>
      </c>
      <c r="G1919">
        <v>201024</v>
      </c>
      <c r="H1919">
        <v>62485244</v>
      </c>
      <c r="I1919">
        <v>1.1399999999999999</v>
      </c>
      <c r="J1919" t="s">
        <v>856</v>
      </c>
      <c r="K1919" t="s">
        <v>742</v>
      </c>
      <c r="L1919">
        <v>0</v>
      </c>
      <c r="M1919">
        <v>3.11</v>
      </c>
      <c r="N1919">
        <v>102739</v>
      </c>
      <c r="O1919">
        <v>98285</v>
      </c>
      <c r="P1919">
        <v>1.05</v>
      </c>
      <c r="Q1919">
        <v>795</v>
      </c>
      <c r="R1919">
        <v>4912</v>
      </c>
      <c r="S1919" t="s">
        <v>3</v>
      </c>
      <c r="T1919">
        <v>100680</v>
      </c>
      <c r="U1919" t="s">
        <v>4931</v>
      </c>
      <c r="V1919" t="s">
        <v>4931</v>
      </c>
      <c r="W1919">
        <v>0</v>
      </c>
    </row>
    <row r="1920" spans="1:23">
      <c r="A1920" t="str">
        <f>"600409"</f>
        <v>600409</v>
      </c>
      <c r="B1920" t="s">
        <v>4932</v>
      </c>
      <c r="C1920">
        <v>5.53</v>
      </c>
      <c r="D1920">
        <v>5.58</v>
      </c>
      <c r="E1920">
        <v>5.43</v>
      </c>
      <c r="F1920">
        <v>5.51</v>
      </c>
      <c r="G1920">
        <v>348692</v>
      </c>
      <c r="H1920">
        <v>192114752</v>
      </c>
      <c r="I1920">
        <v>0.72</v>
      </c>
      <c r="J1920" t="s">
        <v>376</v>
      </c>
      <c r="K1920" t="s">
        <v>238</v>
      </c>
      <c r="L1920">
        <v>0.36</v>
      </c>
      <c r="M1920">
        <v>5.51</v>
      </c>
      <c r="N1920">
        <v>190396</v>
      </c>
      <c r="O1920">
        <v>158296</v>
      </c>
      <c r="P1920">
        <v>1.2</v>
      </c>
      <c r="Q1920">
        <v>63</v>
      </c>
      <c r="R1920">
        <v>3158</v>
      </c>
      <c r="S1920" t="s">
        <v>3</v>
      </c>
      <c r="T1920">
        <v>166971.91</v>
      </c>
      <c r="U1920" t="s">
        <v>1579</v>
      </c>
      <c r="V1920" t="s">
        <v>4933</v>
      </c>
      <c r="W1920">
        <v>0.36</v>
      </c>
    </row>
    <row r="1921" spans="1:23">
      <c r="A1921" t="str">
        <f>"600410"</f>
        <v>600410</v>
      </c>
      <c r="B1921" t="s">
        <v>4934</v>
      </c>
      <c r="C1921">
        <v>14.43</v>
      </c>
      <c r="D1921">
        <v>14.69</v>
      </c>
      <c r="E1921">
        <v>14.27</v>
      </c>
      <c r="F1921">
        <v>14.43</v>
      </c>
      <c r="G1921">
        <v>222602</v>
      </c>
      <c r="H1921">
        <v>321791424</v>
      </c>
      <c r="I1921">
        <v>0.59</v>
      </c>
      <c r="J1921" t="s">
        <v>758</v>
      </c>
      <c r="K1921" t="s">
        <v>34</v>
      </c>
      <c r="L1921">
        <v>7.0000000000000007E-2</v>
      </c>
      <c r="M1921">
        <v>14.46</v>
      </c>
      <c r="N1921">
        <v>109569</v>
      </c>
      <c r="O1921">
        <v>113032</v>
      </c>
      <c r="P1921">
        <v>0.97</v>
      </c>
      <c r="Q1921">
        <v>42</v>
      </c>
      <c r="R1921">
        <v>517</v>
      </c>
      <c r="S1921" t="s">
        <v>3</v>
      </c>
      <c r="T1921">
        <v>63744.55</v>
      </c>
      <c r="U1921" t="s">
        <v>4935</v>
      </c>
      <c r="V1921" t="s">
        <v>4936</v>
      </c>
      <c r="W1921">
        <v>7.0000000000000007E-2</v>
      </c>
    </row>
    <row r="1922" spans="1:23">
      <c r="A1922" t="str">
        <f>"600415"</f>
        <v>600415</v>
      </c>
      <c r="B1922" t="s">
        <v>4937</v>
      </c>
      <c r="C1922">
        <v>5.88</v>
      </c>
      <c r="D1922">
        <v>6.47</v>
      </c>
      <c r="E1922">
        <v>5.88</v>
      </c>
      <c r="F1922">
        <v>6.36</v>
      </c>
      <c r="G1922">
        <v>763725</v>
      </c>
      <c r="H1922">
        <v>473724640</v>
      </c>
      <c r="I1922">
        <v>3.28</v>
      </c>
      <c r="J1922" t="s">
        <v>2289</v>
      </c>
      <c r="K1922" t="s">
        <v>229</v>
      </c>
      <c r="L1922">
        <v>7.8</v>
      </c>
      <c r="M1922">
        <v>6.2</v>
      </c>
      <c r="N1922">
        <v>315867</v>
      </c>
      <c r="O1922">
        <v>447857</v>
      </c>
      <c r="P1922">
        <v>0.71</v>
      </c>
      <c r="Q1922">
        <v>844</v>
      </c>
      <c r="R1922">
        <v>646</v>
      </c>
      <c r="S1922" t="s">
        <v>3</v>
      </c>
      <c r="T1922">
        <v>272160.71999999997</v>
      </c>
      <c r="U1922" t="s">
        <v>4938</v>
      </c>
      <c r="V1922" t="s">
        <v>4938</v>
      </c>
      <c r="W1922">
        <v>7.79</v>
      </c>
    </row>
    <row r="1923" spans="1:23">
      <c r="A1923" t="str">
        <f>"600416"</f>
        <v>600416</v>
      </c>
      <c r="B1923" t="s">
        <v>4939</v>
      </c>
      <c r="C1923">
        <v>12.8</v>
      </c>
      <c r="D1923">
        <v>12.94</v>
      </c>
      <c r="E1923">
        <v>12.42</v>
      </c>
      <c r="F1923">
        <v>12.5</v>
      </c>
      <c r="G1923">
        <v>150549</v>
      </c>
      <c r="H1923">
        <v>189570416</v>
      </c>
      <c r="I1923">
        <v>1.05</v>
      </c>
      <c r="J1923" t="s">
        <v>145</v>
      </c>
      <c r="K1923" t="s">
        <v>234</v>
      </c>
      <c r="L1923">
        <v>-1.81</v>
      </c>
      <c r="M1923">
        <v>12.59</v>
      </c>
      <c r="N1923">
        <v>94565</v>
      </c>
      <c r="O1923">
        <v>55984</v>
      </c>
      <c r="P1923">
        <v>1.69</v>
      </c>
      <c r="Q1923">
        <v>10</v>
      </c>
      <c r="R1923">
        <v>229</v>
      </c>
      <c r="S1923" t="s">
        <v>3</v>
      </c>
      <c r="T1923">
        <v>60848.44</v>
      </c>
      <c r="U1923" t="s">
        <v>4940</v>
      </c>
      <c r="V1923" t="s">
        <v>4940</v>
      </c>
      <c r="W1923">
        <v>-1.81</v>
      </c>
    </row>
    <row r="1924" spans="1:23">
      <c r="A1924" t="str">
        <f>"600418"</f>
        <v>600418</v>
      </c>
      <c r="B1924" t="s">
        <v>4941</v>
      </c>
      <c r="C1924">
        <v>13.65</v>
      </c>
      <c r="D1924">
        <v>13.94</v>
      </c>
      <c r="E1924">
        <v>13.43</v>
      </c>
      <c r="F1924">
        <v>13.82</v>
      </c>
      <c r="G1924">
        <v>415352</v>
      </c>
      <c r="H1924">
        <v>571542976</v>
      </c>
      <c r="I1924">
        <v>1.33</v>
      </c>
      <c r="J1924" t="s">
        <v>476</v>
      </c>
      <c r="K1924" t="s">
        <v>220</v>
      </c>
      <c r="L1924">
        <v>2.52</v>
      </c>
      <c r="M1924">
        <v>13.76</v>
      </c>
      <c r="N1924">
        <v>193686</v>
      </c>
      <c r="O1924">
        <v>221666</v>
      </c>
      <c r="P1924">
        <v>0.87</v>
      </c>
      <c r="Q1924">
        <v>4</v>
      </c>
      <c r="R1924">
        <v>1931</v>
      </c>
      <c r="S1924" t="s">
        <v>3</v>
      </c>
      <c r="T1924">
        <v>106903.75</v>
      </c>
      <c r="U1924" t="s">
        <v>4942</v>
      </c>
      <c r="V1924" t="s">
        <v>4943</v>
      </c>
      <c r="W1924">
        <v>2.52</v>
      </c>
    </row>
    <row r="1925" spans="1:23">
      <c r="A1925" t="str">
        <f>"600419"</f>
        <v>600419</v>
      </c>
      <c r="B1925" t="s">
        <v>4944</v>
      </c>
      <c r="C1925" t="s">
        <v>3</v>
      </c>
      <c r="D1925" t="s">
        <v>3</v>
      </c>
      <c r="E1925" t="s">
        <v>3</v>
      </c>
      <c r="F1925">
        <v>18.760000000000002</v>
      </c>
      <c r="G1925">
        <v>0</v>
      </c>
      <c r="H1925">
        <v>0</v>
      </c>
      <c r="I1925">
        <v>0</v>
      </c>
      <c r="J1925" t="s">
        <v>2250</v>
      </c>
      <c r="K1925" t="s">
        <v>241</v>
      </c>
      <c r="L1925">
        <v>0</v>
      </c>
      <c r="M1925">
        <v>18.760000000000002</v>
      </c>
      <c r="N1925">
        <v>0</v>
      </c>
      <c r="O1925">
        <v>0</v>
      </c>
      <c r="P1925" t="s">
        <v>3</v>
      </c>
      <c r="Q1925">
        <v>0</v>
      </c>
      <c r="R1925">
        <v>0</v>
      </c>
      <c r="S1925" t="s">
        <v>3</v>
      </c>
      <c r="T1925">
        <v>8016</v>
      </c>
      <c r="U1925" t="s">
        <v>4945</v>
      </c>
      <c r="V1925" t="s">
        <v>4946</v>
      </c>
      <c r="W1925">
        <v>0</v>
      </c>
    </row>
    <row r="1926" spans="1:23">
      <c r="A1926" t="str">
        <f>"600420"</f>
        <v>600420</v>
      </c>
      <c r="B1926" t="s">
        <v>4947</v>
      </c>
      <c r="C1926">
        <v>21.58</v>
      </c>
      <c r="D1926">
        <v>21.58</v>
      </c>
      <c r="E1926">
        <v>21.06</v>
      </c>
      <c r="F1926">
        <v>21.2</v>
      </c>
      <c r="G1926">
        <v>23227</v>
      </c>
      <c r="H1926">
        <v>49473584</v>
      </c>
      <c r="I1926">
        <v>1.1100000000000001</v>
      </c>
      <c r="J1926" t="s">
        <v>219</v>
      </c>
      <c r="K1926" t="s">
        <v>727</v>
      </c>
      <c r="L1926">
        <v>-1.4</v>
      </c>
      <c r="M1926">
        <v>21.3</v>
      </c>
      <c r="N1926">
        <v>14721</v>
      </c>
      <c r="O1926">
        <v>8505</v>
      </c>
      <c r="P1926">
        <v>1.73</v>
      </c>
      <c r="Q1926">
        <v>0</v>
      </c>
      <c r="R1926">
        <v>10</v>
      </c>
      <c r="S1926" t="s">
        <v>3</v>
      </c>
      <c r="T1926">
        <v>28773.33</v>
      </c>
      <c r="U1926" t="s">
        <v>4948</v>
      </c>
      <c r="V1926" t="s">
        <v>4948</v>
      </c>
      <c r="W1926">
        <v>-1.4</v>
      </c>
    </row>
    <row r="1927" spans="1:23">
      <c r="A1927" t="str">
        <f>"600421"</f>
        <v>600421</v>
      </c>
      <c r="B1927" t="s">
        <v>4949</v>
      </c>
      <c r="C1927" t="s">
        <v>3</v>
      </c>
      <c r="D1927" t="s">
        <v>3</v>
      </c>
      <c r="E1927" t="s">
        <v>3</v>
      </c>
      <c r="F1927">
        <v>7.89</v>
      </c>
      <c r="G1927">
        <v>0</v>
      </c>
      <c r="H1927">
        <v>0</v>
      </c>
      <c r="I1927">
        <v>0</v>
      </c>
      <c r="J1927" t="s">
        <v>398</v>
      </c>
      <c r="K1927" t="s">
        <v>317</v>
      </c>
      <c r="L1927">
        <v>0</v>
      </c>
      <c r="M1927">
        <v>7.89</v>
      </c>
      <c r="N1927">
        <v>0</v>
      </c>
      <c r="O1927">
        <v>0</v>
      </c>
      <c r="P1927" t="s">
        <v>3</v>
      </c>
      <c r="Q1927">
        <v>0</v>
      </c>
      <c r="R1927">
        <v>0</v>
      </c>
      <c r="S1927" t="s">
        <v>3</v>
      </c>
      <c r="T1927">
        <v>19560</v>
      </c>
      <c r="U1927" t="s">
        <v>4950</v>
      </c>
      <c r="V1927" t="s">
        <v>4950</v>
      </c>
      <c r="W1927">
        <v>0</v>
      </c>
    </row>
    <row r="1928" spans="1:23">
      <c r="A1928" t="str">
        <f>"600422"</f>
        <v>600422</v>
      </c>
      <c r="B1928" t="s">
        <v>4951</v>
      </c>
      <c r="C1928">
        <v>25.77</v>
      </c>
      <c r="D1928">
        <v>26.24</v>
      </c>
      <c r="E1928">
        <v>25.62</v>
      </c>
      <c r="F1928">
        <v>26.14</v>
      </c>
      <c r="G1928">
        <v>64726</v>
      </c>
      <c r="H1928">
        <v>168173536</v>
      </c>
      <c r="I1928">
        <v>1.37</v>
      </c>
      <c r="J1928" t="s">
        <v>321</v>
      </c>
      <c r="K1928" t="s">
        <v>445</v>
      </c>
      <c r="L1928">
        <v>1.48</v>
      </c>
      <c r="M1928">
        <v>25.98</v>
      </c>
      <c r="N1928">
        <v>25190</v>
      </c>
      <c r="O1928">
        <v>39535</v>
      </c>
      <c r="P1928">
        <v>0.64</v>
      </c>
      <c r="Q1928">
        <v>13</v>
      </c>
      <c r="R1928">
        <v>8</v>
      </c>
      <c r="S1928" t="s">
        <v>3</v>
      </c>
      <c r="T1928">
        <v>34018.870000000003</v>
      </c>
      <c r="U1928" t="s">
        <v>1542</v>
      </c>
      <c r="V1928" t="s">
        <v>4952</v>
      </c>
      <c r="W1928">
        <v>1.47</v>
      </c>
    </row>
    <row r="1929" spans="1:23">
      <c r="A1929" t="str">
        <f>"600423"</f>
        <v>600423</v>
      </c>
      <c r="B1929" t="s">
        <v>4953</v>
      </c>
      <c r="C1929">
        <v>5.38</v>
      </c>
      <c r="D1929">
        <v>5.39</v>
      </c>
      <c r="E1929">
        <v>5.21</v>
      </c>
      <c r="F1929">
        <v>5.36</v>
      </c>
      <c r="G1929">
        <v>91333</v>
      </c>
      <c r="H1929">
        <v>48408168</v>
      </c>
      <c r="I1929">
        <v>0.44</v>
      </c>
      <c r="J1929" t="s">
        <v>224</v>
      </c>
      <c r="K1929" t="s">
        <v>417</v>
      </c>
      <c r="L1929">
        <v>-0.56000000000000005</v>
      </c>
      <c r="M1929">
        <v>5.3</v>
      </c>
      <c r="N1929">
        <v>49285</v>
      </c>
      <c r="O1929">
        <v>42048</v>
      </c>
      <c r="P1929">
        <v>1.17</v>
      </c>
      <c r="Q1929">
        <v>499</v>
      </c>
      <c r="R1929">
        <v>98</v>
      </c>
      <c r="S1929" t="s">
        <v>3</v>
      </c>
      <c r="T1929">
        <v>39934.75</v>
      </c>
      <c r="U1929" t="s">
        <v>2003</v>
      </c>
      <c r="V1929" t="s">
        <v>2003</v>
      </c>
      <c r="W1929">
        <v>-0.56000000000000005</v>
      </c>
    </row>
    <row r="1930" spans="1:23">
      <c r="A1930" t="str">
        <f>"600425"</f>
        <v>600425</v>
      </c>
      <c r="B1930" t="s">
        <v>4954</v>
      </c>
      <c r="C1930">
        <v>5.49</v>
      </c>
      <c r="D1930">
        <v>5.52</v>
      </c>
      <c r="E1930">
        <v>5.42</v>
      </c>
      <c r="F1930">
        <v>5.47</v>
      </c>
      <c r="G1930">
        <v>261688</v>
      </c>
      <c r="H1930">
        <v>143161296</v>
      </c>
      <c r="I1930">
        <v>1.5</v>
      </c>
      <c r="J1930" t="s">
        <v>258</v>
      </c>
      <c r="K1930" t="s">
        <v>241</v>
      </c>
      <c r="L1930">
        <v>0.55000000000000004</v>
      </c>
      <c r="M1930">
        <v>5.47</v>
      </c>
      <c r="N1930">
        <v>126319</v>
      </c>
      <c r="O1930">
        <v>135369</v>
      </c>
      <c r="P1930">
        <v>0.93</v>
      </c>
      <c r="Q1930">
        <v>129</v>
      </c>
      <c r="R1930">
        <v>3162</v>
      </c>
      <c r="S1930" t="s">
        <v>3</v>
      </c>
      <c r="T1930">
        <v>137879.01999999999</v>
      </c>
      <c r="U1930" t="s">
        <v>4955</v>
      </c>
      <c r="V1930" t="s">
        <v>4955</v>
      </c>
      <c r="W1930">
        <v>0.55000000000000004</v>
      </c>
    </row>
    <row r="1931" spans="1:23">
      <c r="A1931" t="str">
        <f>"600426"</f>
        <v>600426</v>
      </c>
      <c r="B1931" t="s">
        <v>4956</v>
      </c>
      <c r="C1931">
        <v>8.6300000000000008</v>
      </c>
      <c r="D1931">
        <v>8.7799999999999994</v>
      </c>
      <c r="E1931">
        <v>8.51</v>
      </c>
      <c r="F1931">
        <v>8.77</v>
      </c>
      <c r="G1931">
        <v>236566</v>
      </c>
      <c r="H1931">
        <v>204167424</v>
      </c>
      <c r="I1931">
        <v>1.19</v>
      </c>
      <c r="J1931" t="s">
        <v>224</v>
      </c>
      <c r="K1931" t="s">
        <v>250</v>
      </c>
      <c r="L1931">
        <v>1.62</v>
      </c>
      <c r="M1931">
        <v>8.6300000000000008</v>
      </c>
      <c r="N1931">
        <v>97106</v>
      </c>
      <c r="O1931">
        <v>139459</v>
      </c>
      <c r="P1931">
        <v>0.7</v>
      </c>
      <c r="Q1931">
        <v>1130</v>
      </c>
      <c r="R1931">
        <v>3061</v>
      </c>
      <c r="S1931" t="s">
        <v>3</v>
      </c>
      <c r="T1931">
        <v>95362.5</v>
      </c>
      <c r="U1931" t="s">
        <v>4957</v>
      </c>
      <c r="V1931" t="s">
        <v>4957</v>
      </c>
      <c r="W1931">
        <v>1.62</v>
      </c>
    </row>
    <row r="1932" spans="1:23">
      <c r="A1932" t="str">
        <f>"600428"</f>
        <v>600428</v>
      </c>
      <c r="B1932" t="s">
        <v>4958</v>
      </c>
      <c r="C1932">
        <v>3.97</v>
      </c>
      <c r="D1932">
        <v>4.05</v>
      </c>
      <c r="E1932">
        <v>3.93</v>
      </c>
      <c r="F1932">
        <v>4</v>
      </c>
      <c r="G1932">
        <v>271561</v>
      </c>
      <c r="H1932">
        <v>108727656</v>
      </c>
      <c r="I1932">
        <v>0.69</v>
      </c>
      <c r="J1932" t="s">
        <v>2226</v>
      </c>
      <c r="K1932" t="s">
        <v>211</v>
      </c>
      <c r="L1932">
        <v>1.01</v>
      </c>
      <c r="M1932">
        <v>4</v>
      </c>
      <c r="N1932">
        <v>131476</v>
      </c>
      <c r="O1932">
        <v>140085</v>
      </c>
      <c r="P1932">
        <v>0.94</v>
      </c>
      <c r="Q1932">
        <v>458</v>
      </c>
      <c r="R1932">
        <v>1313</v>
      </c>
      <c r="S1932" t="s">
        <v>3</v>
      </c>
      <c r="T1932">
        <v>169044.64</v>
      </c>
      <c r="U1932" t="s">
        <v>4959</v>
      </c>
      <c r="V1932" t="s">
        <v>4959</v>
      </c>
      <c r="W1932">
        <v>1.01</v>
      </c>
    </row>
    <row r="1933" spans="1:23">
      <c r="A1933" t="str">
        <f>"600429"</f>
        <v>600429</v>
      </c>
      <c r="B1933" t="s">
        <v>4960</v>
      </c>
      <c r="C1933">
        <v>9.2899999999999991</v>
      </c>
      <c r="D1933">
        <v>9.3699999999999992</v>
      </c>
      <c r="E1933">
        <v>9.11</v>
      </c>
      <c r="F1933">
        <v>9.15</v>
      </c>
      <c r="G1933">
        <v>114918</v>
      </c>
      <c r="H1933">
        <v>106026288</v>
      </c>
      <c r="I1933">
        <v>1.3</v>
      </c>
      <c r="J1933" t="s">
        <v>2250</v>
      </c>
      <c r="K1933" t="s">
        <v>34</v>
      </c>
      <c r="L1933">
        <v>0.22</v>
      </c>
      <c r="M1933">
        <v>9.23</v>
      </c>
      <c r="N1933">
        <v>61248</v>
      </c>
      <c r="O1933">
        <v>53670</v>
      </c>
      <c r="P1933">
        <v>1.1399999999999999</v>
      </c>
      <c r="Q1933">
        <v>113</v>
      </c>
      <c r="R1933">
        <v>227</v>
      </c>
      <c r="S1933" t="s">
        <v>3</v>
      </c>
      <c r="T1933">
        <v>88500</v>
      </c>
      <c r="U1933" t="s">
        <v>4961</v>
      </c>
      <c r="V1933" t="s">
        <v>4961</v>
      </c>
      <c r="W1933">
        <v>0.21</v>
      </c>
    </row>
    <row r="1934" spans="1:23">
      <c r="A1934" t="str">
        <f>"600432"</f>
        <v>600432</v>
      </c>
      <c r="B1934" t="s">
        <v>4962</v>
      </c>
      <c r="C1934">
        <v>17.46</v>
      </c>
      <c r="D1934">
        <v>17.68</v>
      </c>
      <c r="E1934">
        <v>16.89</v>
      </c>
      <c r="F1934">
        <v>17.09</v>
      </c>
      <c r="G1934">
        <v>196378</v>
      </c>
      <c r="H1934">
        <v>337280512</v>
      </c>
      <c r="I1934">
        <v>0.93</v>
      </c>
      <c r="J1934" t="s">
        <v>328</v>
      </c>
      <c r="K1934" t="s">
        <v>99</v>
      </c>
      <c r="L1934">
        <v>-0.18</v>
      </c>
      <c r="M1934">
        <v>17.18</v>
      </c>
      <c r="N1934">
        <v>109848</v>
      </c>
      <c r="O1934">
        <v>86529</v>
      </c>
      <c r="P1934">
        <v>1.27</v>
      </c>
      <c r="Q1934">
        <v>88</v>
      </c>
      <c r="R1934">
        <v>13</v>
      </c>
      <c r="S1934" t="s">
        <v>3</v>
      </c>
      <c r="T1934">
        <v>81112.149999999994</v>
      </c>
      <c r="U1934" t="s">
        <v>4407</v>
      </c>
      <c r="V1934" t="s">
        <v>4407</v>
      </c>
      <c r="W1934">
        <v>-0.18</v>
      </c>
    </row>
    <row r="1935" spans="1:23">
      <c r="A1935" t="str">
        <f>"600433"</f>
        <v>600433</v>
      </c>
      <c r="B1935" t="s">
        <v>4963</v>
      </c>
      <c r="C1935">
        <v>12.11</v>
      </c>
      <c r="D1935">
        <v>12.78</v>
      </c>
      <c r="E1935">
        <v>12</v>
      </c>
      <c r="F1935">
        <v>12.15</v>
      </c>
      <c r="G1935">
        <v>287295</v>
      </c>
      <c r="H1935">
        <v>350762144</v>
      </c>
      <c r="I1935">
        <v>1.1599999999999999</v>
      </c>
      <c r="J1935" t="s">
        <v>343</v>
      </c>
      <c r="K1935" t="s">
        <v>211</v>
      </c>
      <c r="L1935">
        <v>-0.08</v>
      </c>
      <c r="M1935">
        <v>12.21</v>
      </c>
      <c r="N1935">
        <v>146739</v>
      </c>
      <c r="O1935">
        <v>140556</v>
      </c>
      <c r="P1935">
        <v>1.04</v>
      </c>
      <c r="Q1935">
        <v>83</v>
      </c>
      <c r="R1935">
        <v>313</v>
      </c>
      <c r="S1935" t="s">
        <v>3</v>
      </c>
      <c r="T1935">
        <v>110628</v>
      </c>
      <c r="U1935" t="s">
        <v>4964</v>
      </c>
      <c r="V1935" t="s">
        <v>4965</v>
      </c>
      <c r="W1935">
        <v>-0.09</v>
      </c>
    </row>
    <row r="1936" spans="1:23">
      <c r="A1936" t="str">
        <f>"600435"</f>
        <v>600435</v>
      </c>
      <c r="B1936" t="s">
        <v>4966</v>
      </c>
      <c r="C1936">
        <v>24.25</v>
      </c>
      <c r="D1936">
        <v>24.95</v>
      </c>
      <c r="E1936">
        <v>23.79</v>
      </c>
      <c r="F1936">
        <v>23.91</v>
      </c>
      <c r="G1936">
        <v>418017</v>
      </c>
      <c r="H1936">
        <v>1010690368</v>
      </c>
      <c r="I1936">
        <v>0.9</v>
      </c>
      <c r="J1936" t="s">
        <v>269</v>
      </c>
      <c r="K1936" t="s">
        <v>34</v>
      </c>
      <c r="L1936">
        <v>-1.52</v>
      </c>
      <c r="M1936">
        <v>24.18</v>
      </c>
      <c r="N1936">
        <v>232930</v>
      </c>
      <c r="O1936">
        <v>185087</v>
      </c>
      <c r="P1936">
        <v>1.26</v>
      </c>
      <c r="Q1936">
        <v>159</v>
      </c>
      <c r="R1936">
        <v>421</v>
      </c>
      <c r="S1936" t="s">
        <v>3</v>
      </c>
      <c r="T1936">
        <v>74466</v>
      </c>
      <c r="U1936" t="s">
        <v>4967</v>
      </c>
      <c r="V1936" t="s">
        <v>4967</v>
      </c>
      <c r="W1936">
        <v>-1.53</v>
      </c>
    </row>
    <row r="1937" spans="1:23">
      <c r="A1937" t="str">
        <f>"600436"</f>
        <v>600436</v>
      </c>
      <c r="B1937" t="s">
        <v>4968</v>
      </c>
      <c r="C1937">
        <v>85.39</v>
      </c>
      <c r="D1937">
        <v>85.65</v>
      </c>
      <c r="E1937">
        <v>84.33</v>
      </c>
      <c r="F1937">
        <v>84.55</v>
      </c>
      <c r="G1937">
        <v>12458</v>
      </c>
      <c r="H1937">
        <v>105428912</v>
      </c>
      <c r="I1937">
        <v>0.81</v>
      </c>
      <c r="J1937" t="s">
        <v>321</v>
      </c>
      <c r="K1937" t="s">
        <v>414</v>
      </c>
      <c r="L1937">
        <v>-0.94</v>
      </c>
      <c r="M1937">
        <v>84.63</v>
      </c>
      <c r="N1937">
        <v>6979</v>
      </c>
      <c r="O1937">
        <v>5478</v>
      </c>
      <c r="P1937">
        <v>1.27</v>
      </c>
      <c r="Q1937">
        <v>2</v>
      </c>
      <c r="R1937">
        <v>5</v>
      </c>
      <c r="S1937" t="s">
        <v>3</v>
      </c>
      <c r="T1937">
        <v>16088.45</v>
      </c>
      <c r="U1937" t="s">
        <v>4969</v>
      </c>
      <c r="V1937" t="s">
        <v>4969</v>
      </c>
      <c r="W1937">
        <v>-0.94</v>
      </c>
    </row>
    <row r="1938" spans="1:23">
      <c r="A1938" t="str">
        <f>"600438"</f>
        <v>600438</v>
      </c>
      <c r="B1938" t="s">
        <v>4970</v>
      </c>
      <c r="C1938">
        <v>10.28</v>
      </c>
      <c r="D1938">
        <v>10.4</v>
      </c>
      <c r="E1938">
        <v>9.99</v>
      </c>
      <c r="F1938">
        <v>10.09</v>
      </c>
      <c r="G1938">
        <v>68522</v>
      </c>
      <c r="H1938">
        <v>69880176</v>
      </c>
      <c r="I1938">
        <v>1.21</v>
      </c>
      <c r="J1938" t="s">
        <v>141</v>
      </c>
      <c r="K1938" t="s">
        <v>225</v>
      </c>
      <c r="L1938">
        <v>-1.85</v>
      </c>
      <c r="M1938">
        <v>10.199999999999999</v>
      </c>
      <c r="N1938">
        <v>49712</v>
      </c>
      <c r="O1938">
        <v>18810</v>
      </c>
      <c r="P1938">
        <v>2.64</v>
      </c>
      <c r="Q1938">
        <v>1</v>
      </c>
      <c r="R1938">
        <v>540</v>
      </c>
      <c r="S1938" t="s">
        <v>3</v>
      </c>
      <c r="T1938">
        <v>68752</v>
      </c>
      <c r="U1938" t="s">
        <v>4971</v>
      </c>
      <c r="V1938" t="s">
        <v>4972</v>
      </c>
      <c r="W1938">
        <v>-1.85</v>
      </c>
    </row>
    <row r="1939" spans="1:23">
      <c r="A1939" t="str">
        <f>"600439"</f>
        <v>600439</v>
      </c>
      <c r="B1939" t="s">
        <v>4973</v>
      </c>
      <c r="C1939">
        <v>4.25</v>
      </c>
      <c r="D1939">
        <v>4.26</v>
      </c>
      <c r="E1939">
        <v>4.1900000000000004</v>
      </c>
      <c r="F1939">
        <v>4.2300000000000004</v>
      </c>
      <c r="G1939">
        <v>133032</v>
      </c>
      <c r="H1939">
        <v>56206544</v>
      </c>
      <c r="I1939">
        <v>1.02</v>
      </c>
      <c r="J1939" t="s">
        <v>1373</v>
      </c>
      <c r="K1939" t="s">
        <v>254</v>
      </c>
      <c r="L1939">
        <v>-0.47</v>
      </c>
      <c r="M1939">
        <v>4.2300000000000004</v>
      </c>
      <c r="N1939">
        <v>85723</v>
      </c>
      <c r="O1939">
        <v>47309</v>
      </c>
      <c r="P1939">
        <v>1.81</v>
      </c>
      <c r="Q1939">
        <v>1619</v>
      </c>
      <c r="R1939">
        <v>4829</v>
      </c>
      <c r="S1939" t="s">
        <v>3</v>
      </c>
      <c r="T1939">
        <v>94332.11</v>
      </c>
      <c r="U1939" t="s">
        <v>4974</v>
      </c>
      <c r="V1939" t="s">
        <v>4974</v>
      </c>
      <c r="W1939">
        <v>-0.47</v>
      </c>
    </row>
    <row r="1940" spans="1:23">
      <c r="A1940" t="str">
        <f>"600444"</f>
        <v>600444</v>
      </c>
      <c r="B1940" t="s">
        <v>4975</v>
      </c>
      <c r="C1940">
        <v>16.079999999999998</v>
      </c>
      <c r="D1940">
        <v>16.079999999999998</v>
      </c>
      <c r="E1940">
        <v>15.2</v>
      </c>
      <c r="F1940">
        <v>15.84</v>
      </c>
      <c r="G1940">
        <v>45548</v>
      </c>
      <c r="H1940">
        <v>70714264</v>
      </c>
      <c r="I1940">
        <v>1.81</v>
      </c>
      <c r="J1940" t="s">
        <v>273</v>
      </c>
      <c r="K1940" t="s">
        <v>220</v>
      </c>
      <c r="L1940">
        <v>-1.19</v>
      </c>
      <c r="M1940">
        <v>15.53</v>
      </c>
      <c r="N1940">
        <v>24526</v>
      </c>
      <c r="O1940">
        <v>21022</v>
      </c>
      <c r="P1940">
        <v>1.17</v>
      </c>
      <c r="Q1940">
        <v>30</v>
      </c>
      <c r="R1940">
        <v>4</v>
      </c>
      <c r="S1940" t="s">
        <v>3</v>
      </c>
      <c r="T1940">
        <v>10500</v>
      </c>
      <c r="U1940" t="s">
        <v>4976</v>
      </c>
      <c r="V1940" t="s">
        <v>4976</v>
      </c>
      <c r="W1940">
        <v>-1.19</v>
      </c>
    </row>
    <row r="1941" spans="1:23">
      <c r="A1941" t="str">
        <f>"600446"</f>
        <v>600446</v>
      </c>
      <c r="B1941" t="s">
        <v>4977</v>
      </c>
      <c r="C1941">
        <v>35.1</v>
      </c>
      <c r="D1941">
        <v>35.5</v>
      </c>
      <c r="E1941">
        <v>34.28</v>
      </c>
      <c r="F1941">
        <v>34.99</v>
      </c>
      <c r="G1941">
        <v>27422</v>
      </c>
      <c r="H1941">
        <v>95321352</v>
      </c>
      <c r="I1941">
        <v>0.81</v>
      </c>
      <c r="J1941" t="s">
        <v>758</v>
      </c>
      <c r="K1941" t="s">
        <v>2</v>
      </c>
      <c r="L1941">
        <v>-0.03</v>
      </c>
      <c r="M1941">
        <v>34.76</v>
      </c>
      <c r="N1941">
        <v>14648</v>
      </c>
      <c r="O1941">
        <v>12774</v>
      </c>
      <c r="P1941">
        <v>1.1499999999999999</v>
      </c>
      <c r="Q1941">
        <v>29</v>
      </c>
      <c r="R1941">
        <v>8</v>
      </c>
      <c r="S1941" t="s">
        <v>3</v>
      </c>
      <c r="T1941">
        <v>26414.400000000001</v>
      </c>
      <c r="U1941" t="s">
        <v>4978</v>
      </c>
      <c r="V1941" t="s">
        <v>4978</v>
      </c>
      <c r="W1941">
        <v>-0.03</v>
      </c>
    </row>
    <row r="1942" spans="1:23">
      <c r="A1942" t="str">
        <f>"600448"</f>
        <v>600448</v>
      </c>
      <c r="B1942" t="s">
        <v>4979</v>
      </c>
      <c r="C1942">
        <v>5.7</v>
      </c>
      <c r="D1942">
        <v>6.28</v>
      </c>
      <c r="E1942">
        <v>5.64</v>
      </c>
      <c r="F1942">
        <v>6.16</v>
      </c>
      <c r="G1942">
        <v>240030</v>
      </c>
      <c r="H1942">
        <v>144488928</v>
      </c>
      <c r="I1942">
        <v>1.99</v>
      </c>
      <c r="J1942" t="s">
        <v>55</v>
      </c>
      <c r="K1942" t="s">
        <v>250</v>
      </c>
      <c r="L1942">
        <v>7.5</v>
      </c>
      <c r="M1942">
        <v>6.02</v>
      </c>
      <c r="N1942">
        <v>102406</v>
      </c>
      <c r="O1942">
        <v>137624</v>
      </c>
      <c r="P1942">
        <v>0.74</v>
      </c>
      <c r="Q1942">
        <v>89</v>
      </c>
      <c r="R1942">
        <v>251</v>
      </c>
      <c r="S1942" t="s">
        <v>3</v>
      </c>
      <c r="T1942">
        <v>31980</v>
      </c>
      <c r="U1942" t="s">
        <v>659</v>
      </c>
      <c r="V1942" t="s">
        <v>2562</v>
      </c>
      <c r="W1942">
        <v>7.5</v>
      </c>
    </row>
    <row r="1943" spans="1:23">
      <c r="A1943" t="str">
        <f>"600449"</f>
        <v>600449</v>
      </c>
      <c r="B1943" t="s">
        <v>4980</v>
      </c>
      <c r="C1943">
        <v>8.58</v>
      </c>
      <c r="D1943">
        <v>8.6199999999999992</v>
      </c>
      <c r="E1943">
        <v>8.52</v>
      </c>
      <c r="F1943">
        <v>8.58</v>
      </c>
      <c r="G1943">
        <v>87977</v>
      </c>
      <c r="H1943">
        <v>75407264</v>
      </c>
      <c r="I1943">
        <v>0.77</v>
      </c>
      <c r="J1943" t="s">
        <v>258</v>
      </c>
      <c r="K1943" t="s">
        <v>496</v>
      </c>
      <c r="L1943">
        <v>0</v>
      </c>
      <c r="M1943">
        <v>8.57</v>
      </c>
      <c r="N1943">
        <v>50610</v>
      </c>
      <c r="O1943">
        <v>37367</v>
      </c>
      <c r="P1943">
        <v>1.35</v>
      </c>
      <c r="Q1943">
        <v>570</v>
      </c>
      <c r="R1943">
        <v>279</v>
      </c>
      <c r="S1943" t="s">
        <v>3</v>
      </c>
      <c r="T1943">
        <v>25076.77</v>
      </c>
      <c r="U1943" t="s">
        <v>4981</v>
      </c>
      <c r="V1943" t="s">
        <v>4982</v>
      </c>
      <c r="W1943">
        <v>0</v>
      </c>
    </row>
    <row r="1944" spans="1:23">
      <c r="A1944" t="str">
        <f>"600452"</f>
        <v>600452</v>
      </c>
      <c r="B1944" t="s">
        <v>4983</v>
      </c>
      <c r="C1944">
        <v>14.11</v>
      </c>
      <c r="D1944">
        <v>15.36</v>
      </c>
      <c r="E1944">
        <v>14.11</v>
      </c>
      <c r="F1944">
        <v>15</v>
      </c>
      <c r="G1944">
        <v>36241</v>
      </c>
      <c r="H1944">
        <v>53382452</v>
      </c>
      <c r="I1944">
        <v>1.62</v>
      </c>
      <c r="J1944" t="s">
        <v>87</v>
      </c>
      <c r="K1944" t="s">
        <v>386</v>
      </c>
      <c r="L1944">
        <v>6.46</v>
      </c>
      <c r="M1944">
        <v>14.73</v>
      </c>
      <c r="N1944">
        <v>15608</v>
      </c>
      <c r="O1944">
        <v>20633</v>
      </c>
      <c r="P1944">
        <v>0.76</v>
      </c>
      <c r="Q1944">
        <v>34</v>
      </c>
      <c r="R1944">
        <v>28</v>
      </c>
      <c r="S1944" t="s">
        <v>3</v>
      </c>
      <c r="T1944">
        <v>16000</v>
      </c>
      <c r="U1944" t="s">
        <v>4984</v>
      </c>
      <c r="V1944" t="s">
        <v>4984</v>
      </c>
      <c r="W1944">
        <v>6.45</v>
      </c>
    </row>
    <row r="1945" spans="1:23">
      <c r="A1945" t="str">
        <f>"600455"</f>
        <v>600455</v>
      </c>
      <c r="B1945" t="s">
        <v>4985</v>
      </c>
      <c r="C1945" t="s">
        <v>3</v>
      </c>
      <c r="D1945" t="s">
        <v>3</v>
      </c>
      <c r="E1945" t="s">
        <v>3</v>
      </c>
      <c r="F1945">
        <v>22.96</v>
      </c>
      <c r="G1945">
        <v>0</v>
      </c>
      <c r="H1945">
        <v>0</v>
      </c>
      <c r="I1945">
        <v>0</v>
      </c>
      <c r="J1945" t="s">
        <v>758</v>
      </c>
      <c r="K1945" t="s">
        <v>389</v>
      </c>
      <c r="L1945">
        <v>0</v>
      </c>
      <c r="M1945">
        <v>22.96</v>
      </c>
      <c r="N1945">
        <v>0</v>
      </c>
      <c r="O1945">
        <v>0</v>
      </c>
      <c r="P1945" t="s">
        <v>3</v>
      </c>
      <c r="Q1945">
        <v>0</v>
      </c>
      <c r="R1945">
        <v>0</v>
      </c>
      <c r="S1945" t="s">
        <v>3</v>
      </c>
      <c r="T1945">
        <v>4971.7700000000004</v>
      </c>
      <c r="U1945" t="s">
        <v>1461</v>
      </c>
      <c r="V1945" t="s">
        <v>4986</v>
      </c>
      <c r="W1945">
        <v>0</v>
      </c>
    </row>
    <row r="1946" spans="1:23">
      <c r="A1946" t="str">
        <f>"600456"</f>
        <v>600456</v>
      </c>
      <c r="B1946" t="s">
        <v>4987</v>
      </c>
      <c r="C1946">
        <v>17.420000000000002</v>
      </c>
      <c r="D1946">
        <v>17.440000000000001</v>
      </c>
      <c r="E1946">
        <v>17</v>
      </c>
      <c r="F1946">
        <v>17.18</v>
      </c>
      <c r="G1946">
        <v>105385</v>
      </c>
      <c r="H1946">
        <v>180873632</v>
      </c>
      <c r="I1946">
        <v>1.01</v>
      </c>
      <c r="J1946" t="s">
        <v>328</v>
      </c>
      <c r="K1946" t="s">
        <v>389</v>
      </c>
      <c r="L1946">
        <v>-0.98</v>
      </c>
      <c r="M1946">
        <v>17.16</v>
      </c>
      <c r="N1946">
        <v>58994</v>
      </c>
      <c r="O1946">
        <v>46391</v>
      </c>
      <c r="P1946">
        <v>1.27</v>
      </c>
      <c r="Q1946">
        <v>17</v>
      </c>
      <c r="R1946">
        <v>80</v>
      </c>
      <c r="S1946" t="s">
        <v>3</v>
      </c>
      <c r="T1946">
        <v>43026.57</v>
      </c>
      <c r="U1946" t="s">
        <v>4988</v>
      </c>
      <c r="V1946" t="s">
        <v>4988</v>
      </c>
      <c r="W1946">
        <v>-0.98</v>
      </c>
    </row>
    <row r="1947" spans="1:23">
      <c r="A1947" t="str">
        <f>"600458"</f>
        <v>600458</v>
      </c>
      <c r="B1947" t="s">
        <v>4989</v>
      </c>
      <c r="C1947">
        <v>10.58</v>
      </c>
      <c r="D1947">
        <v>11.56</v>
      </c>
      <c r="E1947">
        <v>10.45</v>
      </c>
      <c r="F1947">
        <v>11.22</v>
      </c>
      <c r="G1947">
        <v>342603</v>
      </c>
      <c r="H1947">
        <v>378940352</v>
      </c>
      <c r="I1947">
        <v>2.96</v>
      </c>
      <c r="J1947" t="s">
        <v>273</v>
      </c>
      <c r="K1947" t="s">
        <v>234</v>
      </c>
      <c r="L1947">
        <v>6.25</v>
      </c>
      <c r="M1947">
        <v>11.06</v>
      </c>
      <c r="N1947">
        <v>157382</v>
      </c>
      <c r="O1947">
        <v>185221</v>
      </c>
      <c r="P1947">
        <v>0.85</v>
      </c>
      <c r="Q1947">
        <v>326</v>
      </c>
      <c r="R1947">
        <v>30</v>
      </c>
      <c r="S1947" t="s">
        <v>3</v>
      </c>
      <c r="T1947">
        <v>66142.210000000006</v>
      </c>
      <c r="U1947" t="s">
        <v>4990</v>
      </c>
      <c r="V1947" t="s">
        <v>4990</v>
      </c>
      <c r="W1947">
        <v>6.25</v>
      </c>
    </row>
    <row r="1948" spans="1:23">
      <c r="A1948" t="str">
        <f>"600459"</f>
        <v>600459</v>
      </c>
      <c r="B1948" t="s">
        <v>4991</v>
      </c>
      <c r="C1948">
        <v>18.36</v>
      </c>
      <c r="D1948">
        <v>18.38</v>
      </c>
      <c r="E1948">
        <v>18.079999999999998</v>
      </c>
      <c r="F1948">
        <v>18.13</v>
      </c>
      <c r="G1948">
        <v>51908</v>
      </c>
      <c r="H1948">
        <v>94290216</v>
      </c>
      <c r="I1948">
        <v>0.77</v>
      </c>
      <c r="J1948" t="s">
        <v>328</v>
      </c>
      <c r="K1948" t="s">
        <v>445</v>
      </c>
      <c r="L1948">
        <v>-0.98</v>
      </c>
      <c r="M1948">
        <v>18.16</v>
      </c>
      <c r="N1948">
        <v>29839</v>
      </c>
      <c r="O1948">
        <v>22069</v>
      </c>
      <c r="P1948">
        <v>1.35</v>
      </c>
      <c r="Q1948">
        <v>111</v>
      </c>
      <c r="R1948">
        <v>124</v>
      </c>
      <c r="S1948" t="s">
        <v>3</v>
      </c>
      <c r="T1948">
        <v>26097.759999999998</v>
      </c>
      <c r="U1948" t="s">
        <v>2406</v>
      </c>
      <c r="V1948" t="s">
        <v>2406</v>
      </c>
      <c r="W1948">
        <v>-0.99</v>
      </c>
    </row>
    <row r="1949" spans="1:23">
      <c r="A1949" t="str">
        <f>"600460"</f>
        <v>600460</v>
      </c>
      <c r="B1949" t="s">
        <v>4992</v>
      </c>
      <c r="C1949">
        <v>6.36</v>
      </c>
      <c r="D1949">
        <v>6.39</v>
      </c>
      <c r="E1949">
        <v>6.27</v>
      </c>
      <c r="F1949">
        <v>6.34</v>
      </c>
      <c r="G1949">
        <v>255223</v>
      </c>
      <c r="H1949">
        <v>161516464</v>
      </c>
      <c r="I1949">
        <v>0.82</v>
      </c>
      <c r="J1949" t="s">
        <v>1581</v>
      </c>
      <c r="K1949" t="s">
        <v>229</v>
      </c>
      <c r="L1949">
        <v>-0.31</v>
      </c>
      <c r="M1949">
        <v>6.33</v>
      </c>
      <c r="N1949">
        <v>140799</v>
      </c>
      <c r="O1949">
        <v>114424</v>
      </c>
      <c r="P1949">
        <v>1.23</v>
      </c>
      <c r="Q1949">
        <v>190</v>
      </c>
      <c r="R1949">
        <v>2508</v>
      </c>
      <c r="S1949" t="s">
        <v>3</v>
      </c>
      <c r="T1949">
        <v>124716.79</v>
      </c>
      <c r="U1949" t="s">
        <v>1578</v>
      </c>
      <c r="V1949" t="s">
        <v>1578</v>
      </c>
      <c r="W1949">
        <v>-0.32</v>
      </c>
    </row>
    <row r="1950" spans="1:23">
      <c r="A1950" t="str">
        <f>"600461"</f>
        <v>600461</v>
      </c>
      <c r="B1950" t="s">
        <v>4993</v>
      </c>
      <c r="C1950">
        <v>10.32</v>
      </c>
      <c r="D1950">
        <v>10.56</v>
      </c>
      <c r="E1950">
        <v>10.32</v>
      </c>
      <c r="F1950">
        <v>10.4</v>
      </c>
      <c r="G1950">
        <v>74513</v>
      </c>
      <c r="H1950">
        <v>77883440</v>
      </c>
      <c r="I1950">
        <v>0.84</v>
      </c>
      <c r="J1950" t="s">
        <v>609</v>
      </c>
      <c r="K1950" t="s">
        <v>265</v>
      </c>
      <c r="L1950">
        <v>0.87</v>
      </c>
      <c r="M1950">
        <v>10.45</v>
      </c>
      <c r="N1950">
        <v>38038</v>
      </c>
      <c r="O1950">
        <v>36475</v>
      </c>
      <c r="P1950">
        <v>1.04</v>
      </c>
      <c r="Q1950">
        <v>161</v>
      </c>
      <c r="R1950">
        <v>13</v>
      </c>
      <c r="S1950" t="s">
        <v>3</v>
      </c>
      <c r="T1950">
        <v>33000</v>
      </c>
      <c r="U1950" t="s">
        <v>4994</v>
      </c>
      <c r="V1950" t="s">
        <v>4994</v>
      </c>
      <c r="W1950">
        <v>0.87</v>
      </c>
    </row>
    <row r="1951" spans="1:23">
      <c r="A1951" t="str">
        <f>"600462"</f>
        <v>600462</v>
      </c>
      <c r="B1951" t="s">
        <v>4995</v>
      </c>
      <c r="C1951">
        <v>7.12</v>
      </c>
      <c r="D1951">
        <v>7.35</v>
      </c>
      <c r="E1951">
        <v>7.05</v>
      </c>
      <c r="F1951">
        <v>7.28</v>
      </c>
      <c r="G1951">
        <v>53685</v>
      </c>
      <c r="H1951">
        <v>38677072</v>
      </c>
      <c r="I1951">
        <v>1.1299999999999999</v>
      </c>
      <c r="J1951" t="s">
        <v>343</v>
      </c>
      <c r="K1951" t="s">
        <v>99</v>
      </c>
      <c r="L1951">
        <v>2.82</v>
      </c>
      <c r="M1951">
        <v>7.2</v>
      </c>
      <c r="N1951">
        <v>21621</v>
      </c>
      <c r="O1951">
        <v>32064</v>
      </c>
      <c r="P1951">
        <v>0.67</v>
      </c>
      <c r="Q1951">
        <v>117</v>
      </c>
      <c r="R1951">
        <v>432</v>
      </c>
      <c r="S1951" t="s">
        <v>3</v>
      </c>
      <c r="T1951">
        <v>53378</v>
      </c>
      <c r="U1951" t="s">
        <v>4996</v>
      </c>
      <c r="V1951" t="s">
        <v>4996</v>
      </c>
      <c r="W1951">
        <v>2.82</v>
      </c>
    </row>
    <row r="1952" spans="1:23">
      <c r="A1952" t="str">
        <f>"600463"</f>
        <v>600463</v>
      </c>
      <c r="B1952" t="s">
        <v>4997</v>
      </c>
      <c r="C1952">
        <v>9.1999999999999993</v>
      </c>
      <c r="D1952">
        <v>9.24</v>
      </c>
      <c r="E1952">
        <v>8.94</v>
      </c>
      <c r="F1952">
        <v>9.1199999999999992</v>
      </c>
      <c r="G1952">
        <v>62838</v>
      </c>
      <c r="H1952">
        <v>57086344</v>
      </c>
      <c r="I1952">
        <v>0.82</v>
      </c>
      <c r="J1952" t="s">
        <v>663</v>
      </c>
      <c r="K1952" t="s">
        <v>34</v>
      </c>
      <c r="L1952">
        <v>-1.51</v>
      </c>
      <c r="M1952">
        <v>9.08</v>
      </c>
      <c r="N1952">
        <v>33253</v>
      </c>
      <c r="O1952">
        <v>29585</v>
      </c>
      <c r="P1952">
        <v>1.1200000000000001</v>
      </c>
      <c r="Q1952">
        <v>33</v>
      </c>
      <c r="R1952">
        <v>564</v>
      </c>
      <c r="S1952" t="s">
        <v>3</v>
      </c>
      <c r="T1952">
        <v>25200</v>
      </c>
      <c r="U1952" t="s">
        <v>4998</v>
      </c>
      <c r="V1952" t="s">
        <v>4998</v>
      </c>
      <c r="W1952">
        <v>-1.52</v>
      </c>
    </row>
    <row r="1953" spans="1:23">
      <c r="A1953" t="str">
        <f>"600466"</f>
        <v>600466</v>
      </c>
      <c r="B1953" t="s">
        <v>4999</v>
      </c>
      <c r="C1953">
        <v>5.55</v>
      </c>
      <c r="D1953">
        <v>5.68</v>
      </c>
      <c r="E1953">
        <v>5.48</v>
      </c>
      <c r="F1953">
        <v>5.62</v>
      </c>
      <c r="G1953">
        <v>163057</v>
      </c>
      <c r="H1953">
        <v>90981848</v>
      </c>
      <c r="I1953">
        <v>1.35</v>
      </c>
      <c r="J1953" t="s">
        <v>321</v>
      </c>
      <c r="K1953" t="s">
        <v>225</v>
      </c>
      <c r="L1953">
        <v>1.81</v>
      </c>
      <c r="M1953">
        <v>5.58</v>
      </c>
      <c r="N1953">
        <v>67841</v>
      </c>
      <c r="O1953">
        <v>95216</v>
      </c>
      <c r="P1953">
        <v>0.71</v>
      </c>
      <c r="Q1953">
        <v>801</v>
      </c>
      <c r="R1953">
        <v>1886</v>
      </c>
      <c r="S1953" t="s">
        <v>3</v>
      </c>
      <c r="T1953">
        <v>43900.58</v>
      </c>
      <c r="U1953" t="s">
        <v>5000</v>
      </c>
      <c r="V1953" t="s">
        <v>5000</v>
      </c>
      <c r="W1953">
        <v>1.81</v>
      </c>
    </row>
    <row r="1954" spans="1:23">
      <c r="A1954" t="str">
        <f>"600467"</f>
        <v>600467</v>
      </c>
      <c r="B1954" t="s">
        <v>5001</v>
      </c>
      <c r="C1954">
        <v>5.82</v>
      </c>
      <c r="D1954">
        <v>5.9</v>
      </c>
      <c r="E1954">
        <v>5.8</v>
      </c>
      <c r="F1954">
        <v>5.87</v>
      </c>
      <c r="G1954">
        <v>224162</v>
      </c>
      <c r="H1954">
        <v>131418488</v>
      </c>
      <c r="I1954">
        <v>1.56</v>
      </c>
      <c r="J1954" t="s">
        <v>988</v>
      </c>
      <c r="K1954" t="s">
        <v>250</v>
      </c>
      <c r="L1954">
        <v>0.86</v>
      </c>
      <c r="M1954">
        <v>5.86</v>
      </c>
      <c r="N1954">
        <v>107000</v>
      </c>
      <c r="O1954">
        <v>117162</v>
      </c>
      <c r="P1954">
        <v>0.91</v>
      </c>
      <c r="Q1954">
        <v>607</v>
      </c>
      <c r="R1954">
        <v>2793</v>
      </c>
      <c r="S1954" t="s">
        <v>3</v>
      </c>
      <c r="T1954">
        <v>72001.67</v>
      </c>
      <c r="U1954" t="s">
        <v>5002</v>
      </c>
      <c r="V1954" t="s">
        <v>2748</v>
      </c>
      <c r="W1954">
        <v>0.85</v>
      </c>
    </row>
    <row r="1955" spans="1:23">
      <c r="A1955" t="str">
        <f>"600468"</f>
        <v>600468</v>
      </c>
      <c r="B1955" t="s">
        <v>5003</v>
      </c>
      <c r="C1955">
        <v>12.4</v>
      </c>
      <c r="D1955">
        <v>12.72</v>
      </c>
      <c r="E1955">
        <v>12.19</v>
      </c>
      <c r="F1955">
        <v>12.63</v>
      </c>
      <c r="G1955">
        <v>62392</v>
      </c>
      <c r="H1955">
        <v>78110120</v>
      </c>
      <c r="I1955">
        <v>0.94</v>
      </c>
      <c r="J1955" t="s">
        <v>145</v>
      </c>
      <c r="K1955" t="s">
        <v>442</v>
      </c>
      <c r="L1955">
        <v>2.6</v>
      </c>
      <c r="M1955">
        <v>12.52</v>
      </c>
      <c r="N1955">
        <v>29979</v>
      </c>
      <c r="O1955">
        <v>32412</v>
      </c>
      <c r="P1955">
        <v>0.92</v>
      </c>
      <c r="Q1955">
        <v>364</v>
      </c>
      <c r="R1955">
        <v>121</v>
      </c>
      <c r="S1955" t="s">
        <v>3</v>
      </c>
      <c r="T1955">
        <v>45619.19</v>
      </c>
      <c r="U1955" t="s">
        <v>2631</v>
      </c>
      <c r="V1955" t="s">
        <v>2631</v>
      </c>
      <c r="W1955">
        <v>2.6</v>
      </c>
    </row>
    <row r="1956" spans="1:23">
      <c r="A1956" t="str">
        <f>"600469"</f>
        <v>600469</v>
      </c>
      <c r="B1956" t="s">
        <v>5004</v>
      </c>
      <c r="C1956">
        <v>10.220000000000001</v>
      </c>
      <c r="D1956">
        <v>10.64</v>
      </c>
      <c r="E1956">
        <v>10.130000000000001</v>
      </c>
      <c r="F1956">
        <v>10.57</v>
      </c>
      <c r="G1956">
        <v>90902</v>
      </c>
      <c r="H1956">
        <v>94808088</v>
      </c>
      <c r="I1956">
        <v>2.2000000000000002</v>
      </c>
      <c r="J1956" t="s">
        <v>98</v>
      </c>
      <c r="K1956" t="s">
        <v>254</v>
      </c>
      <c r="L1956">
        <v>3.53</v>
      </c>
      <c r="M1956">
        <v>10.43</v>
      </c>
      <c r="N1956">
        <v>38319</v>
      </c>
      <c r="O1956">
        <v>52582</v>
      </c>
      <c r="P1956">
        <v>0.73</v>
      </c>
      <c r="Q1956">
        <v>632</v>
      </c>
      <c r="R1956">
        <v>122</v>
      </c>
      <c r="S1956" t="s">
        <v>3</v>
      </c>
      <c r="T1956">
        <v>37494.21</v>
      </c>
      <c r="U1956" t="s">
        <v>5005</v>
      </c>
      <c r="V1956" t="s">
        <v>5005</v>
      </c>
      <c r="W1956">
        <v>3.52</v>
      </c>
    </row>
    <row r="1957" spans="1:23">
      <c r="A1957" t="str">
        <f>"600470"</f>
        <v>600470</v>
      </c>
      <c r="B1957" t="s">
        <v>5006</v>
      </c>
      <c r="C1957">
        <v>6.37</v>
      </c>
      <c r="D1957">
        <v>6.38</v>
      </c>
      <c r="E1957">
        <v>6.29</v>
      </c>
      <c r="F1957">
        <v>6.34</v>
      </c>
      <c r="G1957">
        <v>138522</v>
      </c>
      <c r="H1957">
        <v>87758056</v>
      </c>
      <c r="I1957">
        <v>0.84</v>
      </c>
      <c r="J1957" t="s">
        <v>224</v>
      </c>
      <c r="K1957" t="s">
        <v>220</v>
      </c>
      <c r="L1957">
        <v>-0.31</v>
      </c>
      <c r="M1957">
        <v>6.34</v>
      </c>
      <c r="N1957">
        <v>79403</v>
      </c>
      <c r="O1957">
        <v>59119</v>
      </c>
      <c r="P1957">
        <v>1.34</v>
      </c>
      <c r="Q1957">
        <v>99</v>
      </c>
      <c r="R1957">
        <v>1599</v>
      </c>
      <c r="S1957" t="s">
        <v>3</v>
      </c>
      <c r="T1957">
        <v>52160</v>
      </c>
      <c r="U1957" t="s">
        <v>5007</v>
      </c>
      <c r="V1957" t="s">
        <v>5007</v>
      </c>
      <c r="W1957">
        <v>-0.32</v>
      </c>
    </row>
    <row r="1958" spans="1:23">
      <c r="A1958" t="str">
        <f>"600475"</f>
        <v>600475</v>
      </c>
      <c r="B1958" t="s">
        <v>5008</v>
      </c>
      <c r="C1958">
        <v>13.26</v>
      </c>
      <c r="D1958">
        <v>13.38</v>
      </c>
      <c r="E1958">
        <v>13.21</v>
      </c>
      <c r="F1958">
        <v>13.33</v>
      </c>
      <c r="G1958">
        <v>41709</v>
      </c>
      <c r="H1958">
        <v>55411080</v>
      </c>
      <c r="I1958">
        <v>0.91</v>
      </c>
      <c r="J1958" t="s">
        <v>269</v>
      </c>
      <c r="K1958" t="s">
        <v>244</v>
      </c>
      <c r="L1958">
        <v>0.23</v>
      </c>
      <c r="M1958">
        <v>13.29</v>
      </c>
      <c r="N1958">
        <v>24227</v>
      </c>
      <c r="O1958">
        <v>17481</v>
      </c>
      <c r="P1958">
        <v>1.39</v>
      </c>
      <c r="Q1958">
        <v>80</v>
      </c>
      <c r="R1958">
        <v>777</v>
      </c>
      <c r="S1958" t="s">
        <v>3</v>
      </c>
      <c r="T1958">
        <v>25600</v>
      </c>
      <c r="U1958" t="s">
        <v>2850</v>
      </c>
      <c r="V1958" t="s">
        <v>2850</v>
      </c>
      <c r="W1958">
        <v>0.22</v>
      </c>
    </row>
    <row r="1959" spans="1:23">
      <c r="A1959" t="str">
        <f>"600476"</f>
        <v>600476</v>
      </c>
      <c r="B1959" t="s">
        <v>5009</v>
      </c>
      <c r="C1959">
        <v>17.8</v>
      </c>
      <c r="D1959">
        <v>18.47</v>
      </c>
      <c r="E1959">
        <v>17.579999999999998</v>
      </c>
      <c r="F1959">
        <v>18.440000000000001</v>
      </c>
      <c r="G1959">
        <v>114623</v>
      </c>
      <c r="H1959">
        <v>206538928</v>
      </c>
      <c r="I1959">
        <v>0.94</v>
      </c>
      <c r="J1959" t="s">
        <v>758</v>
      </c>
      <c r="K1959" t="s">
        <v>234</v>
      </c>
      <c r="L1959">
        <v>3.71</v>
      </c>
      <c r="M1959">
        <v>18.02</v>
      </c>
      <c r="N1959">
        <v>51990</v>
      </c>
      <c r="O1959">
        <v>62632</v>
      </c>
      <c r="P1959">
        <v>0.83</v>
      </c>
      <c r="Q1959">
        <v>34</v>
      </c>
      <c r="R1959">
        <v>6</v>
      </c>
      <c r="S1959" t="s">
        <v>3</v>
      </c>
      <c r="T1959">
        <v>16107</v>
      </c>
      <c r="U1959" t="s">
        <v>1163</v>
      </c>
      <c r="V1959" t="s">
        <v>1163</v>
      </c>
      <c r="W1959">
        <v>3.71</v>
      </c>
    </row>
    <row r="1960" spans="1:23">
      <c r="A1960" t="str">
        <f>"600477"</f>
        <v>600477</v>
      </c>
      <c r="B1960" t="s">
        <v>5010</v>
      </c>
      <c r="C1960" t="s">
        <v>3</v>
      </c>
      <c r="D1960" t="s">
        <v>3</v>
      </c>
      <c r="E1960" t="s">
        <v>3</v>
      </c>
      <c r="F1960">
        <v>5.6</v>
      </c>
      <c r="G1960">
        <v>0</v>
      </c>
      <c r="H1960">
        <v>0</v>
      </c>
      <c r="I1960">
        <v>0</v>
      </c>
      <c r="J1960" t="s">
        <v>838</v>
      </c>
      <c r="K1960" t="s">
        <v>229</v>
      </c>
      <c r="L1960">
        <v>0</v>
      </c>
      <c r="M1960">
        <v>5.6</v>
      </c>
      <c r="N1960">
        <v>0</v>
      </c>
      <c r="O1960">
        <v>0</v>
      </c>
      <c r="P1960" t="s">
        <v>3</v>
      </c>
      <c r="Q1960">
        <v>0</v>
      </c>
      <c r="R1960">
        <v>0</v>
      </c>
      <c r="S1960" t="s">
        <v>3</v>
      </c>
      <c r="T1960">
        <v>46345.82</v>
      </c>
      <c r="U1960" t="s">
        <v>889</v>
      </c>
      <c r="V1960" t="s">
        <v>4540</v>
      </c>
      <c r="W1960">
        <v>0</v>
      </c>
    </row>
    <row r="1961" spans="1:23">
      <c r="A1961" t="str">
        <f>"600478"</f>
        <v>600478</v>
      </c>
      <c r="B1961" t="s">
        <v>5011</v>
      </c>
      <c r="C1961">
        <v>20.86</v>
      </c>
      <c r="D1961">
        <v>21.08</v>
      </c>
      <c r="E1961">
        <v>20.46</v>
      </c>
      <c r="F1961">
        <v>20.49</v>
      </c>
      <c r="G1961">
        <v>88409</v>
      </c>
      <c r="H1961">
        <v>183312528</v>
      </c>
      <c r="I1961">
        <v>0.99</v>
      </c>
      <c r="J1961" t="s">
        <v>62</v>
      </c>
      <c r="K1961" t="s">
        <v>234</v>
      </c>
      <c r="L1961">
        <v>-1.87</v>
      </c>
      <c r="M1961">
        <v>20.73</v>
      </c>
      <c r="N1961">
        <v>54996</v>
      </c>
      <c r="O1961">
        <v>33412</v>
      </c>
      <c r="P1961">
        <v>1.65</v>
      </c>
      <c r="Q1961">
        <v>643</v>
      </c>
      <c r="R1961">
        <v>29</v>
      </c>
      <c r="S1961" t="s">
        <v>3</v>
      </c>
      <c r="T1961">
        <v>47223.51</v>
      </c>
      <c r="U1961" t="s">
        <v>5012</v>
      </c>
      <c r="V1961" t="s">
        <v>5012</v>
      </c>
      <c r="W1961">
        <v>-1.87</v>
      </c>
    </row>
    <row r="1962" spans="1:23">
      <c r="A1962" t="str">
        <f>"600479"</f>
        <v>600479</v>
      </c>
      <c r="B1962" t="s">
        <v>5013</v>
      </c>
      <c r="C1962">
        <v>15.15</v>
      </c>
      <c r="D1962">
        <v>15.28</v>
      </c>
      <c r="E1962">
        <v>14.55</v>
      </c>
      <c r="F1962">
        <v>15.28</v>
      </c>
      <c r="G1962">
        <v>268286</v>
      </c>
      <c r="H1962">
        <v>407555360</v>
      </c>
      <c r="I1962">
        <v>2.6</v>
      </c>
      <c r="J1962" t="s">
        <v>321</v>
      </c>
      <c r="K1962" t="s">
        <v>234</v>
      </c>
      <c r="L1962">
        <v>10.01</v>
      </c>
      <c r="M1962">
        <v>15.19</v>
      </c>
      <c r="N1962">
        <v>166821</v>
      </c>
      <c r="O1962">
        <v>101464</v>
      </c>
      <c r="P1962">
        <v>1.64</v>
      </c>
      <c r="Q1962">
        <v>2055</v>
      </c>
      <c r="R1962">
        <v>0</v>
      </c>
      <c r="S1962" t="s">
        <v>3</v>
      </c>
      <c r="T1962">
        <v>30481.91</v>
      </c>
      <c r="U1962" t="s">
        <v>2329</v>
      </c>
      <c r="V1962" t="s">
        <v>2329</v>
      </c>
      <c r="W1962">
        <v>10</v>
      </c>
    </row>
    <row r="1963" spans="1:23">
      <c r="A1963" t="str">
        <f>"600480"</f>
        <v>600480</v>
      </c>
      <c r="B1963" t="s">
        <v>5014</v>
      </c>
      <c r="C1963">
        <v>12</v>
      </c>
      <c r="D1963">
        <v>12.15</v>
      </c>
      <c r="E1963">
        <v>11.91</v>
      </c>
      <c r="F1963">
        <v>12.06</v>
      </c>
      <c r="G1963">
        <v>103119</v>
      </c>
      <c r="H1963">
        <v>124139128</v>
      </c>
      <c r="I1963">
        <v>0.46</v>
      </c>
      <c r="J1963" t="s">
        <v>98</v>
      </c>
      <c r="K1963" t="s">
        <v>238</v>
      </c>
      <c r="L1963">
        <v>0.33</v>
      </c>
      <c r="M1963">
        <v>12.04</v>
      </c>
      <c r="N1963">
        <v>56580</v>
      </c>
      <c r="O1963">
        <v>46538</v>
      </c>
      <c r="P1963">
        <v>1.22</v>
      </c>
      <c r="Q1963">
        <v>157</v>
      </c>
      <c r="R1963">
        <v>125</v>
      </c>
      <c r="S1963" t="s">
        <v>3</v>
      </c>
      <c r="T1963">
        <v>36171.480000000003</v>
      </c>
      <c r="U1963" t="s">
        <v>5015</v>
      </c>
      <c r="V1963" t="s">
        <v>5015</v>
      </c>
      <c r="W1963">
        <v>0.33</v>
      </c>
    </row>
    <row r="1964" spans="1:23">
      <c r="A1964" t="str">
        <f>"600481"</f>
        <v>600481</v>
      </c>
      <c r="B1964" t="s">
        <v>5016</v>
      </c>
      <c r="C1964">
        <v>10.24</v>
      </c>
      <c r="D1964">
        <v>10.52</v>
      </c>
      <c r="E1964">
        <v>10.24</v>
      </c>
      <c r="F1964">
        <v>10.41</v>
      </c>
      <c r="G1964">
        <v>266161</v>
      </c>
      <c r="H1964">
        <v>276905248</v>
      </c>
      <c r="I1964">
        <v>1.67</v>
      </c>
      <c r="J1964" t="s">
        <v>376</v>
      </c>
      <c r="K1964" t="s">
        <v>244</v>
      </c>
      <c r="L1964">
        <v>1.66</v>
      </c>
      <c r="M1964">
        <v>10.4</v>
      </c>
      <c r="N1964">
        <v>124257</v>
      </c>
      <c r="O1964">
        <v>141904</v>
      </c>
      <c r="P1964">
        <v>0.88</v>
      </c>
      <c r="Q1964">
        <v>823</v>
      </c>
      <c r="R1964">
        <v>194</v>
      </c>
      <c r="S1964" t="s">
        <v>3</v>
      </c>
      <c r="T1964">
        <v>81010.42</v>
      </c>
      <c r="U1964" t="s">
        <v>5017</v>
      </c>
      <c r="V1964" t="s">
        <v>5017</v>
      </c>
      <c r="W1964">
        <v>1.66</v>
      </c>
    </row>
    <row r="1965" spans="1:23">
      <c r="A1965" t="str">
        <f>"600482"</f>
        <v>600482</v>
      </c>
      <c r="B1965" t="s">
        <v>5018</v>
      </c>
      <c r="C1965">
        <v>14.7</v>
      </c>
      <c r="D1965">
        <v>14.83</v>
      </c>
      <c r="E1965">
        <v>14.44</v>
      </c>
      <c r="F1965">
        <v>14.56</v>
      </c>
      <c r="G1965">
        <v>176526</v>
      </c>
      <c r="H1965">
        <v>257833888</v>
      </c>
      <c r="I1965">
        <v>0.71</v>
      </c>
      <c r="J1965" t="s">
        <v>145</v>
      </c>
      <c r="K1965" t="s">
        <v>238</v>
      </c>
      <c r="L1965">
        <v>-1.82</v>
      </c>
      <c r="M1965">
        <v>14.61</v>
      </c>
      <c r="N1965">
        <v>96510</v>
      </c>
      <c r="O1965">
        <v>80015</v>
      </c>
      <c r="P1965">
        <v>1.21</v>
      </c>
      <c r="Q1965">
        <v>21</v>
      </c>
      <c r="R1965">
        <v>124</v>
      </c>
      <c r="S1965" t="s">
        <v>3</v>
      </c>
      <c r="T1965">
        <v>46100</v>
      </c>
      <c r="U1965" t="s">
        <v>5019</v>
      </c>
      <c r="V1965" t="s">
        <v>5020</v>
      </c>
      <c r="W1965">
        <v>-1.82</v>
      </c>
    </row>
    <row r="1966" spans="1:23">
      <c r="A1966" t="str">
        <f>"600483"</f>
        <v>600483</v>
      </c>
      <c r="B1966" t="s">
        <v>5021</v>
      </c>
      <c r="C1966">
        <v>7.33</v>
      </c>
      <c r="D1966">
        <v>7.53</v>
      </c>
      <c r="E1966">
        <v>7.28</v>
      </c>
      <c r="F1966">
        <v>7.48</v>
      </c>
      <c r="G1966">
        <v>63438</v>
      </c>
      <c r="H1966">
        <v>47101892</v>
      </c>
      <c r="I1966">
        <v>0.98</v>
      </c>
      <c r="J1966" t="s">
        <v>55</v>
      </c>
      <c r="K1966" t="s">
        <v>414</v>
      </c>
      <c r="L1966">
        <v>2.0499999999999998</v>
      </c>
      <c r="M1966">
        <v>7.42</v>
      </c>
      <c r="N1966">
        <v>29950</v>
      </c>
      <c r="O1966">
        <v>33487</v>
      </c>
      <c r="P1966">
        <v>0.89</v>
      </c>
      <c r="Q1966">
        <v>450</v>
      </c>
      <c r="R1966">
        <v>127</v>
      </c>
      <c r="S1966" t="s">
        <v>3</v>
      </c>
      <c r="T1966">
        <v>28848.36</v>
      </c>
      <c r="U1966" t="s">
        <v>2930</v>
      </c>
      <c r="V1966" t="s">
        <v>5022</v>
      </c>
      <c r="W1966">
        <v>2.04</v>
      </c>
    </row>
    <row r="1967" spans="1:23">
      <c r="A1967" t="str">
        <f>"600485"</f>
        <v>600485</v>
      </c>
      <c r="B1967" t="s">
        <v>5023</v>
      </c>
      <c r="C1967">
        <v>33.15</v>
      </c>
      <c r="D1967">
        <v>33.450000000000003</v>
      </c>
      <c r="E1967">
        <v>31.68</v>
      </c>
      <c r="F1967">
        <v>31.97</v>
      </c>
      <c r="G1967">
        <v>43401</v>
      </c>
      <c r="H1967">
        <v>139546016</v>
      </c>
      <c r="I1967">
        <v>0.75</v>
      </c>
      <c r="J1967" t="s">
        <v>112</v>
      </c>
      <c r="K1967" t="s">
        <v>34</v>
      </c>
      <c r="L1967">
        <v>-2.5299999999999998</v>
      </c>
      <c r="M1967">
        <v>32.15</v>
      </c>
      <c r="N1967">
        <v>25127</v>
      </c>
      <c r="O1967">
        <v>18274</v>
      </c>
      <c r="P1967">
        <v>1.38</v>
      </c>
      <c r="Q1967">
        <v>13</v>
      </c>
      <c r="R1967">
        <v>55</v>
      </c>
      <c r="S1967" t="s">
        <v>3</v>
      </c>
      <c r="T1967">
        <v>13858.59</v>
      </c>
      <c r="U1967" t="s">
        <v>1343</v>
      </c>
      <c r="V1967" t="s">
        <v>1343</v>
      </c>
      <c r="W1967">
        <v>-2.5299999999999998</v>
      </c>
    </row>
    <row r="1968" spans="1:23">
      <c r="A1968" t="str">
        <f>"600486"</f>
        <v>600486</v>
      </c>
      <c r="B1968" t="s">
        <v>5024</v>
      </c>
      <c r="C1968">
        <v>23.25</v>
      </c>
      <c r="D1968">
        <v>23.3</v>
      </c>
      <c r="E1968">
        <v>23.02</v>
      </c>
      <c r="F1968">
        <v>23.19</v>
      </c>
      <c r="G1968">
        <v>26250</v>
      </c>
      <c r="H1968">
        <v>60745288</v>
      </c>
      <c r="I1968">
        <v>0.87</v>
      </c>
      <c r="J1968" t="s">
        <v>224</v>
      </c>
      <c r="K1968" t="s">
        <v>244</v>
      </c>
      <c r="L1968">
        <v>-0.13</v>
      </c>
      <c r="M1968">
        <v>23.14</v>
      </c>
      <c r="N1968">
        <v>14939</v>
      </c>
      <c r="O1968">
        <v>11310</v>
      </c>
      <c r="P1968">
        <v>1.32</v>
      </c>
      <c r="Q1968">
        <v>2</v>
      </c>
      <c r="R1968">
        <v>144</v>
      </c>
      <c r="S1968" t="s">
        <v>3</v>
      </c>
      <c r="T1968">
        <v>25824.91</v>
      </c>
      <c r="U1968" t="s">
        <v>5025</v>
      </c>
      <c r="V1968" t="s">
        <v>5025</v>
      </c>
      <c r="W1968">
        <v>-0.13</v>
      </c>
    </row>
    <row r="1969" spans="1:23">
      <c r="A1969" t="str">
        <f>"600487"</f>
        <v>600487</v>
      </c>
      <c r="B1969" t="s">
        <v>5026</v>
      </c>
      <c r="C1969">
        <v>17.66</v>
      </c>
      <c r="D1969">
        <v>18.16</v>
      </c>
      <c r="E1969">
        <v>17.63</v>
      </c>
      <c r="F1969">
        <v>17.899999999999999</v>
      </c>
      <c r="G1969">
        <v>34771</v>
      </c>
      <c r="H1969">
        <v>62344784</v>
      </c>
      <c r="I1969">
        <v>0.84</v>
      </c>
      <c r="J1969" t="s">
        <v>112</v>
      </c>
      <c r="K1969" t="s">
        <v>244</v>
      </c>
      <c r="L1969">
        <v>0.9</v>
      </c>
      <c r="M1969">
        <v>17.93</v>
      </c>
      <c r="N1969">
        <v>17138</v>
      </c>
      <c r="O1969">
        <v>17633</v>
      </c>
      <c r="P1969">
        <v>0.97</v>
      </c>
      <c r="Q1969">
        <v>35</v>
      </c>
      <c r="R1969">
        <v>185</v>
      </c>
      <c r="S1969" t="s">
        <v>3</v>
      </c>
      <c r="T1969">
        <v>31062.38</v>
      </c>
      <c r="U1969" t="s">
        <v>5027</v>
      </c>
      <c r="V1969" t="s">
        <v>412</v>
      </c>
      <c r="W1969">
        <v>0.9</v>
      </c>
    </row>
    <row r="1970" spans="1:23">
      <c r="A1970" t="str">
        <f>"600488"</f>
        <v>600488</v>
      </c>
      <c r="B1970" t="s">
        <v>5028</v>
      </c>
      <c r="C1970">
        <v>5.38</v>
      </c>
      <c r="D1970">
        <v>5.44</v>
      </c>
      <c r="E1970">
        <v>5.24</v>
      </c>
      <c r="F1970">
        <v>5.27</v>
      </c>
      <c r="G1970">
        <v>259494</v>
      </c>
      <c r="H1970">
        <v>137882880</v>
      </c>
      <c r="I1970">
        <v>1.18</v>
      </c>
      <c r="J1970" t="s">
        <v>219</v>
      </c>
      <c r="K1970" t="s">
        <v>442</v>
      </c>
      <c r="L1970">
        <v>-2.04</v>
      </c>
      <c r="M1970">
        <v>5.31</v>
      </c>
      <c r="N1970">
        <v>146746</v>
      </c>
      <c r="O1970">
        <v>112748</v>
      </c>
      <c r="P1970">
        <v>1.3</v>
      </c>
      <c r="Q1970">
        <v>2642</v>
      </c>
      <c r="R1970">
        <v>660</v>
      </c>
      <c r="S1970" t="s">
        <v>3</v>
      </c>
      <c r="T1970">
        <v>89228.49</v>
      </c>
      <c r="U1970" t="s">
        <v>5029</v>
      </c>
      <c r="V1970" t="s">
        <v>5030</v>
      </c>
      <c r="W1970">
        <v>-2.0499999999999998</v>
      </c>
    </row>
    <row r="1971" spans="1:23">
      <c r="A1971" t="str">
        <f>"600489"</f>
        <v>600489</v>
      </c>
      <c r="B1971" t="s">
        <v>5031</v>
      </c>
      <c r="C1971">
        <v>8.59</v>
      </c>
      <c r="D1971">
        <v>8.59</v>
      </c>
      <c r="E1971">
        <v>8.4700000000000006</v>
      </c>
      <c r="F1971">
        <v>8.5</v>
      </c>
      <c r="G1971">
        <v>330946</v>
      </c>
      <c r="H1971">
        <v>281589760</v>
      </c>
      <c r="I1971">
        <v>1</v>
      </c>
      <c r="J1971" t="s">
        <v>1783</v>
      </c>
      <c r="K1971" t="s">
        <v>34</v>
      </c>
      <c r="L1971">
        <v>-1.39</v>
      </c>
      <c r="M1971">
        <v>8.51</v>
      </c>
      <c r="N1971">
        <v>199517</v>
      </c>
      <c r="O1971">
        <v>131428</v>
      </c>
      <c r="P1971">
        <v>1.52</v>
      </c>
      <c r="Q1971">
        <v>788</v>
      </c>
      <c r="R1971">
        <v>2499</v>
      </c>
      <c r="S1971" t="s">
        <v>3</v>
      </c>
      <c r="T1971">
        <v>294322.88</v>
      </c>
      <c r="U1971" t="s">
        <v>5032</v>
      </c>
      <c r="V1971" t="s">
        <v>5032</v>
      </c>
      <c r="W1971">
        <v>-1.4</v>
      </c>
    </row>
    <row r="1972" spans="1:23">
      <c r="A1972" t="str">
        <f>"600490"</f>
        <v>600490</v>
      </c>
      <c r="B1972" t="s">
        <v>5033</v>
      </c>
      <c r="C1972">
        <v>13.9</v>
      </c>
      <c r="D1972">
        <v>14.5</v>
      </c>
      <c r="E1972">
        <v>13.89</v>
      </c>
      <c r="F1972">
        <v>14.15</v>
      </c>
      <c r="G1972">
        <v>287369</v>
      </c>
      <c r="H1972">
        <v>407531488</v>
      </c>
      <c r="I1972">
        <v>0.56000000000000005</v>
      </c>
      <c r="J1972" t="s">
        <v>376</v>
      </c>
      <c r="K1972" t="s">
        <v>727</v>
      </c>
      <c r="L1972">
        <v>1</v>
      </c>
      <c r="M1972">
        <v>14.18</v>
      </c>
      <c r="N1972">
        <v>163214</v>
      </c>
      <c r="O1972">
        <v>124154</v>
      </c>
      <c r="P1972">
        <v>1.31</v>
      </c>
      <c r="Q1972">
        <v>32</v>
      </c>
      <c r="R1972">
        <v>22</v>
      </c>
      <c r="S1972" t="s">
        <v>3</v>
      </c>
      <c r="T1972">
        <v>84150</v>
      </c>
      <c r="U1972" t="s">
        <v>4691</v>
      </c>
      <c r="V1972" t="s">
        <v>5034</v>
      </c>
      <c r="W1972">
        <v>0.99</v>
      </c>
    </row>
    <row r="1973" spans="1:23">
      <c r="A1973" t="str">
        <f>"600491"</f>
        <v>600491</v>
      </c>
      <c r="B1973" t="s">
        <v>5035</v>
      </c>
      <c r="C1973">
        <v>3.71</v>
      </c>
      <c r="D1973">
        <v>3.76</v>
      </c>
      <c r="E1973">
        <v>3.67</v>
      </c>
      <c r="F1973">
        <v>3.69</v>
      </c>
      <c r="G1973">
        <v>219887</v>
      </c>
      <c r="H1973">
        <v>81452480</v>
      </c>
      <c r="I1973">
        <v>2</v>
      </c>
      <c r="J1973" t="s">
        <v>33</v>
      </c>
      <c r="K1973" t="s">
        <v>229</v>
      </c>
      <c r="L1973">
        <v>1.1000000000000001</v>
      </c>
      <c r="M1973">
        <v>3.7</v>
      </c>
      <c r="N1973">
        <v>116641</v>
      </c>
      <c r="O1973">
        <v>103245</v>
      </c>
      <c r="P1973">
        <v>1.1299999999999999</v>
      </c>
      <c r="Q1973">
        <v>1781</v>
      </c>
      <c r="R1973">
        <v>722</v>
      </c>
      <c r="S1973" t="s">
        <v>3</v>
      </c>
      <c r="T1973">
        <v>94760</v>
      </c>
      <c r="U1973" t="s">
        <v>443</v>
      </c>
      <c r="V1973" t="s">
        <v>443</v>
      </c>
      <c r="W1973">
        <v>1.0900000000000001</v>
      </c>
    </row>
    <row r="1974" spans="1:23">
      <c r="A1974" t="str">
        <f>"600493"</f>
        <v>600493</v>
      </c>
      <c r="B1974" t="s">
        <v>5036</v>
      </c>
      <c r="C1974">
        <v>7.78</v>
      </c>
      <c r="D1974">
        <v>8.4499999999999993</v>
      </c>
      <c r="E1974">
        <v>7.78</v>
      </c>
      <c r="F1974">
        <v>8.1999999999999993</v>
      </c>
      <c r="G1974">
        <v>118091</v>
      </c>
      <c r="H1974">
        <v>96704416</v>
      </c>
      <c r="I1974">
        <v>1.85</v>
      </c>
      <c r="J1974" t="s">
        <v>55</v>
      </c>
      <c r="K1974" t="s">
        <v>414</v>
      </c>
      <c r="L1974">
        <v>5.53</v>
      </c>
      <c r="M1974">
        <v>8.19</v>
      </c>
      <c r="N1974">
        <v>58231</v>
      </c>
      <c r="O1974">
        <v>59860</v>
      </c>
      <c r="P1974">
        <v>0.97</v>
      </c>
      <c r="Q1974">
        <v>10</v>
      </c>
      <c r="R1974">
        <v>90</v>
      </c>
      <c r="S1974" t="s">
        <v>3</v>
      </c>
      <c r="T1974">
        <v>27200</v>
      </c>
      <c r="U1974" t="s">
        <v>155</v>
      </c>
      <c r="V1974" t="s">
        <v>155</v>
      </c>
      <c r="W1974">
        <v>5.53</v>
      </c>
    </row>
    <row r="1975" spans="1:23">
      <c r="A1975" t="str">
        <f>"600495"</f>
        <v>600495</v>
      </c>
      <c r="B1975" t="s">
        <v>5037</v>
      </c>
      <c r="C1975">
        <v>11.97</v>
      </c>
      <c r="D1975">
        <v>12.13</v>
      </c>
      <c r="E1975">
        <v>11.74</v>
      </c>
      <c r="F1975">
        <v>12.06</v>
      </c>
      <c r="G1975">
        <v>288033</v>
      </c>
      <c r="H1975">
        <v>345117216</v>
      </c>
      <c r="I1975">
        <v>0.83</v>
      </c>
      <c r="J1975" t="s">
        <v>1208</v>
      </c>
      <c r="K1975" t="s">
        <v>742</v>
      </c>
      <c r="L1975">
        <v>0.84</v>
      </c>
      <c r="M1975">
        <v>11.98</v>
      </c>
      <c r="N1975">
        <v>135869</v>
      </c>
      <c r="O1975">
        <v>152163</v>
      </c>
      <c r="P1975">
        <v>0.89</v>
      </c>
      <c r="Q1975">
        <v>104</v>
      </c>
      <c r="R1975">
        <v>1778</v>
      </c>
      <c r="S1975" t="s">
        <v>3</v>
      </c>
      <c r="T1975">
        <v>61295.6</v>
      </c>
      <c r="U1975" t="s">
        <v>4988</v>
      </c>
      <c r="V1975" t="s">
        <v>5038</v>
      </c>
      <c r="W1975">
        <v>0.83</v>
      </c>
    </row>
    <row r="1976" spans="1:23">
      <c r="A1976" t="str">
        <f>"600496"</f>
        <v>600496</v>
      </c>
      <c r="B1976" t="s">
        <v>5039</v>
      </c>
      <c r="C1976">
        <v>7.63</v>
      </c>
      <c r="D1976">
        <v>7.79</v>
      </c>
      <c r="E1976">
        <v>7.58</v>
      </c>
      <c r="F1976">
        <v>7.69</v>
      </c>
      <c r="G1976">
        <v>60367</v>
      </c>
      <c r="H1976">
        <v>46550488</v>
      </c>
      <c r="I1976">
        <v>1.08</v>
      </c>
      <c r="J1976" t="s">
        <v>838</v>
      </c>
      <c r="K1976" t="s">
        <v>220</v>
      </c>
      <c r="L1976">
        <v>0.92</v>
      </c>
      <c r="M1976">
        <v>7.71</v>
      </c>
      <c r="N1976">
        <v>26570</v>
      </c>
      <c r="O1976">
        <v>33796</v>
      </c>
      <c r="P1976">
        <v>0.79</v>
      </c>
      <c r="Q1976">
        <v>21</v>
      </c>
      <c r="R1976">
        <v>60</v>
      </c>
      <c r="S1976" t="s">
        <v>3</v>
      </c>
      <c r="T1976">
        <v>58656.6</v>
      </c>
      <c r="U1976" t="s">
        <v>5040</v>
      </c>
      <c r="V1976" t="s">
        <v>5040</v>
      </c>
      <c r="W1976">
        <v>0.91</v>
      </c>
    </row>
    <row r="1977" spans="1:23">
      <c r="A1977" t="str">
        <f>"600497"</f>
        <v>600497</v>
      </c>
      <c r="B1977" t="s">
        <v>5041</v>
      </c>
      <c r="C1977" t="s">
        <v>3</v>
      </c>
      <c r="D1977" t="s">
        <v>3</v>
      </c>
      <c r="E1977" t="s">
        <v>3</v>
      </c>
      <c r="F1977">
        <v>10.39</v>
      </c>
      <c r="G1977">
        <v>0</v>
      </c>
      <c r="H1977">
        <v>0</v>
      </c>
      <c r="I1977">
        <v>0</v>
      </c>
      <c r="J1977" t="s">
        <v>165</v>
      </c>
      <c r="K1977" t="s">
        <v>445</v>
      </c>
      <c r="L1977">
        <v>0</v>
      </c>
      <c r="M1977">
        <v>10.39</v>
      </c>
      <c r="N1977">
        <v>0</v>
      </c>
      <c r="O1977">
        <v>0</v>
      </c>
      <c r="P1977" t="s">
        <v>3</v>
      </c>
      <c r="Q1977">
        <v>0</v>
      </c>
      <c r="R1977">
        <v>0</v>
      </c>
      <c r="S1977" t="s">
        <v>3</v>
      </c>
      <c r="T1977">
        <v>166756.09</v>
      </c>
      <c r="U1977" t="s">
        <v>5042</v>
      </c>
      <c r="V1977" t="s">
        <v>5042</v>
      </c>
      <c r="W1977">
        <v>0</v>
      </c>
    </row>
    <row r="1978" spans="1:23">
      <c r="A1978" t="str">
        <f>"600498"</f>
        <v>600498</v>
      </c>
      <c r="B1978" t="s">
        <v>5043</v>
      </c>
      <c r="C1978">
        <v>13.91</v>
      </c>
      <c r="D1978">
        <v>14.19</v>
      </c>
      <c r="E1978">
        <v>13.8</v>
      </c>
      <c r="F1978">
        <v>14.16</v>
      </c>
      <c r="G1978">
        <v>198255</v>
      </c>
      <c r="H1978">
        <v>278423040</v>
      </c>
      <c r="I1978">
        <v>1.82</v>
      </c>
      <c r="J1978" t="s">
        <v>112</v>
      </c>
      <c r="K1978" t="s">
        <v>317</v>
      </c>
      <c r="L1978">
        <v>2.09</v>
      </c>
      <c r="M1978">
        <v>14.04</v>
      </c>
      <c r="N1978">
        <v>90860</v>
      </c>
      <c r="O1978">
        <v>107394</v>
      </c>
      <c r="P1978">
        <v>0.85</v>
      </c>
      <c r="Q1978">
        <v>131</v>
      </c>
      <c r="R1978">
        <v>2245</v>
      </c>
      <c r="S1978" t="s">
        <v>3</v>
      </c>
      <c r="T1978">
        <v>96650.1</v>
      </c>
      <c r="U1978" t="s">
        <v>5044</v>
      </c>
      <c r="V1978" t="s">
        <v>5045</v>
      </c>
      <c r="W1978">
        <v>2.09</v>
      </c>
    </row>
    <row r="1979" spans="1:23">
      <c r="A1979" t="str">
        <f>"600499"</f>
        <v>600499</v>
      </c>
      <c r="B1979" t="s">
        <v>5046</v>
      </c>
      <c r="C1979">
        <v>19.649999999999999</v>
      </c>
      <c r="D1979">
        <v>19.8</v>
      </c>
      <c r="E1979">
        <v>19.489999999999998</v>
      </c>
      <c r="F1979">
        <v>19.579999999999998</v>
      </c>
      <c r="G1979">
        <v>96038</v>
      </c>
      <c r="H1979">
        <v>188423568</v>
      </c>
      <c r="I1979">
        <v>0.79</v>
      </c>
      <c r="J1979" t="s">
        <v>269</v>
      </c>
      <c r="K1979" t="s">
        <v>211</v>
      </c>
      <c r="L1979">
        <v>-0.51</v>
      </c>
      <c r="M1979">
        <v>19.62</v>
      </c>
      <c r="N1979">
        <v>57607</v>
      </c>
      <c r="O1979">
        <v>38430</v>
      </c>
      <c r="P1979">
        <v>1.5</v>
      </c>
      <c r="Q1979">
        <v>470</v>
      </c>
      <c r="R1979">
        <v>61</v>
      </c>
      <c r="S1979" t="s">
        <v>3</v>
      </c>
      <c r="T1979">
        <v>65533.89</v>
      </c>
      <c r="U1979" t="s">
        <v>5047</v>
      </c>
      <c r="V1979" t="s">
        <v>1138</v>
      </c>
      <c r="W1979">
        <v>-0.51</v>
      </c>
    </row>
    <row r="1980" spans="1:23">
      <c r="A1980" t="str">
        <f>"600500"</f>
        <v>600500</v>
      </c>
      <c r="B1980" t="s">
        <v>5048</v>
      </c>
      <c r="C1980">
        <v>7.88</v>
      </c>
      <c r="D1980">
        <v>7.92</v>
      </c>
      <c r="E1980">
        <v>7.73</v>
      </c>
      <c r="F1980">
        <v>7.8</v>
      </c>
      <c r="G1980">
        <v>56706</v>
      </c>
      <c r="H1980">
        <v>44125280</v>
      </c>
      <c r="I1980">
        <v>0.61</v>
      </c>
      <c r="J1980" t="s">
        <v>173</v>
      </c>
      <c r="K1980" t="s">
        <v>727</v>
      </c>
      <c r="L1980">
        <v>-1.02</v>
      </c>
      <c r="M1980">
        <v>7.78</v>
      </c>
      <c r="N1980">
        <v>32191</v>
      </c>
      <c r="O1980">
        <v>24515</v>
      </c>
      <c r="P1980">
        <v>1.31</v>
      </c>
      <c r="Q1980">
        <v>10</v>
      </c>
      <c r="R1980">
        <v>605</v>
      </c>
      <c r="S1980" t="s">
        <v>3</v>
      </c>
      <c r="T1980">
        <v>143758.95000000001</v>
      </c>
      <c r="U1980" t="s">
        <v>5049</v>
      </c>
      <c r="V1980" t="s">
        <v>5050</v>
      </c>
      <c r="W1980">
        <v>-1.02</v>
      </c>
    </row>
    <row r="1981" spans="1:23">
      <c r="A1981" t="str">
        <f>"600501"</f>
        <v>600501</v>
      </c>
      <c r="B1981" t="s">
        <v>5051</v>
      </c>
      <c r="C1981">
        <v>14.99</v>
      </c>
      <c r="D1981">
        <v>15.2</v>
      </c>
      <c r="E1981">
        <v>14.81</v>
      </c>
      <c r="F1981">
        <v>14.94</v>
      </c>
      <c r="G1981">
        <v>110403</v>
      </c>
      <c r="H1981">
        <v>165171824</v>
      </c>
      <c r="I1981">
        <v>0.47</v>
      </c>
      <c r="J1981" t="s">
        <v>98</v>
      </c>
      <c r="K1981" t="s">
        <v>244</v>
      </c>
      <c r="L1981">
        <v>-0.13</v>
      </c>
      <c r="M1981">
        <v>14.96</v>
      </c>
      <c r="N1981">
        <v>61915</v>
      </c>
      <c r="O1981">
        <v>48487</v>
      </c>
      <c r="P1981">
        <v>1.28</v>
      </c>
      <c r="Q1981">
        <v>1</v>
      </c>
      <c r="R1981">
        <v>493</v>
      </c>
      <c r="S1981" t="s">
        <v>3</v>
      </c>
      <c r="T1981">
        <v>38928.35</v>
      </c>
      <c r="U1981" t="s">
        <v>5052</v>
      </c>
      <c r="V1981" t="s">
        <v>5052</v>
      </c>
      <c r="W1981">
        <v>-0.14000000000000001</v>
      </c>
    </row>
    <row r="1982" spans="1:23">
      <c r="A1982" t="str">
        <f>"600502"</f>
        <v>600502</v>
      </c>
      <c r="B1982" t="s">
        <v>5053</v>
      </c>
      <c r="C1982">
        <v>8.49</v>
      </c>
      <c r="D1982">
        <v>8.57</v>
      </c>
      <c r="E1982">
        <v>8.39</v>
      </c>
      <c r="F1982">
        <v>8.5</v>
      </c>
      <c r="G1982">
        <v>267294</v>
      </c>
      <c r="H1982">
        <v>226515888</v>
      </c>
      <c r="I1982">
        <v>0.86</v>
      </c>
      <c r="J1982" t="s">
        <v>33</v>
      </c>
      <c r="K1982" t="s">
        <v>220</v>
      </c>
      <c r="L1982">
        <v>0.12</v>
      </c>
      <c r="M1982">
        <v>8.4700000000000006</v>
      </c>
      <c r="N1982">
        <v>135746</v>
      </c>
      <c r="O1982">
        <v>131548</v>
      </c>
      <c r="P1982">
        <v>1.03</v>
      </c>
      <c r="Q1982">
        <v>258</v>
      </c>
      <c r="R1982">
        <v>2184</v>
      </c>
      <c r="S1982" t="s">
        <v>3</v>
      </c>
      <c r="T1982">
        <v>50193</v>
      </c>
      <c r="U1982" t="s">
        <v>2839</v>
      </c>
      <c r="V1982" t="s">
        <v>2839</v>
      </c>
      <c r="W1982">
        <v>0.11</v>
      </c>
    </row>
    <row r="1983" spans="1:23">
      <c r="A1983" t="str">
        <f>"600503"</f>
        <v>600503</v>
      </c>
      <c r="B1983" t="s">
        <v>5054</v>
      </c>
      <c r="C1983">
        <v>5.79</v>
      </c>
      <c r="D1983">
        <v>6.12</v>
      </c>
      <c r="E1983">
        <v>5.7</v>
      </c>
      <c r="F1983">
        <v>5.95</v>
      </c>
      <c r="G1983">
        <v>1315540</v>
      </c>
      <c r="H1983">
        <v>780664256</v>
      </c>
      <c r="I1983">
        <v>1.87</v>
      </c>
      <c r="J1983" t="s">
        <v>15</v>
      </c>
      <c r="K1983" t="s">
        <v>727</v>
      </c>
      <c r="L1983">
        <v>3.84</v>
      </c>
      <c r="M1983">
        <v>5.93</v>
      </c>
      <c r="N1983">
        <v>607813</v>
      </c>
      <c r="O1983">
        <v>707726</v>
      </c>
      <c r="P1983">
        <v>0.86</v>
      </c>
      <c r="Q1983">
        <v>2211</v>
      </c>
      <c r="R1983">
        <v>599</v>
      </c>
      <c r="S1983" t="s">
        <v>3</v>
      </c>
      <c r="T1983">
        <v>109947.67</v>
      </c>
      <c r="U1983" t="s">
        <v>485</v>
      </c>
      <c r="V1983" t="s">
        <v>696</v>
      </c>
      <c r="W1983">
        <v>3.84</v>
      </c>
    </row>
    <row r="1984" spans="1:23">
      <c r="A1984" t="str">
        <f>"600505"</f>
        <v>600505</v>
      </c>
      <c r="B1984" t="s">
        <v>5055</v>
      </c>
      <c r="C1984">
        <v>10.35</v>
      </c>
      <c r="D1984">
        <v>10.5</v>
      </c>
      <c r="E1984">
        <v>10.16</v>
      </c>
      <c r="F1984">
        <v>10.41</v>
      </c>
      <c r="G1984">
        <v>56775</v>
      </c>
      <c r="H1984">
        <v>58418324</v>
      </c>
      <c r="I1984">
        <v>1.1299999999999999</v>
      </c>
      <c r="J1984" t="s">
        <v>852</v>
      </c>
      <c r="K1984" t="s">
        <v>225</v>
      </c>
      <c r="L1984">
        <v>-0.1</v>
      </c>
      <c r="M1984">
        <v>10.29</v>
      </c>
      <c r="N1984">
        <v>33058</v>
      </c>
      <c r="O1984">
        <v>23717</v>
      </c>
      <c r="P1984">
        <v>1.39</v>
      </c>
      <c r="Q1984">
        <v>1</v>
      </c>
      <c r="R1984">
        <v>61</v>
      </c>
      <c r="S1984" t="s">
        <v>3</v>
      </c>
      <c r="T1984">
        <v>36456.75</v>
      </c>
      <c r="U1984" t="s">
        <v>5056</v>
      </c>
      <c r="V1984" t="s">
        <v>5056</v>
      </c>
      <c r="W1984">
        <v>-0.1</v>
      </c>
    </row>
    <row r="1985" spans="1:23">
      <c r="A1985" t="str">
        <f>"600506"</f>
        <v>600506</v>
      </c>
      <c r="B1985" t="s">
        <v>5057</v>
      </c>
      <c r="C1985">
        <v>11.86</v>
      </c>
      <c r="D1985">
        <v>12.15</v>
      </c>
      <c r="E1985">
        <v>11.86</v>
      </c>
      <c r="F1985">
        <v>12.03</v>
      </c>
      <c r="G1985">
        <v>45038</v>
      </c>
      <c r="H1985">
        <v>54196648</v>
      </c>
      <c r="I1985">
        <v>0.69</v>
      </c>
      <c r="J1985" t="s">
        <v>829</v>
      </c>
      <c r="K1985" t="s">
        <v>241</v>
      </c>
      <c r="L1985">
        <v>1.43</v>
      </c>
      <c r="M1985">
        <v>12.03</v>
      </c>
      <c r="N1985">
        <v>24567</v>
      </c>
      <c r="O1985">
        <v>20471</v>
      </c>
      <c r="P1985">
        <v>1.2</v>
      </c>
      <c r="Q1985">
        <v>5</v>
      </c>
      <c r="R1985">
        <v>85</v>
      </c>
      <c r="S1985" t="s">
        <v>3</v>
      </c>
      <c r="T1985">
        <v>14770.69</v>
      </c>
      <c r="U1985" t="s">
        <v>5058</v>
      </c>
      <c r="V1985" t="s">
        <v>5058</v>
      </c>
      <c r="W1985">
        <v>1.43</v>
      </c>
    </row>
    <row r="1986" spans="1:23">
      <c r="A1986" t="str">
        <f>"600507"</f>
        <v>600507</v>
      </c>
      <c r="B1986" t="s">
        <v>5059</v>
      </c>
      <c r="C1986">
        <v>3.89</v>
      </c>
      <c r="D1986">
        <v>4.29</v>
      </c>
      <c r="E1986">
        <v>3.88</v>
      </c>
      <c r="F1986">
        <v>4.29</v>
      </c>
      <c r="G1986">
        <v>811603</v>
      </c>
      <c r="H1986">
        <v>341854496</v>
      </c>
      <c r="I1986">
        <v>4.53</v>
      </c>
      <c r="J1986" t="s">
        <v>815</v>
      </c>
      <c r="K1986" t="s">
        <v>265</v>
      </c>
      <c r="L1986">
        <v>10</v>
      </c>
      <c r="M1986">
        <v>4.21</v>
      </c>
      <c r="N1986">
        <v>335636</v>
      </c>
      <c r="O1986">
        <v>475967</v>
      </c>
      <c r="P1986">
        <v>0.71</v>
      </c>
      <c r="Q1986">
        <v>15661</v>
      </c>
      <c r="R1986">
        <v>0</v>
      </c>
      <c r="S1986" t="s">
        <v>3</v>
      </c>
      <c r="T1986">
        <v>132609.29999999999</v>
      </c>
      <c r="U1986" t="s">
        <v>5060</v>
      </c>
      <c r="V1986" t="s">
        <v>5060</v>
      </c>
      <c r="W1986">
        <v>10</v>
      </c>
    </row>
    <row r="1987" spans="1:23">
      <c r="A1987" t="str">
        <f>"600508"</f>
        <v>600508</v>
      </c>
      <c r="B1987" t="s">
        <v>5061</v>
      </c>
      <c r="C1987">
        <v>9.01</v>
      </c>
      <c r="D1987">
        <v>9.1</v>
      </c>
      <c r="E1987">
        <v>8.94</v>
      </c>
      <c r="F1987">
        <v>9.06</v>
      </c>
      <c r="G1987">
        <v>53671</v>
      </c>
      <c r="H1987">
        <v>48411756</v>
      </c>
      <c r="I1987">
        <v>1.1100000000000001</v>
      </c>
      <c r="J1987" t="s">
        <v>482</v>
      </c>
      <c r="K1987" t="s">
        <v>727</v>
      </c>
      <c r="L1987">
        <v>0.44</v>
      </c>
      <c r="M1987">
        <v>9.02</v>
      </c>
      <c r="N1987">
        <v>29790</v>
      </c>
      <c r="O1987">
        <v>23881</v>
      </c>
      <c r="P1987">
        <v>1.25</v>
      </c>
      <c r="Q1987">
        <v>40</v>
      </c>
      <c r="R1987">
        <v>590</v>
      </c>
      <c r="S1987" t="s">
        <v>3</v>
      </c>
      <c r="T1987">
        <v>72271.789999999994</v>
      </c>
      <c r="U1987" t="s">
        <v>5062</v>
      </c>
      <c r="V1987" t="s">
        <v>5062</v>
      </c>
      <c r="W1987">
        <v>0.44</v>
      </c>
    </row>
    <row r="1988" spans="1:23">
      <c r="A1988" t="str">
        <f>"600509"</f>
        <v>600509</v>
      </c>
      <c r="B1988" t="s">
        <v>5063</v>
      </c>
      <c r="C1988">
        <v>8.91</v>
      </c>
      <c r="D1988">
        <v>9</v>
      </c>
      <c r="E1988">
        <v>8.81</v>
      </c>
      <c r="F1988">
        <v>8.94</v>
      </c>
      <c r="G1988">
        <v>131199</v>
      </c>
      <c r="H1988">
        <v>116931704</v>
      </c>
      <c r="I1988">
        <v>0.94</v>
      </c>
      <c r="J1988" t="s">
        <v>87</v>
      </c>
      <c r="K1988" t="s">
        <v>241</v>
      </c>
      <c r="L1988">
        <v>0.68</v>
      </c>
      <c r="M1988">
        <v>8.91</v>
      </c>
      <c r="N1988">
        <v>55746</v>
      </c>
      <c r="O1988">
        <v>75452</v>
      </c>
      <c r="P1988">
        <v>0.74</v>
      </c>
      <c r="Q1988">
        <v>189</v>
      </c>
      <c r="R1988">
        <v>853</v>
      </c>
      <c r="S1988" t="s">
        <v>3</v>
      </c>
      <c r="T1988">
        <v>83869.649999999994</v>
      </c>
      <c r="U1988" t="s">
        <v>5064</v>
      </c>
      <c r="V1988" t="s">
        <v>5065</v>
      </c>
      <c r="W1988">
        <v>0.67</v>
      </c>
    </row>
    <row r="1989" spans="1:23">
      <c r="A1989" t="str">
        <f>"600510"</f>
        <v>600510</v>
      </c>
      <c r="B1989" t="s">
        <v>5066</v>
      </c>
      <c r="C1989">
        <v>7.13</v>
      </c>
      <c r="D1989">
        <v>7.58</v>
      </c>
      <c r="E1989">
        <v>7.05</v>
      </c>
      <c r="F1989">
        <v>7.33</v>
      </c>
      <c r="G1989">
        <v>128888</v>
      </c>
      <c r="H1989">
        <v>93508720</v>
      </c>
      <c r="I1989">
        <v>0.96</v>
      </c>
      <c r="J1989" t="s">
        <v>7</v>
      </c>
      <c r="K1989" t="s">
        <v>244</v>
      </c>
      <c r="L1989">
        <v>2.09</v>
      </c>
      <c r="M1989">
        <v>7.26</v>
      </c>
      <c r="N1989">
        <v>71329</v>
      </c>
      <c r="O1989">
        <v>57558</v>
      </c>
      <c r="P1989">
        <v>1.24</v>
      </c>
      <c r="Q1989">
        <v>137</v>
      </c>
      <c r="R1989">
        <v>268</v>
      </c>
      <c r="S1989" t="s">
        <v>3</v>
      </c>
      <c r="T1989">
        <v>79552.27</v>
      </c>
      <c r="U1989" t="s">
        <v>5067</v>
      </c>
      <c r="V1989" t="s">
        <v>5067</v>
      </c>
      <c r="W1989">
        <v>2.08</v>
      </c>
    </row>
    <row r="1990" spans="1:23">
      <c r="A1990" t="str">
        <f>"600511"</f>
        <v>600511</v>
      </c>
      <c r="B1990" t="s">
        <v>5068</v>
      </c>
      <c r="C1990">
        <v>25.61</v>
      </c>
      <c r="D1990">
        <v>26.67</v>
      </c>
      <c r="E1990">
        <v>25.28</v>
      </c>
      <c r="F1990">
        <v>26.44</v>
      </c>
      <c r="G1990">
        <v>43896</v>
      </c>
      <c r="H1990">
        <v>115190536</v>
      </c>
      <c r="I1990">
        <v>1.39</v>
      </c>
      <c r="J1990" t="s">
        <v>91</v>
      </c>
      <c r="K1990" t="s">
        <v>34</v>
      </c>
      <c r="L1990">
        <v>3.24</v>
      </c>
      <c r="M1990">
        <v>26.24</v>
      </c>
      <c r="N1990">
        <v>21080</v>
      </c>
      <c r="O1990">
        <v>22816</v>
      </c>
      <c r="P1990">
        <v>0.92</v>
      </c>
      <c r="Q1990">
        <v>18</v>
      </c>
      <c r="R1990">
        <v>145</v>
      </c>
      <c r="S1990" t="s">
        <v>3</v>
      </c>
      <c r="T1990">
        <v>27764.33</v>
      </c>
      <c r="U1990" t="s">
        <v>5069</v>
      </c>
      <c r="V1990" t="s">
        <v>5070</v>
      </c>
      <c r="W1990">
        <v>3.24</v>
      </c>
    </row>
    <row r="1991" spans="1:23">
      <c r="A1991" t="str">
        <f>"600512"</f>
        <v>600512</v>
      </c>
      <c r="B1991" t="s">
        <v>5071</v>
      </c>
      <c r="C1991">
        <v>3.09</v>
      </c>
      <c r="D1991">
        <v>3.09</v>
      </c>
      <c r="E1991">
        <v>3.06</v>
      </c>
      <c r="F1991">
        <v>3.09</v>
      </c>
      <c r="G1991">
        <v>73009</v>
      </c>
      <c r="H1991">
        <v>22464246</v>
      </c>
      <c r="I1991">
        <v>0.83</v>
      </c>
      <c r="J1991" t="s">
        <v>33</v>
      </c>
      <c r="K1991" t="s">
        <v>229</v>
      </c>
      <c r="L1991">
        <v>0.32</v>
      </c>
      <c r="M1991">
        <v>3.08</v>
      </c>
      <c r="N1991">
        <v>44939</v>
      </c>
      <c r="O1991">
        <v>28069</v>
      </c>
      <c r="P1991">
        <v>1.6</v>
      </c>
      <c r="Q1991">
        <v>768</v>
      </c>
      <c r="R1991">
        <v>5415</v>
      </c>
      <c r="S1991" t="s">
        <v>3</v>
      </c>
      <c r="T1991">
        <v>73694.06</v>
      </c>
      <c r="U1991" t="s">
        <v>5072</v>
      </c>
      <c r="V1991" t="s">
        <v>5072</v>
      </c>
      <c r="W1991">
        <v>0.32</v>
      </c>
    </row>
    <row r="1992" spans="1:23">
      <c r="A1992" t="str">
        <f>"600513"</f>
        <v>600513</v>
      </c>
      <c r="B1992" t="s">
        <v>5073</v>
      </c>
      <c r="C1992">
        <v>14.54</v>
      </c>
      <c r="D1992">
        <v>15.35</v>
      </c>
      <c r="E1992">
        <v>14.54</v>
      </c>
      <c r="F1992">
        <v>15.19</v>
      </c>
      <c r="G1992">
        <v>119112</v>
      </c>
      <c r="H1992">
        <v>179152208</v>
      </c>
      <c r="I1992">
        <v>2.44</v>
      </c>
      <c r="J1992" t="s">
        <v>219</v>
      </c>
      <c r="K1992" t="s">
        <v>244</v>
      </c>
      <c r="L1992">
        <v>4.1100000000000003</v>
      </c>
      <c r="M1992">
        <v>15.04</v>
      </c>
      <c r="N1992">
        <v>57079</v>
      </c>
      <c r="O1992">
        <v>62033</v>
      </c>
      <c r="P1992">
        <v>0.92</v>
      </c>
      <c r="Q1992">
        <v>144</v>
      </c>
      <c r="R1992">
        <v>123</v>
      </c>
      <c r="S1992" t="s">
        <v>3</v>
      </c>
      <c r="T1992">
        <v>15210</v>
      </c>
      <c r="U1992" t="s">
        <v>5074</v>
      </c>
      <c r="V1992" t="s">
        <v>5075</v>
      </c>
      <c r="W1992">
        <v>4.1100000000000003</v>
      </c>
    </row>
    <row r="1993" spans="1:23">
      <c r="A1993" t="str">
        <f>"600515"</f>
        <v>600515</v>
      </c>
      <c r="B1993" t="s">
        <v>5076</v>
      </c>
      <c r="C1993">
        <v>8.7799999999999994</v>
      </c>
      <c r="D1993">
        <v>8.98</v>
      </c>
      <c r="E1993">
        <v>8.6999999999999993</v>
      </c>
      <c r="F1993">
        <v>8.8800000000000008</v>
      </c>
      <c r="G1993">
        <v>231170</v>
      </c>
      <c r="H1993">
        <v>204699984</v>
      </c>
      <c r="I1993">
        <v>0.68</v>
      </c>
      <c r="J1993" t="s">
        <v>297</v>
      </c>
      <c r="K1993" t="s">
        <v>356</v>
      </c>
      <c r="L1993">
        <v>0.23</v>
      </c>
      <c r="M1993">
        <v>8.85</v>
      </c>
      <c r="N1993">
        <v>112762</v>
      </c>
      <c r="O1993">
        <v>118407</v>
      </c>
      <c r="P1993">
        <v>0.95</v>
      </c>
      <c r="Q1993">
        <v>115</v>
      </c>
      <c r="R1993">
        <v>2456</v>
      </c>
      <c r="S1993" t="s">
        <v>3</v>
      </c>
      <c r="T1993">
        <v>29556</v>
      </c>
      <c r="U1993" t="s">
        <v>5077</v>
      </c>
      <c r="V1993" t="s">
        <v>2951</v>
      </c>
      <c r="W1993">
        <v>0.22</v>
      </c>
    </row>
    <row r="1994" spans="1:23">
      <c r="A1994" t="str">
        <f>"600516"</f>
        <v>600516</v>
      </c>
      <c r="B1994" t="s">
        <v>5078</v>
      </c>
      <c r="C1994">
        <v>11.25</v>
      </c>
      <c r="D1994">
        <v>11.78</v>
      </c>
      <c r="E1994">
        <v>11.22</v>
      </c>
      <c r="F1994">
        <v>11.66</v>
      </c>
      <c r="G1994">
        <v>1136861</v>
      </c>
      <c r="H1994">
        <v>1314062080</v>
      </c>
      <c r="I1994">
        <v>1.56</v>
      </c>
      <c r="J1994" t="s">
        <v>380</v>
      </c>
      <c r="K1994" t="s">
        <v>483</v>
      </c>
      <c r="L1994">
        <v>4.57</v>
      </c>
      <c r="M1994">
        <v>11.56</v>
      </c>
      <c r="N1994">
        <v>521759</v>
      </c>
      <c r="O1994">
        <v>615101</v>
      </c>
      <c r="P1994">
        <v>0.85</v>
      </c>
      <c r="Q1994">
        <v>44</v>
      </c>
      <c r="R1994">
        <v>276</v>
      </c>
      <c r="S1994" t="s">
        <v>3</v>
      </c>
      <c r="T1994">
        <v>171916.03</v>
      </c>
      <c r="U1994" t="s">
        <v>5079</v>
      </c>
      <c r="V1994" t="s">
        <v>5079</v>
      </c>
      <c r="W1994">
        <v>4.57</v>
      </c>
    </row>
    <row r="1995" spans="1:23">
      <c r="A1995" t="str">
        <f>"600517"</f>
        <v>600517</v>
      </c>
      <c r="B1995" t="s">
        <v>5080</v>
      </c>
      <c r="C1995">
        <v>12.55</v>
      </c>
      <c r="D1995">
        <v>12.69</v>
      </c>
      <c r="E1995">
        <v>12.35</v>
      </c>
      <c r="F1995">
        <v>12.59</v>
      </c>
      <c r="G1995">
        <v>165129</v>
      </c>
      <c r="H1995">
        <v>206379424</v>
      </c>
      <c r="I1995">
        <v>0.94</v>
      </c>
      <c r="J1995" t="s">
        <v>145</v>
      </c>
      <c r="K1995" t="s">
        <v>727</v>
      </c>
      <c r="L1995">
        <v>0.56000000000000005</v>
      </c>
      <c r="M1995">
        <v>12.5</v>
      </c>
      <c r="N1995">
        <v>103572</v>
      </c>
      <c r="O1995">
        <v>61556</v>
      </c>
      <c r="P1995">
        <v>1.68</v>
      </c>
      <c r="Q1995">
        <v>288</v>
      </c>
      <c r="R1995">
        <v>535</v>
      </c>
      <c r="S1995" t="s">
        <v>3</v>
      </c>
      <c r="T1995">
        <v>111366.89</v>
      </c>
      <c r="U1995" t="s">
        <v>5081</v>
      </c>
      <c r="V1995" t="s">
        <v>5082</v>
      </c>
      <c r="W1995">
        <v>0.55000000000000004</v>
      </c>
    </row>
    <row r="1996" spans="1:23">
      <c r="A1996" t="str">
        <f>"600518"</f>
        <v>600518</v>
      </c>
      <c r="B1996" t="s">
        <v>5083</v>
      </c>
      <c r="C1996">
        <v>15.15</v>
      </c>
      <c r="D1996">
        <v>15.43</v>
      </c>
      <c r="E1996">
        <v>15</v>
      </c>
      <c r="F1996">
        <v>15.34</v>
      </c>
      <c r="G1996">
        <v>619848</v>
      </c>
      <c r="H1996">
        <v>944572160</v>
      </c>
      <c r="I1996">
        <v>2.09</v>
      </c>
      <c r="J1996" t="s">
        <v>321</v>
      </c>
      <c r="K1996" t="s">
        <v>211</v>
      </c>
      <c r="L1996">
        <v>1.72</v>
      </c>
      <c r="M1996">
        <v>15.24</v>
      </c>
      <c r="N1996">
        <v>278664</v>
      </c>
      <c r="O1996">
        <v>341183</v>
      </c>
      <c r="P1996">
        <v>0.82</v>
      </c>
      <c r="Q1996">
        <v>1452</v>
      </c>
      <c r="R1996">
        <v>278</v>
      </c>
      <c r="S1996" t="s">
        <v>3</v>
      </c>
      <c r="T1996">
        <v>219871.45</v>
      </c>
      <c r="U1996" t="s">
        <v>5084</v>
      </c>
      <c r="V1996" t="s">
        <v>5084</v>
      </c>
      <c r="W1996">
        <v>1.72</v>
      </c>
    </row>
    <row r="1997" spans="1:23">
      <c r="A1997" t="str">
        <f>"600519"</f>
        <v>600519</v>
      </c>
      <c r="B1997" t="s">
        <v>5085</v>
      </c>
      <c r="C1997">
        <v>167.65</v>
      </c>
      <c r="D1997">
        <v>167.97</v>
      </c>
      <c r="E1997">
        <v>164</v>
      </c>
      <c r="F1997">
        <v>164.08</v>
      </c>
      <c r="G1997">
        <v>20563</v>
      </c>
      <c r="H1997">
        <v>339388096</v>
      </c>
      <c r="I1997">
        <v>0.65</v>
      </c>
      <c r="J1997" t="s">
        <v>531</v>
      </c>
      <c r="K1997" t="s">
        <v>452</v>
      </c>
      <c r="L1997">
        <v>-2.0499999999999998</v>
      </c>
      <c r="M1997">
        <v>165.05</v>
      </c>
      <c r="N1997">
        <v>11039</v>
      </c>
      <c r="O1997">
        <v>9523</v>
      </c>
      <c r="P1997">
        <v>1.1599999999999999</v>
      </c>
      <c r="Q1997">
        <v>1</v>
      </c>
      <c r="R1997">
        <v>8</v>
      </c>
      <c r="S1997" t="s">
        <v>3</v>
      </c>
      <c r="T1997">
        <v>114199.79</v>
      </c>
      <c r="U1997" t="s">
        <v>5086</v>
      </c>
      <c r="V1997" t="s">
        <v>5086</v>
      </c>
      <c r="W1997">
        <v>-2.0499999999999998</v>
      </c>
    </row>
    <row r="1998" spans="1:23">
      <c r="A1998" t="str">
        <f>"600520"</f>
        <v>600520</v>
      </c>
      <c r="B1998" t="s">
        <v>5087</v>
      </c>
      <c r="C1998">
        <v>12.87</v>
      </c>
      <c r="D1998">
        <v>13.04</v>
      </c>
      <c r="E1998">
        <v>12.7</v>
      </c>
      <c r="F1998">
        <v>12.95</v>
      </c>
      <c r="G1998">
        <v>24300</v>
      </c>
      <c r="H1998">
        <v>31228872</v>
      </c>
      <c r="I1998">
        <v>0.71</v>
      </c>
      <c r="J1998" t="s">
        <v>398</v>
      </c>
      <c r="K1998" t="s">
        <v>220</v>
      </c>
      <c r="L1998">
        <v>0.39</v>
      </c>
      <c r="M1998">
        <v>12.85</v>
      </c>
      <c r="N1998">
        <v>13186</v>
      </c>
      <c r="O1998">
        <v>11114</v>
      </c>
      <c r="P1998">
        <v>1.19</v>
      </c>
      <c r="Q1998">
        <v>9</v>
      </c>
      <c r="R1998">
        <v>165</v>
      </c>
      <c r="S1998" t="s">
        <v>3</v>
      </c>
      <c r="T1998">
        <v>11304</v>
      </c>
      <c r="U1998" t="s">
        <v>5088</v>
      </c>
      <c r="V1998" t="s">
        <v>5089</v>
      </c>
      <c r="W1998">
        <v>0.38</v>
      </c>
    </row>
    <row r="1999" spans="1:23">
      <c r="A1999" t="str">
        <f>"600521"</f>
        <v>600521</v>
      </c>
      <c r="B1999" t="s">
        <v>5090</v>
      </c>
      <c r="C1999">
        <v>13.2</v>
      </c>
      <c r="D1999">
        <v>13.35</v>
      </c>
      <c r="E1999">
        <v>13.05</v>
      </c>
      <c r="F1999">
        <v>13.26</v>
      </c>
      <c r="G1999">
        <v>92369</v>
      </c>
      <c r="H1999">
        <v>122231432</v>
      </c>
      <c r="I1999">
        <v>0.96</v>
      </c>
      <c r="J1999" t="s">
        <v>219</v>
      </c>
      <c r="K1999" t="s">
        <v>229</v>
      </c>
      <c r="L1999">
        <v>0.76</v>
      </c>
      <c r="M1999">
        <v>13.23</v>
      </c>
      <c r="N1999">
        <v>49044</v>
      </c>
      <c r="O1999">
        <v>43325</v>
      </c>
      <c r="P1999">
        <v>1.1299999999999999</v>
      </c>
      <c r="Q1999">
        <v>13</v>
      </c>
      <c r="R1999">
        <v>373</v>
      </c>
      <c r="S1999" t="s">
        <v>3</v>
      </c>
      <c r="T1999">
        <v>78087.789999999994</v>
      </c>
      <c r="U1999" t="s">
        <v>5091</v>
      </c>
      <c r="V1999" t="s">
        <v>5092</v>
      </c>
      <c r="W1999">
        <v>0.76</v>
      </c>
    </row>
    <row r="2000" spans="1:23">
      <c r="A2000" t="str">
        <f>"600522"</f>
        <v>600522</v>
      </c>
      <c r="B2000" t="s">
        <v>5093</v>
      </c>
      <c r="C2000">
        <v>15.09</v>
      </c>
      <c r="D2000">
        <v>15.17</v>
      </c>
      <c r="E2000">
        <v>14.95</v>
      </c>
      <c r="F2000">
        <v>15.04</v>
      </c>
      <c r="G2000">
        <v>193526</v>
      </c>
      <c r="H2000">
        <v>291149824</v>
      </c>
      <c r="I2000">
        <v>0.61</v>
      </c>
      <c r="J2000" t="s">
        <v>112</v>
      </c>
      <c r="K2000" t="s">
        <v>244</v>
      </c>
      <c r="L2000">
        <v>7.0000000000000007E-2</v>
      </c>
      <c r="M2000">
        <v>15.04</v>
      </c>
      <c r="N2000">
        <v>107504</v>
      </c>
      <c r="O2000">
        <v>86021</v>
      </c>
      <c r="P2000">
        <v>1.25</v>
      </c>
      <c r="Q2000">
        <v>483</v>
      </c>
      <c r="R2000">
        <v>7</v>
      </c>
      <c r="S2000" t="s">
        <v>3</v>
      </c>
      <c r="T2000">
        <v>70450.42</v>
      </c>
      <c r="U2000" t="s">
        <v>5094</v>
      </c>
      <c r="V2000" t="s">
        <v>5094</v>
      </c>
      <c r="W2000">
        <v>0.06</v>
      </c>
    </row>
    <row r="2001" spans="1:23">
      <c r="A2001" t="str">
        <f>"600523"</f>
        <v>600523</v>
      </c>
      <c r="B2001" t="s">
        <v>5095</v>
      </c>
      <c r="C2001" t="s">
        <v>3</v>
      </c>
      <c r="D2001" t="s">
        <v>3</v>
      </c>
      <c r="E2001" t="s">
        <v>3</v>
      </c>
      <c r="F2001">
        <v>16.89</v>
      </c>
      <c r="G2001">
        <v>0</v>
      </c>
      <c r="H2001">
        <v>0</v>
      </c>
      <c r="I2001">
        <v>0</v>
      </c>
      <c r="J2001" t="s">
        <v>98</v>
      </c>
      <c r="K2001" t="s">
        <v>452</v>
      </c>
      <c r="L2001">
        <v>0</v>
      </c>
      <c r="M2001">
        <v>16.89</v>
      </c>
      <c r="N2001">
        <v>0</v>
      </c>
      <c r="O2001">
        <v>0</v>
      </c>
      <c r="P2001" t="s">
        <v>3</v>
      </c>
      <c r="Q2001">
        <v>0</v>
      </c>
      <c r="R2001">
        <v>0</v>
      </c>
      <c r="S2001" t="s">
        <v>3</v>
      </c>
      <c r="T2001">
        <v>28860.33</v>
      </c>
      <c r="U2001" t="s">
        <v>5096</v>
      </c>
      <c r="V2001" t="s">
        <v>1750</v>
      </c>
      <c r="W2001">
        <v>0</v>
      </c>
    </row>
    <row r="2002" spans="1:23">
      <c r="A2002" t="str">
        <f>"600525"</f>
        <v>600525</v>
      </c>
      <c r="B2002" t="s">
        <v>5097</v>
      </c>
      <c r="C2002">
        <v>12.6</v>
      </c>
      <c r="D2002">
        <v>12.69</v>
      </c>
      <c r="E2002">
        <v>12.26</v>
      </c>
      <c r="F2002">
        <v>12.53</v>
      </c>
      <c r="G2002">
        <v>132627</v>
      </c>
      <c r="H2002">
        <v>164101488</v>
      </c>
      <c r="I2002">
        <v>1.47</v>
      </c>
      <c r="J2002" t="s">
        <v>145</v>
      </c>
      <c r="K2002" t="s">
        <v>2</v>
      </c>
      <c r="L2002">
        <v>-0.32</v>
      </c>
      <c r="M2002">
        <v>12.37</v>
      </c>
      <c r="N2002">
        <v>71159</v>
      </c>
      <c r="O2002">
        <v>61467</v>
      </c>
      <c r="P2002">
        <v>1.1599999999999999</v>
      </c>
      <c r="Q2002">
        <v>30</v>
      </c>
      <c r="R2002">
        <v>210</v>
      </c>
      <c r="S2002" t="s">
        <v>3</v>
      </c>
      <c r="T2002">
        <v>86351</v>
      </c>
      <c r="U2002" t="s">
        <v>5098</v>
      </c>
      <c r="V2002" t="s">
        <v>5098</v>
      </c>
      <c r="W2002">
        <v>-0.32</v>
      </c>
    </row>
    <row r="2003" spans="1:23">
      <c r="A2003" t="str">
        <f>"600526"</f>
        <v>600526</v>
      </c>
      <c r="B2003" t="s">
        <v>5099</v>
      </c>
      <c r="C2003">
        <v>12.5</v>
      </c>
      <c r="D2003">
        <v>12.63</v>
      </c>
      <c r="E2003">
        <v>12.13</v>
      </c>
      <c r="F2003">
        <v>12.52</v>
      </c>
      <c r="G2003">
        <v>277989</v>
      </c>
      <c r="H2003">
        <v>344460224</v>
      </c>
      <c r="I2003">
        <v>1.1399999999999999</v>
      </c>
      <c r="J2003" t="s">
        <v>269</v>
      </c>
      <c r="K2003" t="s">
        <v>229</v>
      </c>
      <c r="L2003">
        <v>0.64</v>
      </c>
      <c r="M2003">
        <v>12.39</v>
      </c>
      <c r="N2003">
        <v>138016</v>
      </c>
      <c r="O2003">
        <v>139973</v>
      </c>
      <c r="P2003">
        <v>0.99</v>
      </c>
      <c r="Q2003">
        <v>296</v>
      </c>
      <c r="R2003">
        <v>1048</v>
      </c>
      <c r="S2003" t="s">
        <v>3</v>
      </c>
      <c r="T2003">
        <v>40688.94</v>
      </c>
      <c r="U2003" t="s">
        <v>5100</v>
      </c>
      <c r="V2003" t="s">
        <v>5100</v>
      </c>
      <c r="W2003">
        <v>0.64</v>
      </c>
    </row>
    <row r="2004" spans="1:23">
      <c r="A2004" t="str">
        <f>"600527"</f>
        <v>600527</v>
      </c>
      <c r="B2004" t="s">
        <v>5101</v>
      </c>
      <c r="C2004">
        <v>5.15</v>
      </c>
      <c r="D2004">
        <v>5.17</v>
      </c>
      <c r="E2004">
        <v>5.08</v>
      </c>
      <c r="F2004">
        <v>5.12</v>
      </c>
      <c r="G2004">
        <v>208419</v>
      </c>
      <c r="H2004">
        <v>106399224</v>
      </c>
      <c r="I2004">
        <v>0.86</v>
      </c>
      <c r="J2004" t="s">
        <v>310</v>
      </c>
      <c r="K2004" t="s">
        <v>244</v>
      </c>
      <c r="L2004">
        <v>-0.57999999999999996</v>
      </c>
      <c r="M2004">
        <v>5.1100000000000003</v>
      </c>
      <c r="N2004">
        <v>120270</v>
      </c>
      <c r="O2004">
        <v>88148</v>
      </c>
      <c r="P2004">
        <v>1.36</v>
      </c>
      <c r="Q2004">
        <v>538</v>
      </c>
      <c r="R2004">
        <v>2271</v>
      </c>
      <c r="S2004" t="s">
        <v>3</v>
      </c>
      <c r="T2004">
        <v>80208.929999999993</v>
      </c>
      <c r="U2004" t="s">
        <v>5102</v>
      </c>
      <c r="V2004" t="s">
        <v>5102</v>
      </c>
      <c r="W2004">
        <v>-0.59</v>
      </c>
    </row>
    <row r="2005" spans="1:23">
      <c r="A2005" t="str">
        <f>"600528"</f>
        <v>600528</v>
      </c>
      <c r="B2005" t="s">
        <v>5103</v>
      </c>
      <c r="C2005">
        <v>5.69</v>
      </c>
      <c r="D2005">
        <v>5.71</v>
      </c>
      <c r="E2005">
        <v>5.61</v>
      </c>
      <c r="F2005">
        <v>5.67</v>
      </c>
      <c r="G2005">
        <v>196785</v>
      </c>
      <c r="H2005">
        <v>111383744</v>
      </c>
      <c r="I2005">
        <v>1.1100000000000001</v>
      </c>
      <c r="J2005" t="s">
        <v>33</v>
      </c>
      <c r="K2005" t="s">
        <v>225</v>
      </c>
      <c r="L2005">
        <v>-0.53</v>
      </c>
      <c r="M2005">
        <v>5.66</v>
      </c>
      <c r="N2005">
        <v>102804</v>
      </c>
      <c r="O2005">
        <v>93981</v>
      </c>
      <c r="P2005">
        <v>1.0900000000000001</v>
      </c>
      <c r="Q2005">
        <v>218</v>
      </c>
      <c r="R2005">
        <v>27</v>
      </c>
      <c r="S2005" t="s">
        <v>3</v>
      </c>
      <c r="T2005">
        <v>145920</v>
      </c>
      <c r="U2005" t="s">
        <v>2560</v>
      </c>
      <c r="V2005" t="s">
        <v>2560</v>
      </c>
      <c r="W2005">
        <v>-0.53</v>
      </c>
    </row>
    <row r="2006" spans="1:23">
      <c r="A2006" t="str">
        <f>"600529"</f>
        <v>600529</v>
      </c>
      <c r="B2006" t="s">
        <v>5104</v>
      </c>
      <c r="C2006">
        <v>13.33</v>
      </c>
      <c r="D2006">
        <v>13.43</v>
      </c>
      <c r="E2006">
        <v>13.1</v>
      </c>
      <c r="F2006">
        <v>13.36</v>
      </c>
      <c r="G2006">
        <v>35266</v>
      </c>
      <c r="H2006">
        <v>46771144</v>
      </c>
      <c r="I2006">
        <v>1.32</v>
      </c>
      <c r="J2006" t="s">
        <v>41</v>
      </c>
      <c r="K2006" t="s">
        <v>250</v>
      </c>
      <c r="L2006">
        <v>7.0000000000000007E-2</v>
      </c>
      <c r="M2006">
        <v>13.26</v>
      </c>
      <c r="N2006">
        <v>20094</v>
      </c>
      <c r="O2006">
        <v>15172</v>
      </c>
      <c r="P2006">
        <v>1.32</v>
      </c>
      <c r="Q2006">
        <v>7</v>
      </c>
      <c r="R2006">
        <v>49</v>
      </c>
      <c r="S2006" t="s">
        <v>3</v>
      </c>
      <c r="T2006">
        <v>25738</v>
      </c>
      <c r="U2006" t="s">
        <v>5105</v>
      </c>
      <c r="V2006" t="s">
        <v>5105</v>
      </c>
      <c r="W2006">
        <v>7.0000000000000007E-2</v>
      </c>
    </row>
    <row r="2007" spans="1:23">
      <c r="A2007" t="str">
        <f>"600530"</f>
        <v>600530</v>
      </c>
      <c r="B2007" t="s">
        <v>5106</v>
      </c>
      <c r="C2007">
        <v>9.19</v>
      </c>
      <c r="D2007">
        <v>9.49</v>
      </c>
      <c r="E2007">
        <v>9.19</v>
      </c>
      <c r="F2007">
        <v>9.48</v>
      </c>
      <c r="G2007">
        <v>63573</v>
      </c>
      <c r="H2007">
        <v>59434136</v>
      </c>
      <c r="I2007">
        <v>1.47</v>
      </c>
      <c r="J2007" t="s">
        <v>11</v>
      </c>
      <c r="K2007" t="s">
        <v>727</v>
      </c>
      <c r="L2007">
        <v>3.16</v>
      </c>
      <c r="M2007">
        <v>9.35</v>
      </c>
      <c r="N2007">
        <v>23983</v>
      </c>
      <c r="O2007">
        <v>39589</v>
      </c>
      <c r="P2007">
        <v>0.61</v>
      </c>
      <c r="Q2007">
        <v>523</v>
      </c>
      <c r="R2007">
        <v>603</v>
      </c>
      <c r="S2007" t="s">
        <v>3</v>
      </c>
      <c r="T2007">
        <v>31200</v>
      </c>
      <c r="U2007" t="s">
        <v>5107</v>
      </c>
      <c r="V2007" t="s">
        <v>5107</v>
      </c>
      <c r="W2007">
        <v>3.15</v>
      </c>
    </row>
    <row r="2008" spans="1:23">
      <c r="A2008" t="str">
        <f>"600531"</f>
        <v>600531</v>
      </c>
      <c r="B2008" t="s">
        <v>5108</v>
      </c>
      <c r="C2008">
        <v>12.86</v>
      </c>
      <c r="D2008">
        <v>12.94</v>
      </c>
      <c r="E2008">
        <v>12.58</v>
      </c>
      <c r="F2008">
        <v>12.73</v>
      </c>
      <c r="G2008">
        <v>69801</v>
      </c>
      <c r="H2008">
        <v>88733312</v>
      </c>
      <c r="I2008">
        <v>0.86</v>
      </c>
      <c r="J2008" t="s">
        <v>165</v>
      </c>
      <c r="K2008" t="s">
        <v>254</v>
      </c>
      <c r="L2008">
        <v>-2.08</v>
      </c>
      <c r="M2008">
        <v>12.71</v>
      </c>
      <c r="N2008">
        <v>42676</v>
      </c>
      <c r="O2008">
        <v>27125</v>
      </c>
      <c r="P2008">
        <v>1.57</v>
      </c>
      <c r="Q2008">
        <v>155</v>
      </c>
      <c r="R2008">
        <v>138</v>
      </c>
      <c r="S2008" t="s">
        <v>3</v>
      </c>
      <c r="T2008">
        <v>29525.08</v>
      </c>
      <c r="U2008" t="s">
        <v>5109</v>
      </c>
      <c r="V2008" t="s">
        <v>5109</v>
      </c>
      <c r="W2008">
        <v>-2.08</v>
      </c>
    </row>
    <row r="2009" spans="1:23">
      <c r="A2009" t="str">
        <f>"600532"</f>
        <v>600532</v>
      </c>
      <c r="B2009" t="s">
        <v>5110</v>
      </c>
      <c r="C2009">
        <v>8.6300000000000008</v>
      </c>
      <c r="D2009">
        <v>9.4499999999999993</v>
      </c>
      <c r="E2009">
        <v>8.61</v>
      </c>
      <c r="F2009">
        <v>9.39</v>
      </c>
      <c r="G2009">
        <v>216727</v>
      </c>
      <c r="H2009">
        <v>197783232</v>
      </c>
      <c r="I2009">
        <v>4.96</v>
      </c>
      <c r="J2009" t="s">
        <v>279</v>
      </c>
      <c r="K2009" t="s">
        <v>250</v>
      </c>
      <c r="L2009">
        <v>9.31</v>
      </c>
      <c r="M2009">
        <v>9.1300000000000008</v>
      </c>
      <c r="N2009">
        <v>105386</v>
      </c>
      <c r="O2009">
        <v>111341</v>
      </c>
      <c r="P2009">
        <v>0.95</v>
      </c>
      <c r="Q2009">
        <v>533</v>
      </c>
      <c r="R2009">
        <v>670</v>
      </c>
      <c r="S2009" t="s">
        <v>3</v>
      </c>
      <c r="T2009">
        <v>16510.25</v>
      </c>
      <c r="U2009" t="s">
        <v>5111</v>
      </c>
      <c r="V2009" t="s">
        <v>5112</v>
      </c>
      <c r="W2009">
        <v>9.31</v>
      </c>
    </row>
    <row r="2010" spans="1:23">
      <c r="A2010" t="str">
        <f>"600533"</f>
        <v>600533</v>
      </c>
      <c r="B2010" t="s">
        <v>5113</v>
      </c>
      <c r="C2010">
        <v>3.51</v>
      </c>
      <c r="D2010">
        <v>3.53</v>
      </c>
      <c r="E2010">
        <v>3.48</v>
      </c>
      <c r="F2010">
        <v>3.52</v>
      </c>
      <c r="G2010">
        <v>72848</v>
      </c>
      <c r="H2010">
        <v>25545560</v>
      </c>
      <c r="I2010">
        <v>1.1499999999999999</v>
      </c>
      <c r="J2010" t="s">
        <v>15</v>
      </c>
      <c r="K2010" t="s">
        <v>244</v>
      </c>
      <c r="L2010">
        <v>0.56999999999999995</v>
      </c>
      <c r="M2010">
        <v>3.51</v>
      </c>
      <c r="N2010">
        <v>34348</v>
      </c>
      <c r="O2010">
        <v>38499</v>
      </c>
      <c r="P2010">
        <v>0.89</v>
      </c>
      <c r="Q2010">
        <v>151</v>
      </c>
      <c r="R2010">
        <v>3595</v>
      </c>
      <c r="S2010" t="s">
        <v>3</v>
      </c>
      <c r="T2010">
        <v>105000</v>
      </c>
      <c r="U2010" t="s">
        <v>100</v>
      </c>
      <c r="V2010" t="s">
        <v>100</v>
      </c>
      <c r="W2010">
        <v>0.56999999999999995</v>
      </c>
    </row>
    <row r="2011" spans="1:23">
      <c r="A2011" t="str">
        <f>"600535"</f>
        <v>600535</v>
      </c>
      <c r="B2011" t="s">
        <v>5114</v>
      </c>
      <c r="C2011">
        <v>39.28</v>
      </c>
      <c r="D2011">
        <v>39.68</v>
      </c>
      <c r="E2011">
        <v>38.96</v>
      </c>
      <c r="F2011">
        <v>39.46</v>
      </c>
      <c r="G2011">
        <v>83144</v>
      </c>
      <c r="H2011">
        <v>326856320</v>
      </c>
      <c r="I2011">
        <v>1.2</v>
      </c>
      <c r="J2011" t="s">
        <v>321</v>
      </c>
      <c r="K2011" t="s">
        <v>442</v>
      </c>
      <c r="L2011">
        <v>0.54</v>
      </c>
      <c r="M2011">
        <v>39.31</v>
      </c>
      <c r="N2011">
        <v>41867</v>
      </c>
      <c r="O2011">
        <v>41277</v>
      </c>
      <c r="P2011">
        <v>1.01</v>
      </c>
      <c r="Q2011">
        <v>5</v>
      </c>
      <c r="R2011">
        <v>19</v>
      </c>
      <c r="S2011" t="s">
        <v>3</v>
      </c>
      <c r="T2011">
        <v>103284.27</v>
      </c>
      <c r="U2011" t="s">
        <v>5115</v>
      </c>
      <c r="V2011" t="s">
        <v>5115</v>
      </c>
      <c r="W2011">
        <v>0.53</v>
      </c>
    </row>
    <row r="2012" spans="1:23">
      <c r="A2012" t="str">
        <f>"600536"</f>
        <v>600536</v>
      </c>
      <c r="B2012" t="s">
        <v>5116</v>
      </c>
      <c r="C2012">
        <v>28.7</v>
      </c>
      <c r="D2012">
        <v>28.79</v>
      </c>
      <c r="E2012">
        <v>28.09</v>
      </c>
      <c r="F2012">
        <v>28.48</v>
      </c>
      <c r="G2012">
        <v>160073</v>
      </c>
      <c r="H2012">
        <v>453533344</v>
      </c>
      <c r="I2012">
        <v>0.71</v>
      </c>
      <c r="J2012" t="s">
        <v>758</v>
      </c>
      <c r="K2012" t="s">
        <v>34</v>
      </c>
      <c r="L2012">
        <v>-1.35</v>
      </c>
      <c r="M2012">
        <v>28.33</v>
      </c>
      <c r="N2012">
        <v>88296</v>
      </c>
      <c r="O2012">
        <v>71776</v>
      </c>
      <c r="P2012">
        <v>1.23</v>
      </c>
      <c r="Q2012">
        <v>26</v>
      </c>
      <c r="R2012">
        <v>72</v>
      </c>
      <c r="S2012" t="s">
        <v>3</v>
      </c>
      <c r="T2012">
        <v>45138.78</v>
      </c>
      <c r="U2012" t="s">
        <v>5117</v>
      </c>
      <c r="V2012" t="s">
        <v>5118</v>
      </c>
      <c r="W2012">
        <v>-1.36</v>
      </c>
    </row>
    <row r="2013" spans="1:23">
      <c r="A2013" t="str">
        <f>"600537"</f>
        <v>600537</v>
      </c>
      <c r="B2013" t="s">
        <v>5119</v>
      </c>
      <c r="C2013">
        <v>17.2</v>
      </c>
      <c r="D2013">
        <v>17.670000000000002</v>
      </c>
      <c r="E2013">
        <v>17</v>
      </c>
      <c r="F2013">
        <v>17.47</v>
      </c>
      <c r="G2013">
        <v>366410</v>
      </c>
      <c r="H2013">
        <v>635970624</v>
      </c>
      <c r="I2013">
        <v>0.66</v>
      </c>
      <c r="J2013" t="s">
        <v>1581</v>
      </c>
      <c r="K2013" t="s">
        <v>229</v>
      </c>
      <c r="L2013">
        <v>1.33</v>
      </c>
      <c r="M2013">
        <v>17.36</v>
      </c>
      <c r="N2013">
        <v>182065</v>
      </c>
      <c r="O2013">
        <v>184344</v>
      </c>
      <c r="P2013">
        <v>0.99</v>
      </c>
      <c r="Q2013">
        <v>3</v>
      </c>
      <c r="R2013">
        <v>167</v>
      </c>
      <c r="S2013" t="s">
        <v>3</v>
      </c>
      <c r="T2013">
        <v>23003.4</v>
      </c>
      <c r="U2013" t="s">
        <v>5120</v>
      </c>
      <c r="V2013" t="s">
        <v>5121</v>
      </c>
      <c r="W2013">
        <v>1.33</v>
      </c>
    </row>
    <row r="2014" spans="1:23">
      <c r="A2014" t="str">
        <f>"600538"</f>
        <v>600538</v>
      </c>
      <c r="B2014" t="s">
        <v>5122</v>
      </c>
      <c r="C2014">
        <v>8.33</v>
      </c>
      <c r="D2014">
        <v>8.67</v>
      </c>
      <c r="E2014">
        <v>8.2100000000000009</v>
      </c>
      <c r="F2014">
        <v>8.58</v>
      </c>
      <c r="G2014">
        <v>116755</v>
      </c>
      <c r="H2014">
        <v>98141144</v>
      </c>
      <c r="I2014">
        <v>1.44</v>
      </c>
      <c r="J2014" t="s">
        <v>224</v>
      </c>
      <c r="K2014" t="s">
        <v>417</v>
      </c>
      <c r="L2014">
        <v>3.25</v>
      </c>
      <c r="M2014">
        <v>8.41</v>
      </c>
      <c r="N2014">
        <v>59246</v>
      </c>
      <c r="O2014">
        <v>57508</v>
      </c>
      <c r="P2014">
        <v>1.03</v>
      </c>
      <c r="Q2014">
        <v>85</v>
      </c>
      <c r="R2014">
        <v>534</v>
      </c>
      <c r="S2014" t="s">
        <v>3</v>
      </c>
      <c r="T2014">
        <v>27921.59</v>
      </c>
      <c r="U2014" t="s">
        <v>5123</v>
      </c>
      <c r="V2014" t="s">
        <v>5124</v>
      </c>
      <c r="W2014">
        <v>3.24</v>
      </c>
    </row>
    <row r="2015" spans="1:23">
      <c r="A2015" t="str">
        <f>"600539"</f>
        <v>600539</v>
      </c>
      <c r="B2015" t="s">
        <v>5125</v>
      </c>
      <c r="C2015">
        <v>7.58</v>
      </c>
      <c r="D2015">
        <v>7.58</v>
      </c>
      <c r="E2015">
        <v>7.47</v>
      </c>
      <c r="F2015">
        <v>7.51</v>
      </c>
      <c r="G2015">
        <v>40536</v>
      </c>
      <c r="H2015">
        <v>30496884</v>
      </c>
      <c r="I2015">
        <v>0.84</v>
      </c>
      <c r="J2015" t="s">
        <v>258</v>
      </c>
      <c r="K2015" t="s">
        <v>742</v>
      </c>
      <c r="L2015">
        <v>-0.53</v>
      </c>
      <c r="M2015">
        <v>7.52</v>
      </c>
      <c r="N2015">
        <v>24464</v>
      </c>
      <c r="O2015">
        <v>16071</v>
      </c>
      <c r="P2015">
        <v>1.52</v>
      </c>
      <c r="Q2015">
        <v>96</v>
      </c>
      <c r="R2015">
        <v>300</v>
      </c>
      <c r="S2015" t="s">
        <v>3</v>
      </c>
      <c r="T2015">
        <v>16043.58</v>
      </c>
      <c r="U2015" t="s">
        <v>5126</v>
      </c>
      <c r="V2015" t="s">
        <v>5127</v>
      </c>
      <c r="W2015">
        <v>-0.53</v>
      </c>
    </row>
    <row r="2016" spans="1:23">
      <c r="A2016" t="str">
        <f>"600540"</f>
        <v>600540</v>
      </c>
      <c r="B2016" t="s">
        <v>5128</v>
      </c>
      <c r="C2016">
        <v>7.04</v>
      </c>
      <c r="D2016">
        <v>7.07</v>
      </c>
      <c r="E2016">
        <v>6.93</v>
      </c>
      <c r="F2016">
        <v>7</v>
      </c>
      <c r="G2016">
        <v>53943</v>
      </c>
      <c r="H2016">
        <v>37565020</v>
      </c>
      <c r="I2016">
        <v>0.74</v>
      </c>
      <c r="J2016" t="s">
        <v>829</v>
      </c>
      <c r="K2016" t="s">
        <v>241</v>
      </c>
      <c r="L2016">
        <v>-0.56999999999999995</v>
      </c>
      <c r="M2016">
        <v>6.96</v>
      </c>
      <c r="N2016">
        <v>30729</v>
      </c>
      <c r="O2016">
        <v>23214</v>
      </c>
      <c r="P2016">
        <v>1.32</v>
      </c>
      <c r="Q2016">
        <v>202</v>
      </c>
      <c r="R2016">
        <v>379</v>
      </c>
      <c r="S2016" t="s">
        <v>3</v>
      </c>
      <c r="T2016">
        <v>30270.84</v>
      </c>
      <c r="U2016" t="s">
        <v>704</v>
      </c>
      <c r="V2016" t="s">
        <v>704</v>
      </c>
      <c r="W2016">
        <v>-0.56999999999999995</v>
      </c>
    </row>
    <row r="2017" spans="1:23">
      <c r="A2017" t="str">
        <f>"600543"</f>
        <v>600543</v>
      </c>
      <c r="B2017" t="s">
        <v>5129</v>
      </c>
      <c r="C2017">
        <v>7.83</v>
      </c>
      <c r="D2017">
        <v>7.94</v>
      </c>
      <c r="E2017">
        <v>7.79</v>
      </c>
      <c r="F2017">
        <v>7.91</v>
      </c>
      <c r="G2017">
        <v>66769</v>
      </c>
      <c r="H2017">
        <v>52631512</v>
      </c>
      <c r="I2017">
        <v>1</v>
      </c>
      <c r="J2017" t="s">
        <v>495</v>
      </c>
      <c r="K2017" t="s">
        <v>483</v>
      </c>
      <c r="L2017">
        <v>0.89</v>
      </c>
      <c r="M2017">
        <v>7.88</v>
      </c>
      <c r="N2017">
        <v>32351</v>
      </c>
      <c r="O2017">
        <v>34417</v>
      </c>
      <c r="P2017">
        <v>0.94</v>
      </c>
      <c r="Q2017">
        <v>94</v>
      </c>
      <c r="R2017">
        <v>1921</v>
      </c>
      <c r="S2017" t="s">
        <v>3</v>
      </c>
      <c r="T2017">
        <v>32112</v>
      </c>
      <c r="U2017" t="s">
        <v>4585</v>
      </c>
      <c r="V2017" t="s">
        <v>4585</v>
      </c>
      <c r="W2017">
        <v>0.89</v>
      </c>
    </row>
    <row r="2018" spans="1:23">
      <c r="A2018" t="str">
        <f>"600545"</f>
        <v>600545</v>
      </c>
      <c r="B2018" t="s">
        <v>5130</v>
      </c>
      <c r="C2018">
        <v>8.93</v>
      </c>
      <c r="D2018">
        <v>9.1199999999999992</v>
      </c>
      <c r="E2018">
        <v>8.74</v>
      </c>
      <c r="F2018">
        <v>8.94</v>
      </c>
      <c r="G2018">
        <v>467848</v>
      </c>
      <c r="H2018">
        <v>417385888</v>
      </c>
      <c r="I2018">
        <v>1.75</v>
      </c>
      <c r="J2018" t="s">
        <v>33</v>
      </c>
      <c r="K2018" t="s">
        <v>241</v>
      </c>
      <c r="L2018">
        <v>1.71</v>
      </c>
      <c r="M2018">
        <v>8.92</v>
      </c>
      <c r="N2018">
        <v>216765</v>
      </c>
      <c r="O2018">
        <v>251083</v>
      </c>
      <c r="P2018">
        <v>0.86</v>
      </c>
      <c r="Q2018">
        <v>1582</v>
      </c>
      <c r="R2018">
        <v>1480</v>
      </c>
      <c r="S2018" t="s">
        <v>3</v>
      </c>
      <c r="T2018">
        <v>67578.570000000007</v>
      </c>
      <c r="U2018" t="s">
        <v>5131</v>
      </c>
      <c r="V2018" t="s">
        <v>5131</v>
      </c>
      <c r="W2018">
        <v>1.7</v>
      </c>
    </row>
    <row r="2019" spans="1:23">
      <c r="A2019" t="str">
        <f>"600546"</f>
        <v>600546</v>
      </c>
      <c r="B2019" t="s">
        <v>5132</v>
      </c>
      <c r="C2019">
        <v>4.4000000000000004</v>
      </c>
      <c r="D2019">
        <v>4.54</v>
      </c>
      <c r="E2019">
        <v>4.3600000000000003</v>
      </c>
      <c r="F2019">
        <v>4.47</v>
      </c>
      <c r="G2019">
        <v>449780</v>
      </c>
      <c r="H2019">
        <v>200397568</v>
      </c>
      <c r="I2019">
        <v>1.58</v>
      </c>
      <c r="J2019" t="s">
        <v>482</v>
      </c>
      <c r="K2019" t="s">
        <v>742</v>
      </c>
      <c r="L2019">
        <v>1.36</v>
      </c>
      <c r="M2019">
        <v>4.46</v>
      </c>
      <c r="N2019">
        <v>190675</v>
      </c>
      <c r="O2019">
        <v>259105</v>
      </c>
      <c r="P2019">
        <v>0.74</v>
      </c>
      <c r="Q2019">
        <v>1423</v>
      </c>
      <c r="R2019">
        <v>1649</v>
      </c>
      <c r="S2019" t="s">
        <v>3</v>
      </c>
      <c r="T2019">
        <v>198245.59</v>
      </c>
      <c r="U2019" t="s">
        <v>5133</v>
      </c>
      <c r="V2019" t="s">
        <v>5133</v>
      </c>
      <c r="W2019">
        <v>1.36</v>
      </c>
    </row>
    <row r="2020" spans="1:23">
      <c r="A2020" t="str">
        <f>"600547"</f>
        <v>600547</v>
      </c>
      <c r="B2020" t="s">
        <v>5134</v>
      </c>
      <c r="C2020" t="s">
        <v>3</v>
      </c>
      <c r="D2020" t="s">
        <v>3</v>
      </c>
      <c r="E2020" t="s">
        <v>3</v>
      </c>
      <c r="F2020">
        <v>16.55</v>
      </c>
      <c r="G2020">
        <v>0</v>
      </c>
      <c r="H2020">
        <v>0</v>
      </c>
      <c r="I2020">
        <v>0</v>
      </c>
      <c r="J2020" t="s">
        <v>1783</v>
      </c>
      <c r="K2020" t="s">
        <v>250</v>
      </c>
      <c r="L2020">
        <v>0</v>
      </c>
      <c r="M2020">
        <v>16.55</v>
      </c>
      <c r="N2020">
        <v>0</v>
      </c>
      <c r="O2020">
        <v>0</v>
      </c>
      <c r="P2020" t="s">
        <v>3</v>
      </c>
      <c r="Q2020">
        <v>0</v>
      </c>
      <c r="R2020">
        <v>0</v>
      </c>
      <c r="S2020" t="s">
        <v>3</v>
      </c>
      <c r="T2020">
        <v>142307.23000000001</v>
      </c>
      <c r="U2020" t="s">
        <v>5135</v>
      </c>
      <c r="V2020" t="s">
        <v>5135</v>
      </c>
      <c r="W2020">
        <v>0</v>
      </c>
    </row>
    <row r="2021" spans="1:23">
      <c r="A2021" t="str">
        <f>"600548"</f>
        <v>600548</v>
      </c>
      <c r="B2021" t="s">
        <v>5136</v>
      </c>
      <c r="C2021">
        <v>4.82</v>
      </c>
      <c r="D2021">
        <v>4.8899999999999997</v>
      </c>
      <c r="E2021">
        <v>4.82</v>
      </c>
      <c r="F2021">
        <v>4.8899999999999997</v>
      </c>
      <c r="G2021">
        <v>59380</v>
      </c>
      <c r="H2021">
        <v>28875236</v>
      </c>
      <c r="I2021">
        <v>0.8</v>
      </c>
      <c r="J2021" t="s">
        <v>336</v>
      </c>
      <c r="K2021" t="s">
        <v>2</v>
      </c>
      <c r="L2021">
        <v>1.24</v>
      </c>
      <c r="M2021">
        <v>4.8600000000000003</v>
      </c>
      <c r="N2021">
        <v>20051</v>
      </c>
      <c r="O2021">
        <v>39329</v>
      </c>
      <c r="P2021">
        <v>0.51</v>
      </c>
      <c r="Q2021">
        <v>1414</v>
      </c>
      <c r="R2021">
        <v>4520</v>
      </c>
      <c r="S2021" t="s">
        <v>3</v>
      </c>
      <c r="T2021">
        <v>143327.03</v>
      </c>
      <c r="U2021" t="s">
        <v>5137</v>
      </c>
      <c r="V2021" t="s">
        <v>5137</v>
      </c>
      <c r="W2021">
        <v>1.24</v>
      </c>
    </row>
    <row r="2022" spans="1:23">
      <c r="A2022" t="str">
        <f>"600549"</f>
        <v>600549</v>
      </c>
      <c r="B2022" t="s">
        <v>5138</v>
      </c>
      <c r="C2022">
        <v>31.24</v>
      </c>
      <c r="D2022">
        <v>31.55</v>
      </c>
      <c r="E2022">
        <v>30.76</v>
      </c>
      <c r="F2022">
        <v>30.84</v>
      </c>
      <c r="G2022">
        <v>90165</v>
      </c>
      <c r="H2022">
        <v>279293472</v>
      </c>
      <c r="I2022">
        <v>0.83</v>
      </c>
      <c r="J2022" t="s">
        <v>328</v>
      </c>
      <c r="K2022" t="s">
        <v>414</v>
      </c>
      <c r="L2022">
        <v>-1.25</v>
      </c>
      <c r="M2022">
        <v>30.98</v>
      </c>
      <c r="N2022">
        <v>54612</v>
      </c>
      <c r="O2022">
        <v>35552</v>
      </c>
      <c r="P2022">
        <v>1.54</v>
      </c>
      <c r="Q2022">
        <v>8</v>
      </c>
      <c r="R2022">
        <v>68</v>
      </c>
      <c r="S2022" t="s">
        <v>3</v>
      </c>
      <c r="T2022">
        <v>68198</v>
      </c>
      <c r="U2022" t="s">
        <v>5139</v>
      </c>
      <c r="V2022" t="s">
        <v>5139</v>
      </c>
      <c r="W2022">
        <v>-1.25</v>
      </c>
    </row>
    <row r="2023" spans="1:23">
      <c r="A2023" t="str">
        <f>"600550"</f>
        <v>600550</v>
      </c>
      <c r="B2023" t="s">
        <v>5140</v>
      </c>
      <c r="C2023">
        <v>5.66</v>
      </c>
      <c r="D2023">
        <v>5.7</v>
      </c>
      <c r="E2023">
        <v>5.56</v>
      </c>
      <c r="F2023">
        <v>5.6</v>
      </c>
      <c r="G2023">
        <v>85770</v>
      </c>
      <c r="H2023">
        <v>48192144</v>
      </c>
      <c r="I2023">
        <v>0.88</v>
      </c>
      <c r="J2023" t="s">
        <v>145</v>
      </c>
      <c r="K2023" t="s">
        <v>238</v>
      </c>
      <c r="L2023">
        <v>-0.88</v>
      </c>
      <c r="M2023">
        <v>5.62</v>
      </c>
      <c r="N2023">
        <v>53082</v>
      </c>
      <c r="O2023">
        <v>32688</v>
      </c>
      <c r="P2023">
        <v>1.62</v>
      </c>
      <c r="Q2023">
        <v>119</v>
      </c>
      <c r="R2023">
        <v>916</v>
      </c>
      <c r="S2023" t="s">
        <v>3</v>
      </c>
      <c r="T2023">
        <v>137299.09</v>
      </c>
      <c r="U2023" t="s">
        <v>5141</v>
      </c>
      <c r="V2023" t="s">
        <v>5141</v>
      </c>
      <c r="W2023">
        <v>-0.89</v>
      </c>
    </row>
    <row r="2024" spans="1:23">
      <c r="A2024" t="str">
        <f>"600551"</f>
        <v>600551</v>
      </c>
      <c r="B2024" t="s">
        <v>5142</v>
      </c>
      <c r="C2024">
        <v>19.22</v>
      </c>
      <c r="D2024">
        <v>19.34</v>
      </c>
      <c r="E2024">
        <v>19</v>
      </c>
      <c r="F2024">
        <v>19.239999999999998</v>
      </c>
      <c r="G2024">
        <v>96873</v>
      </c>
      <c r="H2024">
        <v>185787728</v>
      </c>
      <c r="I2024">
        <v>0.7</v>
      </c>
      <c r="J2024" t="s">
        <v>360</v>
      </c>
      <c r="K2024" t="s">
        <v>220</v>
      </c>
      <c r="L2024">
        <v>-0.62</v>
      </c>
      <c r="M2024">
        <v>19.18</v>
      </c>
      <c r="N2024">
        <v>53685</v>
      </c>
      <c r="O2024">
        <v>43187</v>
      </c>
      <c r="P2024">
        <v>1.24</v>
      </c>
      <c r="Q2024">
        <v>82</v>
      </c>
      <c r="R2024">
        <v>37</v>
      </c>
      <c r="S2024" t="s">
        <v>3</v>
      </c>
      <c r="T2024">
        <v>50582.53</v>
      </c>
      <c r="U2024" t="s">
        <v>5143</v>
      </c>
      <c r="V2024" t="s">
        <v>5143</v>
      </c>
      <c r="W2024">
        <v>-0.62</v>
      </c>
    </row>
    <row r="2025" spans="1:23">
      <c r="A2025" t="str">
        <f>"600552"</f>
        <v>600552</v>
      </c>
      <c r="B2025" t="s">
        <v>5144</v>
      </c>
      <c r="C2025">
        <v>18.02</v>
      </c>
      <c r="D2025">
        <v>18.54</v>
      </c>
      <c r="E2025">
        <v>18.02</v>
      </c>
      <c r="F2025">
        <v>18.32</v>
      </c>
      <c r="G2025">
        <v>44156</v>
      </c>
      <c r="H2025">
        <v>81220208</v>
      </c>
      <c r="I2025">
        <v>1.07</v>
      </c>
      <c r="J2025" t="s">
        <v>41</v>
      </c>
      <c r="K2025" t="s">
        <v>220</v>
      </c>
      <c r="L2025">
        <v>0.49</v>
      </c>
      <c r="M2025">
        <v>18.39</v>
      </c>
      <c r="N2025">
        <v>21997</v>
      </c>
      <c r="O2025">
        <v>22158</v>
      </c>
      <c r="P2025">
        <v>0.99</v>
      </c>
      <c r="Q2025">
        <v>28</v>
      </c>
      <c r="R2025">
        <v>58</v>
      </c>
      <c r="S2025" t="s">
        <v>3</v>
      </c>
      <c r="T2025">
        <v>34223.94</v>
      </c>
      <c r="U2025" t="s">
        <v>1626</v>
      </c>
      <c r="V2025" t="s">
        <v>5145</v>
      </c>
      <c r="W2025">
        <v>0.49</v>
      </c>
    </row>
    <row r="2026" spans="1:23">
      <c r="A2026" t="str">
        <f>"600555"</f>
        <v>600555</v>
      </c>
      <c r="B2026" t="s">
        <v>5146</v>
      </c>
      <c r="C2026">
        <v>3.66</v>
      </c>
      <c r="D2026">
        <v>3.8</v>
      </c>
      <c r="E2026">
        <v>3.64</v>
      </c>
      <c r="F2026">
        <v>3.73</v>
      </c>
      <c r="G2026">
        <v>128000</v>
      </c>
      <c r="H2026">
        <v>47579004</v>
      </c>
      <c r="I2026">
        <v>1.41</v>
      </c>
      <c r="J2026" t="s">
        <v>185</v>
      </c>
      <c r="K2026" t="s">
        <v>727</v>
      </c>
      <c r="L2026">
        <v>1.36</v>
      </c>
      <c r="M2026">
        <v>3.72</v>
      </c>
      <c r="N2026">
        <v>60001</v>
      </c>
      <c r="O2026">
        <v>67998</v>
      </c>
      <c r="P2026">
        <v>0.88</v>
      </c>
      <c r="Q2026">
        <v>1145</v>
      </c>
      <c r="R2026">
        <v>104</v>
      </c>
      <c r="S2026" t="s">
        <v>3</v>
      </c>
      <c r="T2026">
        <v>97350</v>
      </c>
      <c r="U2026" t="s">
        <v>5147</v>
      </c>
      <c r="V2026" t="s">
        <v>5148</v>
      </c>
      <c r="W2026">
        <v>1.35</v>
      </c>
    </row>
    <row r="2027" spans="1:23">
      <c r="A2027" t="str">
        <f>"600556"</f>
        <v>600556</v>
      </c>
      <c r="B2027" t="s">
        <v>5149</v>
      </c>
      <c r="C2027">
        <v>9.11</v>
      </c>
      <c r="D2027">
        <v>10</v>
      </c>
      <c r="E2027">
        <v>9.1</v>
      </c>
      <c r="F2027">
        <v>10</v>
      </c>
      <c r="G2027">
        <v>319222</v>
      </c>
      <c r="H2027">
        <v>307291168</v>
      </c>
      <c r="I2027">
        <v>1.58</v>
      </c>
      <c r="J2027" t="s">
        <v>11</v>
      </c>
      <c r="K2027" t="s">
        <v>417</v>
      </c>
      <c r="L2027">
        <v>10.01</v>
      </c>
      <c r="M2027">
        <v>9.6300000000000008</v>
      </c>
      <c r="N2027">
        <v>122103</v>
      </c>
      <c r="O2027">
        <v>197119</v>
      </c>
      <c r="P2027">
        <v>0.62</v>
      </c>
      <c r="Q2027">
        <v>34566</v>
      </c>
      <c r="R2027">
        <v>0</v>
      </c>
      <c r="S2027" t="s">
        <v>3</v>
      </c>
      <c r="T2027">
        <v>39479.370000000003</v>
      </c>
      <c r="U2027" t="s">
        <v>5150</v>
      </c>
      <c r="V2027" t="s">
        <v>5150</v>
      </c>
      <c r="W2027">
        <v>10.01</v>
      </c>
    </row>
    <row r="2028" spans="1:23">
      <c r="A2028" t="str">
        <f>"600557"</f>
        <v>600557</v>
      </c>
      <c r="B2028" t="s">
        <v>5151</v>
      </c>
      <c r="C2028">
        <v>26.59</v>
      </c>
      <c r="D2028">
        <v>27.44</v>
      </c>
      <c r="E2028">
        <v>26.48</v>
      </c>
      <c r="F2028">
        <v>27.43</v>
      </c>
      <c r="G2028">
        <v>116037</v>
      </c>
      <c r="H2028">
        <v>313774016</v>
      </c>
      <c r="I2028">
        <v>2.2400000000000002</v>
      </c>
      <c r="J2028" t="s">
        <v>321</v>
      </c>
      <c r="K2028" t="s">
        <v>244</v>
      </c>
      <c r="L2028">
        <v>3.31</v>
      </c>
      <c r="M2028">
        <v>27.04</v>
      </c>
      <c r="N2028">
        <v>52244</v>
      </c>
      <c r="O2028">
        <v>63793</v>
      </c>
      <c r="P2028">
        <v>0.82</v>
      </c>
      <c r="Q2028">
        <v>14</v>
      </c>
      <c r="R2028">
        <v>178</v>
      </c>
      <c r="S2028" t="s">
        <v>3</v>
      </c>
      <c r="T2028">
        <v>36852.85</v>
      </c>
      <c r="U2028" t="s">
        <v>5152</v>
      </c>
      <c r="V2028" t="s">
        <v>5153</v>
      </c>
      <c r="W2028">
        <v>3.31</v>
      </c>
    </row>
    <row r="2029" spans="1:23">
      <c r="A2029" t="str">
        <f>"600558"</f>
        <v>600558</v>
      </c>
      <c r="B2029" t="s">
        <v>5154</v>
      </c>
      <c r="C2029">
        <v>9.81</v>
      </c>
      <c r="D2029">
        <v>9.98</v>
      </c>
      <c r="E2029">
        <v>9.8000000000000007</v>
      </c>
      <c r="F2029">
        <v>9.85</v>
      </c>
      <c r="G2029">
        <v>45048</v>
      </c>
      <c r="H2029">
        <v>44388036</v>
      </c>
      <c r="I2029">
        <v>1.08</v>
      </c>
      <c r="J2029" t="s">
        <v>838</v>
      </c>
      <c r="K2029" t="s">
        <v>225</v>
      </c>
      <c r="L2029">
        <v>-1.2</v>
      </c>
      <c r="M2029">
        <v>9.85</v>
      </c>
      <c r="N2029">
        <v>28208</v>
      </c>
      <c r="O2029">
        <v>16840</v>
      </c>
      <c r="P2029">
        <v>1.68</v>
      </c>
      <c r="Q2029">
        <v>57</v>
      </c>
      <c r="R2029">
        <v>53</v>
      </c>
      <c r="S2029" t="s">
        <v>3</v>
      </c>
      <c r="T2029">
        <v>26943.51</v>
      </c>
      <c r="U2029" t="s">
        <v>5155</v>
      </c>
      <c r="V2029" t="s">
        <v>2032</v>
      </c>
      <c r="W2029">
        <v>-1.21</v>
      </c>
    </row>
    <row r="2030" spans="1:23">
      <c r="A2030" t="str">
        <f>"600559"</f>
        <v>600559</v>
      </c>
      <c r="B2030" t="s">
        <v>5156</v>
      </c>
      <c r="C2030">
        <v>27.99</v>
      </c>
      <c r="D2030">
        <v>28</v>
      </c>
      <c r="E2030">
        <v>27.1</v>
      </c>
      <c r="F2030">
        <v>27.27</v>
      </c>
      <c r="G2030">
        <v>21785</v>
      </c>
      <c r="H2030">
        <v>59536040</v>
      </c>
      <c r="I2030">
        <v>0.53</v>
      </c>
      <c r="J2030" t="s">
        <v>531</v>
      </c>
      <c r="K2030" t="s">
        <v>238</v>
      </c>
      <c r="L2030">
        <v>-1.27</v>
      </c>
      <c r="M2030">
        <v>27.33</v>
      </c>
      <c r="N2030">
        <v>12545</v>
      </c>
      <c r="O2030">
        <v>9240</v>
      </c>
      <c r="P2030">
        <v>1.36</v>
      </c>
      <c r="Q2030">
        <v>51</v>
      </c>
      <c r="R2030">
        <v>20</v>
      </c>
      <c r="S2030" t="s">
        <v>3</v>
      </c>
      <c r="T2030">
        <v>14000</v>
      </c>
      <c r="U2030" t="s">
        <v>3446</v>
      </c>
      <c r="V2030" t="s">
        <v>3446</v>
      </c>
      <c r="W2030">
        <v>-1.27</v>
      </c>
    </row>
    <row r="2031" spans="1:23">
      <c r="A2031" t="str">
        <f>"600560"</f>
        <v>600560</v>
      </c>
      <c r="B2031" t="s">
        <v>5157</v>
      </c>
      <c r="C2031">
        <v>11.75</v>
      </c>
      <c r="D2031">
        <v>11.88</v>
      </c>
      <c r="E2031">
        <v>11.35</v>
      </c>
      <c r="F2031">
        <v>11.58</v>
      </c>
      <c r="G2031">
        <v>45333</v>
      </c>
      <c r="H2031">
        <v>52193700</v>
      </c>
      <c r="I2031">
        <v>0.81</v>
      </c>
      <c r="J2031" t="s">
        <v>145</v>
      </c>
      <c r="K2031" t="s">
        <v>34</v>
      </c>
      <c r="L2031">
        <v>-0.52</v>
      </c>
      <c r="M2031">
        <v>11.51</v>
      </c>
      <c r="N2031">
        <v>26682</v>
      </c>
      <c r="O2031">
        <v>18651</v>
      </c>
      <c r="P2031">
        <v>1.43</v>
      </c>
      <c r="Q2031">
        <v>17</v>
      </c>
      <c r="R2031">
        <v>301</v>
      </c>
      <c r="S2031" t="s">
        <v>3</v>
      </c>
      <c r="T2031">
        <v>22364.55</v>
      </c>
      <c r="U2031" t="s">
        <v>5158</v>
      </c>
      <c r="V2031" t="s">
        <v>5158</v>
      </c>
      <c r="W2031">
        <v>-0.52</v>
      </c>
    </row>
    <row r="2032" spans="1:23">
      <c r="A2032" t="str">
        <f>"600561"</f>
        <v>600561</v>
      </c>
      <c r="B2032" t="s">
        <v>5159</v>
      </c>
      <c r="C2032">
        <v>11.95</v>
      </c>
      <c r="D2032">
        <v>12.25</v>
      </c>
      <c r="E2032">
        <v>11.72</v>
      </c>
      <c r="F2032">
        <v>12.21</v>
      </c>
      <c r="G2032">
        <v>48313</v>
      </c>
      <c r="H2032">
        <v>58165112</v>
      </c>
      <c r="I2032">
        <v>1.26</v>
      </c>
      <c r="J2032" t="s">
        <v>1350</v>
      </c>
      <c r="K2032" t="s">
        <v>265</v>
      </c>
      <c r="L2032">
        <v>2.2599999999999998</v>
      </c>
      <c r="M2032">
        <v>12.04</v>
      </c>
      <c r="N2032">
        <v>25405</v>
      </c>
      <c r="O2032">
        <v>22907</v>
      </c>
      <c r="P2032">
        <v>1.1100000000000001</v>
      </c>
      <c r="Q2032">
        <v>78</v>
      </c>
      <c r="R2032">
        <v>245</v>
      </c>
      <c r="S2032" t="s">
        <v>3</v>
      </c>
      <c r="T2032">
        <v>23706.400000000001</v>
      </c>
      <c r="U2032" t="s">
        <v>5160</v>
      </c>
      <c r="V2032" t="s">
        <v>5160</v>
      </c>
      <c r="W2032">
        <v>2.2599999999999998</v>
      </c>
    </row>
    <row r="2033" spans="1:23">
      <c r="A2033" t="str">
        <f>"600562"</f>
        <v>600562</v>
      </c>
      <c r="B2033" t="s">
        <v>5161</v>
      </c>
      <c r="C2033">
        <v>39.15</v>
      </c>
      <c r="D2033">
        <v>39.950000000000003</v>
      </c>
      <c r="E2033">
        <v>38.85</v>
      </c>
      <c r="F2033">
        <v>39.130000000000003</v>
      </c>
      <c r="G2033">
        <v>79664</v>
      </c>
      <c r="H2033">
        <v>313081600</v>
      </c>
      <c r="I2033">
        <v>0.6</v>
      </c>
      <c r="J2033" t="s">
        <v>112</v>
      </c>
      <c r="K2033" t="s">
        <v>244</v>
      </c>
      <c r="L2033">
        <v>-0.81</v>
      </c>
      <c r="M2033">
        <v>39.299999999999997</v>
      </c>
      <c r="N2033">
        <v>46821</v>
      </c>
      <c r="O2033">
        <v>32843</v>
      </c>
      <c r="P2033">
        <v>1.43</v>
      </c>
      <c r="Q2033">
        <v>134</v>
      </c>
      <c r="R2033">
        <v>64</v>
      </c>
      <c r="S2033" t="s">
        <v>3</v>
      </c>
      <c r="T2033">
        <v>13229.95</v>
      </c>
      <c r="U2033" t="s">
        <v>5162</v>
      </c>
      <c r="V2033" t="s">
        <v>5163</v>
      </c>
      <c r="W2033">
        <v>-0.82</v>
      </c>
    </row>
    <row r="2034" spans="1:23">
      <c r="A2034" t="str">
        <f>"600563"</f>
        <v>600563</v>
      </c>
      <c r="B2034" t="s">
        <v>5164</v>
      </c>
      <c r="C2034">
        <v>36.630000000000003</v>
      </c>
      <c r="D2034">
        <v>36.630000000000003</v>
      </c>
      <c r="E2034">
        <v>36.25</v>
      </c>
      <c r="F2034">
        <v>36.53</v>
      </c>
      <c r="G2034">
        <v>19009</v>
      </c>
      <c r="H2034">
        <v>69147592</v>
      </c>
      <c r="I2034">
        <v>0.72</v>
      </c>
      <c r="J2034" t="s">
        <v>62</v>
      </c>
      <c r="K2034" t="s">
        <v>414</v>
      </c>
      <c r="L2034">
        <v>-0.38</v>
      </c>
      <c r="M2034">
        <v>36.380000000000003</v>
      </c>
      <c r="N2034">
        <v>9829</v>
      </c>
      <c r="O2034">
        <v>9179</v>
      </c>
      <c r="P2034">
        <v>1.07</v>
      </c>
      <c r="Q2034">
        <v>27</v>
      </c>
      <c r="R2034">
        <v>10</v>
      </c>
      <c r="S2034" t="s">
        <v>3</v>
      </c>
      <c r="T2034">
        <v>22500</v>
      </c>
      <c r="U2034" t="s">
        <v>5165</v>
      </c>
      <c r="V2034" t="s">
        <v>5165</v>
      </c>
      <c r="W2034">
        <v>-0.39</v>
      </c>
    </row>
    <row r="2035" spans="1:23">
      <c r="A2035" t="str">
        <f>"600565"</f>
        <v>600565</v>
      </c>
      <c r="B2035" t="s">
        <v>5166</v>
      </c>
      <c r="C2035" t="s">
        <v>3</v>
      </c>
      <c r="D2035" t="s">
        <v>3</v>
      </c>
      <c r="E2035" t="s">
        <v>3</v>
      </c>
      <c r="F2035">
        <v>4.05</v>
      </c>
      <c r="G2035">
        <v>0</v>
      </c>
      <c r="H2035">
        <v>0</v>
      </c>
      <c r="I2035">
        <v>0</v>
      </c>
      <c r="J2035" t="s">
        <v>7</v>
      </c>
      <c r="K2035" t="s">
        <v>386</v>
      </c>
      <c r="L2035">
        <v>0</v>
      </c>
      <c r="M2035">
        <v>4.05</v>
      </c>
      <c r="N2035">
        <v>0</v>
      </c>
      <c r="O2035">
        <v>0</v>
      </c>
      <c r="P2035" t="s">
        <v>3</v>
      </c>
      <c r="Q2035">
        <v>0</v>
      </c>
      <c r="R2035">
        <v>0</v>
      </c>
      <c r="S2035" t="s">
        <v>3</v>
      </c>
      <c r="T2035">
        <v>72000</v>
      </c>
      <c r="U2035" t="s">
        <v>5167</v>
      </c>
      <c r="V2035" t="s">
        <v>5168</v>
      </c>
      <c r="W2035">
        <v>0</v>
      </c>
    </row>
    <row r="2036" spans="1:23">
      <c r="A2036" t="str">
        <f>"600566"</f>
        <v>600566</v>
      </c>
      <c r="B2036" t="s">
        <v>5169</v>
      </c>
      <c r="C2036">
        <v>22.34</v>
      </c>
      <c r="D2036">
        <v>22.69</v>
      </c>
      <c r="E2036">
        <v>22.2</v>
      </c>
      <c r="F2036">
        <v>22.37</v>
      </c>
      <c r="G2036">
        <v>22352</v>
      </c>
      <c r="H2036">
        <v>49924988</v>
      </c>
      <c r="I2036">
        <v>1.26</v>
      </c>
      <c r="J2036" t="s">
        <v>398</v>
      </c>
      <c r="K2036" t="s">
        <v>317</v>
      </c>
      <c r="L2036">
        <v>-0.22</v>
      </c>
      <c r="M2036">
        <v>22.34</v>
      </c>
      <c r="N2036">
        <v>14579</v>
      </c>
      <c r="O2036">
        <v>7773</v>
      </c>
      <c r="P2036">
        <v>1.88</v>
      </c>
      <c r="Q2036">
        <v>1</v>
      </c>
      <c r="R2036">
        <v>60</v>
      </c>
      <c r="S2036" t="s">
        <v>3</v>
      </c>
      <c r="T2036">
        <v>13820.04</v>
      </c>
      <c r="U2036" t="s">
        <v>2549</v>
      </c>
      <c r="V2036" t="s">
        <v>5170</v>
      </c>
      <c r="W2036">
        <v>-0.23</v>
      </c>
    </row>
    <row r="2037" spans="1:23">
      <c r="A2037" t="str">
        <f>"600567"</f>
        <v>600567</v>
      </c>
      <c r="B2037" t="s">
        <v>5171</v>
      </c>
      <c r="C2037">
        <v>2.2200000000000002</v>
      </c>
      <c r="D2037">
        <v>2.2400000000000002</v>
      </c>
      <c r="E2037">
        <v>2.2000000000000002</v>
      </c>
      <c r="F2037">
        <v>2.23</v>
      </c>
      <c r="G2037">
        <v>425324</v>
      </c>
      <c r="H2037">
        <v>94638448</v>
      </c>
      <c r="I2037">
        <v>1.27</v>
      </c>
      <c r="J2037" t="s">
        <v>343</v>
      </c>
      <c r="K2037" t="s">
        <v>220</v>
      </c>
      <c r="L2037">
        <v>0.45</v>
      </c>
      <c r="M2037">
        <v>2.23</v>
      </c>
      <c r="N2037">
        <v>187907</v>
      </c>
      <c r="O2037">
        <v>237416</v>
      </c>
      <c r="P2037">
        <v>0.79</v>
      </c>
      <c r="Q2037">
        <v>5658</v>
      </c>
      <c r="R2037">
        <v>39952</v>
      </c>
      <c r="S2037" t="s">
        <v>3</v>
      </c>
      <c r="T2037">
        <v>158601.70000000001</v>
      </c>
      <c r="U2037" t="s">
        <v>5172</v>
      </c>
      <c r="V2037" t="s">
        <v>5173</v>
      </c>
      <c r="W2037">
        <v>0.45</v>
      </c>
    </row>
    <row r="2038" spans="1:23">
      <c r="A2038" t="str">
        <f>"600568"</f>
        <v>600568</v>
      </c>
      <c r="B2038" t="s">
        <v>5174</v>
      </c>
      <c r="C2038">
        <v>12.51</v>
      </c>
      <c r="D2038">
        <v>13.56</v>
      </c>
      <c r="E2038">
        <v>12.45</v>
      </c>
      <c r="F2038">
        <v>13.31</v>
      </c>
      <c r="G2038">
        <v>244614</v>
      </c>
      <c r="H2038">
        <v>315759104</v>
      </c>
      <c r="I2038">
        <v>1.86</v>
      </c>
      <c r="J2038" t="s">
        <v>15</v>
      </c>
      <c r="K2038" t="s">
        <v>317</v>
      </c>
      <c r="L2038">
        <v>4.8899999999999997</v>
      </c>
      <c r="M2038">
        <v>12.91</v>
      </c>
      <c r="N2038">
        <v>106440</v>
      </c>
      <c r="O2038">
        <v>138173</v>
      </c>
      <c r="P2038">
        <v>0.77</v>
      </c>
      <c r="Q2038">
        <v>556</v>
      </c>
      <c r="R2038">
        <v>25</v>
      </c>
      <c r="S2038" t="s">
        <v>3</v>
      </c>
      <c r="T2038">
        <v>18802.650000000001</v>
      </c>
      <c r="U2038" t="s">
        <v>3794</v>
      </c>
      <c r="V2038" t="s">
        <v>5175</v>
      </c>
      <c r="W2038">
        <v>4.88</v>
      </c>
    </row>
    <row r="2039" spans="1:23">
      <c r="A2039" t="str">
        <f>"600569"</f>
        <v>600569</v>
      </c>
      <c r="B2039" t="s">
        <v>5176</v>
      </c>
      <c r="C2039">
        <v>2.13</v>
      </c>
      <c r="D2039">
        <v>2.2599999999999998</v>
      </c>
      <c r="E2039">
        <v>2.12</v>
      </c>
      <c r="F2039">
        <v>2.25</v>
      </c>
      <c r="G2039">
        <v>420821</v>
      </c>
      <c r="H2039">
        <v>91887032</v>
      </c>
      <c r="I2039">
        <v>2.61</v>
      </c>
      <c r="J2039" t="s">
        <v>279</v>
      </c>
      <c r="K2039" t="s">
        <v>254</v>
      </c>
      <c r="L2039">
        <v>5.63</v>
      </c>
      <c r="M2039">
        <v>2.1800000000000002</v>
      </c>
      <c r="N2039">
        <v>108607</v>
      </c>
      <c r="O2039">
        <v>312214</v>
      </c>
      <c r="P2039">
        <v>0.35</v>
      </c>
      <c r="Q2039">
        <v>1225</v>
      </c>
      <c r="R2039">
        <v>1448</v>
      </c>
      <c r="S2039" t="s">
        <v>3</v>
      </c>
      <c r="T2039">
        <v>239368.45</v>
      </c>
      <c r="U2039" t="s">
        <v>5177</v>
      </c>
      <c r="V2039" t="s">
        <v>5177</v>
      </c>
      <c r="W2039">
        <v>5.63</v>
      </c>
    </row>
    <row r="2040" spans="1:23">
      <c r="A2040" t="str">
        <f>"600570"</f>
        <v>600570</v>
      </c>
      <c r="B2040" t="s">
        <v>5178</v>
      </c>
      <c r="C2040">
        <v>35.4</v>
      </c>
      <c r="D2040">
        <v>35.979999999999997</v>
      </c>
      <c r="E2040">
        <v>34</v>
      </c>
      <c r="F2040">
        <v>34.36</v>
      </c>
      <c r="G2040">
        <v>151256</v>
      </c>
      <c r="H2040">
        <v>524497312</v>
      </c>
      <c r="I2040">
        <v>0.99</v>
      </c>
      <c r="J2040" t="s">
        <v>758</v>
      </c>
      <c r="K2040" t="s">
        <v>229</v>
      </c>
      <c r="L2040">
        <v>-1.24</v>
      </c>
      <c r="M2040">
        <v>34.68</v>
      </c>
      <c r="N2040">
        <v>84411</v>
      </c>
      <c r="O2040">
        <v>66844</v>
      </c>
      <c r="P2040">
        <v>1.26</v>
      </c>
      <c r="Q2040">
        <v>37</v>
      </c>
      <c r="R2040">
        <v>137</v>
      </c>
      <c r="S2040" t="s">
        <v>3</v>
      </c>
      <c r="T2040">
        <v>61780.51</v>
      </c>
      <c r="U2040" t="s">
        <v>5179</v>
      </c>
      <c r="V2040" t="s">
        <v>5179</v>
      </c>
      <c r="W2040">
        <v>-1.24</v>
      </c>
    </row>
    <row r="2041" spans="1:23">
      <c r="A2041" t="str">
        <f>"600571"</f>
        <v>600571</v>
      </c>
      <c r="B2041" t="s">
        <v>5180</v>
      </c>
      <c r="C2041" t="s">
        <v>3</v>
      </c>
      <c r="D2041" t="s">
        <v>3</v>
      </c>
      <c r="E2041" t="s">
        <v>3</v>
      </c>
      <c r="F2041">
        <v>19.75</v>
      </c>
      <c r="G2041">
        <v>0</v>
      </c>
      <c r="H2041">
        <v>0</v>
      </c>
      <c r="I2041">
        <v>0</v>
      </c>
      <c r="J2041" t="s">
        <v>758</v>
      </c>
      <c r="K2041" t="s">
        <v>229</v>
      </c>
      <c r="L2041">
        <v>0</v>
      </c>
      <c r="M2041">
        <v>19.75</v>
      </c>
      <c r="N2041">
        <v>0</v>
      </c>
      <c r="O2041">
        <v>0</v>
      </c>
      <c r="P2041" t="s">
        <v>3</v>
      </c>
      <c r="Q2041">
        <v>0</v>
      </c>
      <c r="R2041">
        <v>0</v>
      </c>
      <c r="S2041" t="s">
        <v>3</v>
      </c>
      <c r="T2041">
        <v>20016.240000000002</v>
      </c>
      <c r="U2041" t="s">
        <v>5181</v>
      </c>
      <c r="V2041" t="s">
        <v>5182</v>
      </c>
      <c r="W2041">
        <v>0</v>
      </c>
    </row>
    <row r="2042" spans="1:23">
      <c r="A2042" t="str">
        <f>"600572"</f>
        <v>600572</v>
      </c>
      <c r="B2042" t="s">
        <v>5183</v>
      </c>
      <c r="C2042">
        <v>17.2</v>
      </c>
      <c r="D2042">
        <v>17.22</v>
      </c>
      <c r="E2042">
        <v>16.95</v>
      </c>
      <c r="F2042">
        <v>17.04</v>
      </c>
      <c r="G2042">
        <v>55172</v>
      </c>
      <c r="H2042">
        <v>93981344</v>
      </c>
      <c r="I2042">
        <v>1.03</v>
      </c>
      <c r="J2042" t="s">
        <v>321</v>
      </c>
      <c r="K2042" t="s">
        <v>229</v>
      </c>
      <c r="L2042">
        <v>-0.35</v>
      </c>
      <c r="M2042">
        <v>17.03</v>
      </c>
      <c r="N2042">
        <v>36029</v>
      </c>
      <c r="O2042">
        <v>19143</v>
      </c>
      <c r="P2042">
        <v>1.88</v>
      </c>
      <c r="Q2042">
        <v>172</v>
      </c>
      <c r="R2042">
        <v>26</v>
      </c>
      <c r="S2042" t="s">
        <v>3</v>
      </c>
      <c r="T2042">
        <v>70095.61</v>
      </c>
      <c r="U2042" t="s">
        <v>5184</v>
      </c>
      <c r="V2042" t="s">
        <v>5185</v>
      </c>
      <c r="W2042">
        <v>-0.36</v>
      </c>
    </row>
    <row r="2043" spans="1:23">
      <c r="A2043" t="str">
        <f>"600573"</f>
        <v>600573</v>
      </c>
      <c r="B2043" t="s">
        <v>5186</v>
      </c>
      <c r="C2043">
        <v>8.16</v>
      </c>
      <c r="D2043">
        <v>8.2100000000000009</v>
      </c>
      <c r="E2043">
        <v>8.06</v>
      </c>
      <c r="F2043">
        <v>8.1</v>
      </c>
      <c r="G2043">
        <v>31589</v>
      </c>
      <c r="H2043">
        <v>25584348</v>
      </c>
      <c r="I2043">
        <v>0.7</v>
      </c>
      <c r="J2043" t="s">
        <v>871</v>
      </c>
      <c r="K2043" t="s">
        <v>414</v>
      </c>
      <c r="L2043">
        <v>-0.61</v>
      </c>
      <c r="M2043">
        <v>8.1</v>
      </c>
      <c r="N2043">
        <v>19376</v>
      </c>
      <c r="O2043">
        <v>12212</v>
      </c>
      <c r="P2043">
        <v>1.59</v>
      </c>
      <c r="Q2043">
        <v>77</v>
      </c>
      <c r="R2043">
        <v>36</v>
      </c>
      <c r="S2043" t="s">
        <v>3</v>
      </c>
      <c r="T2043">
        <v>25000</v>
      </c>
      <c r="U2043" t="s">
        <v>777</v>
      </c>
      <c r="V2043" t="s">
        <v>777</v>
      </c>
      <c r="W2043">
        <v>-0.62</v>
      </c>
    </row>
    <row r="2044" spans="1:23">
      <c r="A2044" t="str">
        <f>"600575"</f>
        <v>600575</v>
      </c>
      <c r="B2044" t="s">
        <v>5187</v>
      </c>
      <c r="C2044" t="s">
        <v>3</v>
      </c>
      <c r="D2044" t="s">
        <v>3</v>
      </c>
      <c r="E2044" t="s">
        <v>3</v>
      </c>
      <c r="F2044">
        <v>4.1100000000000003</v>
      </c>
      <c r="G2044">
        <v>0</v>
      </c>
      <c r="H2044">
        <v>0</v>
      </c>
      <c r="I2044">
        <v>0</v>
      </c>
      <c r="J2044" t="s">
        <v>70</v>
      </c>
      <c r="K2044" t="s">
        <v>220</v>
      </c>
      <c r="L2044">
        <v>0</v>
      </c>
      <c r="M2044">
        <v>4.1100000000000003</v>
      </c>
      <c r="N2044">
        <v>0</v>
      </c>
      <c r="O2044">
        <v>0</v>
      </c>
      <c r="P2044" t="s">
        <v>3</v>
      </c>
      <c r="Q2044">
        <v>0</v>
      </c>
      <c r="R2044">
        <v>0</v>
      </c>
      <c r="S2044" t="s">
        <v>3</v>
      </c>
      <c r="T2044">
        <v>142320</v>
      </c>
      <c r="U2044" t="s">
        <v>5188</v>
      </c>
      <c r="V2044" t="s">
        <v>5189</v>
      </c>
      <c r="W2044">
        <v>0</v>
      </c>
    </row>
    <row r="2045" spans="1:23">
      <c r="A2045" t="str">
        <f>"600576"</f>
        <v>600576</v>
      </c>
      <c r="B2045" t="s">
        <v>5190</v>
      </c>
      <c r="C2045">
        <v>18.309999999999999</v>
      </c>
      <c r="D2045">
        <v>19.149999999999999</v>
      </c>
      <c r="E2045">
        <v>18.11</v>
      </c>
      <c r="F2045">
        <v>18.989999999999998</v>
      </c>
      <c r="G2045">
        <v>97403</v>
      </c>
      <c r="H2045">
        <v>182137952</v>
      </c>
      <c r="I2045">
        <v>0.56000000000000005</v>
      </c>
      <c r="J2045" t="s">
        <v>26</v>
      </c>
      <c r="K2045" t="s">
        <v>229</v>
      </c>
      <c r="L2045">
        <v>3.71</v>
      </c>
      <c r="M2045">
        <v>18.7</v>
      </c>
      <c r="N2045">
        <v>41148</v>
      </c>
      <c r="O2045">
        <v>56255</v>
      </c>
      <c r="P2045">
        <v>0.73</v>
      </c>
      <c r="Q2045">
        <v>53</v>
      </c>
      <c r="R2045">
        <v>177</v>
      </c>
      <c r="S2045" t="s">
        <v>3</v>
      </c>
      <c r="T2045">
        <v>21809.31</v>
      </c>
      <c r="U2045" t="s">
        <v>5191</v>
      </c>
      <c r="V2045" t="s">
        <v>5191</v>
      </c>
      <c r="W2045">
        <v>3.71</v>
      </c>
    </row>
    <row r="2046" spans="1:23">
      <c r="A2046" t="str">
        <f>"600577"</f>
        <v>600577</v>
      </c>
      <c r="B2046" t="s">
        <v>5192</v>
      </c>
      <c r="C2046">
        <v>5.7</v>
      </c>
      <c r="D2046">
        <v>5.8</v>
      </c>
      <c r="E2046">
        <v>5.7</v>
      </c>
      <c r="F2046">
        <v>5.74</v>
      </c>
      <c r="G2046">
        <v>122222</v>
      </c>
      <c r="H2046">
        <v>70302648</v>
      </c>
      <c r="I2046">
        <v>1.02</v>
      </c>
      <c r="J2046" t="s">
        <v>145</v>
      </c>
      <c r="K2046" t="s">
        <v>220</v>
      </c>
      <c r="L2046">
        <v>1.06</v>
      </c>
      <c r="M2046">
        <v>5.75</v>
      </c>
      <c r="N2046">
        <v>59961</v>
      </c>
      <c r="O2046">
        <v>62260</v>
      </c>
      <c r="P2046">
        <v>0.96</v>
      </c>
      <c r="Q2046">
        <v>9</v>
      </c>
      <c r="R2046">
        <v>1233</v>
      </c>
      <c r="S2046" t="s">
        <v>3</v>
      </c>
      <c r="T2046">
        <v>70956.56</v>
      </c>
      <c r="U2046" t="s">
        <v>5193</v>
      </c>
      <c r="V2046" t="s">
        <v>5194</v>
      </c>
      <c r="W2046">
        <v>1.05</v>
      </c>
    </row>
    <row r="2047" spans="1:23">
      <c r="A2047" t="str">
        <f>"600578"</f>
        <v>600578</v>
      </c>
      <c r="B2047" t="s">
        <v>5195</v>
      </c>
      <c r="C2047">
        <v>3.79</v>
      </c>
      <c r="D2047">
        <v>3.84</v>
      </c>
      <c r="E2047">
        <v>3.77</v>
      </c>
      <c r="F2047">
        <v>3.78</v>
      </c>
      <c r="G2047">
        <v>545043</v>
      </c>
      <c r="H2047">
        <v>206593664</v>
      </c>
      <c r="I2047">
        <v>1.65</v>
      </c>
      <c r="J2047" t="s">
        <v>87</v>
      </c>
      <c r="K2047" t="s">
        <v>34</v>
      </c>
      <c r="L2047">
        <v>0.27</v>
      </c>
      <c r="M2047">
        <v>3.79</v>
      </c>
      <c r="N2047">
        <v>263148</v>
      </c>
      <c r="O2047">
        <v>281894</v>
      </c>
      <c r="P2047">
        <v>0.93</v>
      </c>
      <c r="Q2047">
        <v>365</v>
      </c>
      <c r="R2047">
        <v>5750</v>
      </c>
      <c r="S2047" t="s">
        <v>3</v>
      </c>
      <c r="T2047">
        <v>225731.7</v>
      </c>
      <c r="U2047" t="s">
        <v>5196</v>
      </c>
      <c r="V2047" t="s">
        <v>5197</v>
      </c>
      <c r="W2047">
        <v>0.26</v>
      </c>
    </row>
    <row r="2048" spans="1:23">
      <c r="A2048" t="str">
        <f>"600579"</f>
        <v>600579</v>
      </c>
      <c r="B2048" t="s">
        <v>5198</v>
      </c>
      <c r="C2048">
        <v>8.77</v>
      </c>
      <c r="D2048">
        <v>8.8699999999999992</v>
      </c>
      <c r="E2048">
        <v>8.58</v>
      </c>
      <c r="F2048">
        <v>8.73</v>
      </c>
      <c r="G2048">
        <v>34816</v>
      </c>
      <c r="H2048">
        <v>30296238</v>
      </c>
      <c r="I2048">
        <v>0.65</v>
      </c>
      <c r="J2048" t="s">
        <v>1082</v>
      </c>
      <c r="K2048" t="s">
        <v>250</v>
      </c>
      <c r="L2048">
        <v>-0.11</v>
      </c>
      <c r="M2048">
        <v>8.6999999999999993</v>
      </c>
      <c r="N2048">
        <v>20173</v>
      </c>
      <c r="O2048">
        <v>14643</v>
      </c>
      <c r="P2048">
        <v>1.38</v>
      </c>
      <c r="Q2048">
        <v>97</v>
      </c>
      <c r="R2048">
        <v>338</v>
      </c>
      <c r="S2048" t="s">
        <v>3</v>
      </c>
      <c r="T2048">
        <v>25560</v>
      </c>
      <c r="U2048" t="s">
        <v>3849</v>
      </c>
      <c r="V2048" t="s">
        <v>4030</v>
      </c>
      <c r="W2048">
        <v>-0.12</v>
      </c>
    </row>
    <row r="2049" spans="1:23">
      <c r="A2049" t="str">
        <f>"600580"</f>
        <v>600580</v>
      </c>
      <c r="B2049" t="s">
        <v>5199</v>
      </c>
      <c r="C2049">
        <v>9.11</v>
      </c>
      <c r="D2049">
        <v>9.15</v>
      </c>
      <c r="E2049">
        <v>8.98</v>
      </c>
      <c r="F2049">
        <v>8.98</v>
      </c>
      <c r="G2049">
        <v>103438</v>
      </c>
      <c r="H2049">
        <v>93395016</v>
      </c>
      <c r="I2049">
        <v>1.29</v>
      </c>
      <c r="J2049" t="s">
        <v>145</v>
      </c>
      <c r="K2049" t="s">
        <v>229</v>
      </c>
      <c r="L2049">
        <v>-1.32</v>
      </c>
      <c r="M2049">
        <v>9.0299999999999994</v>
      </c>
      <c r="N2049">
        <v>73946</v>
      </c>
      <c r="O2049">
        <v>29492</v>
      </c>
      <c r="P2049">
        <v>2.5099999999999998</v>
      </c>
      <c r="Q2049">
        <v>95</v>
      </c>
      <c r="R2049">
        <v>211</v>
      </c>
      <c r="S2049" t="s">
        <v>3</v>
      </c>
      <c r="T2049">
        <v>68772.88</v>
      </c>
      <c r="U2049" t="s">
        <v>1681</v>
      </c>
      <c r="V2049" t="s">
        <v>5200</v>
      </c>
      <c r="W2049">
        <v>-1.32</v>
      </c>
    </row>
    <row r="2050" spans="1:23">
      <c r="A2050" t="str">
        <f>"600581"</f>
        <v>600581</v>
      </c>
      <c r="B2050" t="s">
        <v>5201</v>
      </c>
      <c r="C2050">
        <v>4.17</v>
      </c>
      <c r="D2050">
        <v>4.33</v>
      </c>
      <c r="E2050">
        <v>4.1399999999999997</v>
      </c>
      <c r="F2050">
        <v>4.26</v>
      </c>
      <c r="G2050">
        <v>192389</v>
      </c>
      <c r="H2050">
        <v>81811344</v>
      </c>
      <c r="I2050">
        <v>1.37</v>
      </c>
      <c r="J2050" t="s">
        <v>279</v>
      </c>
      <c r="K2050" t="s">
        <v>241</v>
      </c>
      <c r="L2050">
        <v>2.16</v>
      </c>
      <c r="M2050">
        <v>4.25</v>
      </c>
      <c r="N2050">
        <v>79278</v>
      </c>
      <c r="O2050">
        <v>113110</v>
      </c>
      <c r="P2050">
        <v>0.7</v>
      </c>
      <c r="Q2050">
        <v>817</v>
      </c>
      <c r="R2050">
        <v>5</v>
      </c>
      <c r="S2050" t="s">
        <v>3</v>
      </c>
      <c r="T2050">
        <v>76644.89</v>
      </c>
      <c r="U2050" t="s">
        <v>5202</v>
      </c>
      <c r="V2050" t="s">
        <v>5202</v>
      </c>
      <c r="W2050">
        <v>2.15</v>
      </c>
    </row>
    <row r="2051" spans="1:23">
      <c r="A2051" t="str">
        <f>"600582"</f>
        <v>600582</v>
      </c>
      <c r="B2051" t="s">
        <v>5203</v>
      </c>
      <c r="C2051">
        <v>10.91</v>
      </c>
      <c r="D2051">
        <v>10.92</v>
      </c>
      <c r="E2051">
        <v>10.65</v>
      </c>
      <c r="F2051">
        <v>10.79</v>
      </c>
      <c r="G2051">
        <v>212795</v>
      </c>
      <c r="H2051">
        <v>229137872</v>
      </c>
      <c r="I2051">
        <v>0.42</v>
      </c>
      <c r="J2051" t="s">
        <v>233</v>
      </c>
      <c r="K2051" t="s">
        <v>34</v>
      </c>
      <c r="L2051">
        <v>-1.1000000000000001</v>
      </c>
      <c r="M2051">
        <v>10.77</v>
      </c>
      <c r="N2051">
        <v>122085</v>
      </c>
      <c r="O2051">
        <v>90709</v>
      </c>
      <c r="P2051">
        <v>1.35</v>
      </c>
      <c r="Q2051">
        <v>1</v>
      </c>
      <c r="R2051">
        <v>257</v>
      </c>
      <c r="S2051" t="s">
        <v>3</v>
      </c>
      <c r="T2051">
        <v>121392</v>
      </c>
      <c r="U2051" t="s">
        <v>5204</v>
      </c>
      <c r="V2051" t="s">
        <v>5204</v>
      </c>
      <c r="W2051">
        <v>-1.1000000000000001</v>
      </c>
    </row>
    <row r="2052" spans="1:23">
      <c r="A2052" t="str">
        <f>"600583"</f>
        <v>600583</v>
      </c>
      <c r="B2052" t="s">
        <v>5205</v>
      </c>
      <c r="C2052">
        <v>8.31</v>
      </c>
      <c r="D2052">
        <v>8.32</v>
      </c>
      <c r="E2052">
        <v>8.19</v>
      </c>
      <c r="F2052">
        <v>8.25</v>
      </c>
      <c r="G2052">
        <v>377587</v>
      </c>
      <c r="H2052">
        <v>311129376</v>
      </c>
      <c r="I2052">
        <v>0.47</v>
      </c>
      <c r="J2052" t="s">
        <v>1924</v>
      </c>
      <c r="K2052" t="s">
        <v>442</v>
      </c>
      <c r="L2052">
        <v>-0.36</v>
      </c>
      <c r="M2052">
        <v>8.24</v>
      </c>
      <c r="N2052">
        <v>199042</v>
      </c>
      <c r="O2052">
        <v>178544</v>
      </c>
      <c r="P2052">
        <v>1.1100000000000001</v>
      </c>
      <c r="Q2052">
        <v>2</v>
      </c>
      <c r="R2052">
        <v>3512</v>
      </c>
      <c r="S2052" t="s">
        <v>3</v>
      </c>
      <c r="T2052">
        <v>388944</v>
      </c>
      <c r="U2052" t="s">
        <v>5206</v>
      </c>
      <c r="V2052" t="s">
        <v>5207</v>
      </c>
      <c r="W2052">
        <v>-0.37</v>
      </c>
    </row>
    <row r="2053" spans="1:23">
      <c r="A2053" t="str">
        <f>"600584"</f>
        <v>600584</v>
      </c>
      <c r="B2053" t="s">
        <v>5208</v>
      </c>
      <c r="C2053">
        <v>11.43</v>
      </c>
      <c r="D2053">
        <v>11.43</v>
      </c>
      <c r="E2053">
        <v>11.2</v>
      </c>
      <c r="F2053">
        <v>11.32</v>
      </c>
      <c r="G2053">
        <v>463088</v>
      </c>
      <c r="H2053">
        <v>523177568</v>
      </c>
      <c r="I2053">
        <v>1.26</v>
      </c>
      <c r="J2053" t="s">
        <v>1581</v>
      </c>
      <c r="K2053" t="s">
        <v>244</v>
      </c>
      <c r="L2053">
        <v>-1.65</v>
      </c>
      <c r="M2053">
        <v>11.3</v>
      </c>
      <c r="N2053">
        <v>260649</v>
      </c>
      <c r="O2053">
        <v>202439</v>
      </c>
      <c r="P2053">
        <v>1.29</v>
      </c>
      <c r="Q2053">
        <v>461</v>
      </c>
      <c r="R2053">
        <v>72</v>
      </c>
      <c r="S2053" t="s">
        <v>3</v>
      </c>
      <c r="T2053">
        <v>85313.35</v>
      </c>
      <c r="U2053" t="s">
        <v>5209</v>
      </c>
      <c r="V2053" t="s">
        <v>5209</v>
      </c>
      <c r="W2053">
        <v>-1.66</v>
      </c>
    </row>
    <row r="2054" spans="1:23">
      <c r="A2054" t="str">
        <f>"600585"</f>
        <v>600585</v>
      </c>
      <c r="B2054" t="s">
        <v>5210</v>
      </c>
      <c r="C2054">
        <v>18.04</v>
      </c>
      <c r="D2054">
        <v>18.25</v>
      </c>
      <c r="E2054">
        <v>18.04</v>
      </c>
      <c r="F2054">
        <v>18.079999999999998</v>
      </c>
      <c r="G2054">
        <v>287120</v>
      </c>
      <c r="H2054">
        <v>521182016</v>
      </c>
      <c r="I2054">
        <v>1.17</v>
      </c>
      <c r="J2054" t="s">
        <v>258</v>
      </c>
      <c r="K2054" t="s">
        <v>220</v>
      </c>
      <c r="L2054">
        <v>0.39</v>
      </c>
      <c r="M2054">
        <v>18.149999999999999</v>
      </c>
      <c r="N2054">
        <v>131893</v>
      </c>
      <c r="O2054">
        <v>155226</v>
      </c>
      <c r="P2054">
        <v>0.85</v>
      </c>
      <c r="Q2054">
        <v>178</v>
      </c>
      <c r="R2054">
        <v>2218</v>
      </c>
      <c r="S2054" t="s">
        <v>3</v>
      </c>
      <c r="T2054">
        <v>399970.25</v>
      </c>
      <c r="U2054" t="s">
        <v>5211</v>
      </c>
      <c r="V2054" t="s">
        <v>5211</v>
      </c>
      <c r="W2054">
        <v>0.38</v>
      </c>
    </row>
    <row r="2055" spans="1:23">
      <c r="A2055" t="str">
        <f>"600586"</f>
        <v>600586</v>
      </c>
      <c r="B2055" t="s">
        <v>5212</v>
      </c>
      <c r="C2055">
        <v>3.5</v>
      </c>
      <c r="D2055">
        <v>3.54</v>
      </c>
      <c r="E2055">
        <v>3.48</v>
      </c>
      <c r="F2055">
        <v>3.51</v>
      </c>
      <c r="G2055">
        <v>177586</v>
      </c>
      <c r="H2055">
        <v>62192536</v>
      </c>
      <c r="I2055">
        <v>0.95</v>
      </c>
      <c r="J2055" t="s">
        <v>41</v>
      </c>
      <c r="K2055" t="s">
        <v>250</v>
      </c>
      <c r="L2055">
        <v>0</v>
      </c>
      <c r="M2055">
        <v>3.5</v>
      </c>
      <c r="N2055">
        <v>98600</v>
      </c>
      <c r="O2055">
        <v>78986</v>
      </c>
      <c r="P2055">
        <v>1.25</v>
      </c>
      <c r="Q2055">
        <v>2298</v>
      </c>
      <c r="R2055">
        <v>5594</v>
      </c>
      <c r="S2055" t="s">
        <v>3</v>
      </c>
      <c r="T2055">
        <v>96710.93</v>
      </c>
      <c r="U2055" t="s">
        <v>2061</v>
      </c>
      <c r="V2055" t="s">
        <v>1221</v>
      </c>
      <c r="W2055">
        <v>0</v>
      </c>
    </row>
    <row r="2056" spans="1:23">
      <c r="A2056" t="str">
        <f>"600587"</f>
        <v>600587</v>
      </c>
      <c r="B2056" t="s">
        <v>5213</v>
      </c>
      <c r="C2056">
        <v>35.49</v>
      </c>
      <c r="D2056">
        <v>35.93</v>
      </c>
      <c r="E2056">
        <v>35.159999999999997</v>
      </c>
      <c r="F2056">
        <v>35.299999999999997</v>
      </c>
      <c r="G2056">
        <v>56189</v>
      </c>
      <c r="H2056">
        <v>199440496</v>
      </c>
      <c r="I2056">
        <v>1.19</v>
      </c>
      <c r="J2056" t="s">
        <v>1971</v>
      </c>
      <c r="K2056" t="s">
        <v>250</v>
      </c>
      <c r="L2056">
        <v>-0.48</v>
      </c>
      <c r="M2056">
        <v>35.49</v>
      </c>
      <c r="N2056">
        <v>32027</v>
      </c>
      <c r="O2056">
        <v>24161</v>
      </c>
      <c r="P2056">
        <v>1.33</v>
      </c>
      <c r="Q2056">
        <v>13</v>
      </c>
      <c r="R2056">
        <v>61</v>
      </c>
      <c r="S2056" t="s">
        <v>3</v>
      </c>
      <c r="T2056">
        <v>34810.620000000003</v>
      </c>
      <c r="U2056" t="s">
        <v>5214</v>
      </c>
      <c r="V2056" t="s">
        <v>5215</v>
      </c>
      <c r="W2056">
        <v>-0.48</v>
      </c>
    </row>
    <row r="2057" spans="1:23">
      <c r="A2057" t="str">
        <f>"600588"</f>
        <v>600588</v>
      </c>
      <c r="B2057" t="s">
        <v>5216</v>
      </c>
      <c r="C2057">
        <v>16.34</v>
      </c>
      <c r="D2057">
        <v>16.36</v>
      </c>
      <c r="E2057">
        <v>16.03</v>
      </c>
      <c r="F2057">
        <v>16.18</v>
      </c>
      <c r="G2057">
        <v>159510</v>
      </c>
      <c r="H2057">
        <v>257591616</v>
      </c>
      <c r="I2057">
        <v>0.72</v>
      </c>
      <c r="J2057" t="s">
        <v>758</v>
      </c>
      <c r="K2057" t="s">
        <v>34</v>
      </c>
      <c r="L2057">
        <v>-0.98</v>
      </c>
      <c r="M2057">
        <v>16.149999999999999</v>
      </c>
      <c r="N2057">
        <v>88952</v>
      </c>
      <c r="O2057">
        <v>70557</v>
      </c>
      <c r="P2057">
        <v>1.26</v>
      </c>
      <c r="Q2057">
        <v>425</v>
      </c>
      <c r="R2057">
        <v>121</v>
      </c>
      <c r="S2057" t="s">
        <v>3</v>
      </c>
      <c r="T2057">
        <v>115109.54</v>
      </c>
      <c r="U2057" t="s">
        <v>5217</v>
      </c>
      <c r="V2057" t="s">
        <v>5218</v>
      </c>
      <c r="W2057">
        <v>-0.98</v>
      </c>
    </row>
    <row r="2058" spans="1:23">
      <c r="A2058" t="str">
        <f>"600589"</f>
        <v>600589</v>
      </c>
      <c r="B2058" t="s">
        <v>5219</v>
      </c>
      <c r="C2058">
        <v>5.6</v>
      </c>
      <c r="D2058">
        <v>5.75</v>
      </c>
      <c r="E2058">
        <v>5.56</v>
      </c>
      <c r="F2058">
        <v>5.73</v>
      </c>
      <c r="G2058">
        <v>131686</v>
      </c>
      <c r="H2058">
        <v>74697216</v>
      </c>
      <c r="I2058">
        <v>1.0900000000000001</v>
      </c>
      <c r="J2058" t="s">
        <v>273</v>
      </c>
      <c r="K2058" t="s">
        <v>211</v>
      </c>
      <c r="L2058">
        <v>2.14</v>
      </c>
      <c r="M2058">
        <v>5.67</v>
      </c>
      <c r="N2058">
        <v>57476</v>
      </c>
      <c r="O2058">
        <v>74210</v>
      </c>
      <c r="P2058">
        <v>0.77</v>
      </c>
      <c r="Q2058">
        <v>884</v>
      </c>
      <c r="R2058">
        <v>1300</v>
      </c>
      <c r="S2058" t="s">
        <v>3</v>
      </c>
      <c r="T2058">
        <v>60173</v>
      </c>
      <c r="U2058" t="s">
        <v>5220</v>
      </c>
      <c r="V2058" t="s">
        <v>5220</v>
      </c>
      <c r="W2058">
        <v>2.13</v>
      </c>
    </row>
    <row r="2059" spans="1:23">
      <c r="A2059" t="str">
        <f>"600590"</f>
        <v>600590</v>
      </c>
      <c r="B2059" t="s">
        <v>5221</v>
      </c>
      <c r="C2059">
        <v>8.99</v>
      </c>
      <c r="D2059">
        <v>9.09</v>
      </c>
      <c r="E2059">
        <v>8.8000000000000007</v>
      </c>
      <c r="F2059">
        <v>8.98</v>
      </c>
      <c r="G2059">
        <v>102167</v>
      </c>
      <c r="H2059">
        <v>91496752</v>
      </c>
      <c r="I2059">
        <v>0.71</v>
      </c>
      <c r="J2059" t="s">
        <v>145</v>
      </c>
      <c r="K2059" t="s">
        <v>265</v>
      </c>
      <c r="L2059">
        <v>0.22</v>
      </c>
      <c r="M2059">
        <v>8.9600000000000009</v>
      </c>
      <c r="N2059">
        <v>50768</v>
      </c>
      <c r="O2059">
        <v>51398</v>
      </c>
      <c r="P2059">
        <v>0.99</v>
      </c>
      <c r="Q2059">
        <v>53</v>
      </c>
      <c r="R2059">
        <v>170</v>
      </c>
      <c r="S2059" t="s">
        <v>3</v>
      </c>
      <c r="T2059">
        <v>50032.57</v>
      </c>
      <c r="U2059" t="s">
        <v>5222</v>
      </c>
      <c r="V2059" t="s">
        <v>5222</v>
      </c>
      <c r="W2059">
        <v>0.22</v>
      </c>
    </row>
    <row r="2060" spans="1:23">
      <c r="A2060" t="str">
        <f>"600592"</f>
        <v>600592</v>
      </c>
      <c r="B2060" t="s">
        <v>5223</v>
      </c>
      <c r="C2060">
        <v>9.9700000000000006</v>
      </c>
      <c r="D2060">
        <v>10.26</v>
      </c>
      <c r="E2060">
        <v>9.92</v>
      </c>
      <c r="F2060">
        <v>10.09</v>
      </c>
      <c r="G2060">
        <v>146999</v>
      </c>
      <c r="H2060">
        <v>148982352</v>
      </c>
      <c r="I2060">
        <v>1.29</v>
      </c>
      <c r="J2060" t="s">
        <v>398</v>
      </c>
      <c r="K2060" t="s">
        <v>414</v>
      </c>
      <c r="L2060">
        <v>1.1000000000000001</v>
      </c>
      <c r="M2060">
        <v>10.130000000000001</v>
      </c>
      <c r="N2060">
        <v>77598</v>
      </c>
      <c r="O2060">
        <v>69400</v>
      </c>
      <c r="P2060">
        <v>1.1200000000000001</v>
      </c>
      <c r="Q2060">
        <v>329</v>
      </c>
      <c r="R2060">
        <v>448</v>
      </c>
      <c r="S2060" t="s">
        <v>3</v>
      </c>
      <c r="T2060">
        <v>36955.35</v>
      </c>
      <c r="U2060" t="s">
        <v>5224</v>
      </c>
      <c r="V2060" t="s">
        <v>1677</v>
      </c>
      <c r="W2060">
        <v>1.1000000000000001</v>
      </c>
    </row>
    <row r="2061" spans="1:23">
      <c r="A2061" t="str">
        <f>"600593"</f>
        <v>600593</v>
      </c>
      <c r="B2061" t="s">
        <v>5225</v>
      </c>
      <c r="C2061">
        <v>16.82</v>
      </c>
      <c r="D2061">
        <v>17.28</v>
      </c>
      <c r="E2061">
        <v>16.7</v>
      </c>
      <c r="F2061">
        <v>17.239999999999998</v>
      </c>
      <c r="G2061">
        <v>51903</v>
      </c>
      <c r="H2061">
        <v>88922248</v>
      </c>
      <c r="I2061">
        <v>3.28</v>
      </c>
      <c r="J2061" t="s">
        <v>185</v>
      </c>
      <c r="K2061" t="s">
        <v>162</v>
      </c>
      <c r="L2061">
        <v>2.31</v>
      </c>
      <c r="M2061">
        <v>17.13</v>
      </c>
      <c r="N2061">
        <v>20106</v>
      </c>
      <c r="O2061">
        <v>31796</v>
      </c>
      <c r="P2061">
        <v>0.63</v>
      </c>
      <c r="Q2061">
        <v>567</v>
      </c>
      <c r="R2061">
        <v>980</v>
      </c>
      <c r="S2061" t="s">
        <v>3</v>
      </c>
      <c r="T2061">
        <v>9200</v>
      </c>
      <c r="U2061" t="s">
        <v>74</v>
      </c>
      <c r="V2061" t="s">
        <v>74</v>
      </c>
      <c r="W2061">
        <v>2.31</v>
      </c>
    </row>
    <row r="2062" spans="1:23">
      <c r="A2062" t="str">
        <f>"600594"</f>
        <v>600594</v>
      </c>
      <c r="B2062" t="s">
        <v>5226</v>
      </c>
      <c r="C2062">
        <v>38.14</v>
      </c>
      <c r="D2062">
        <v>39.159999999999997</v>
      </c>
      <c r="E2062">
        <v>38.11</v>
      </c>
      <c r="F2062">
        <v>38.86</v>
      </c>
      <c r="G2062">
        <v>83151</v>
      </c>
      <c r="H2062">
        <v>322011072</v>
      </c>
      <c r="I2062">
        <v>1.86</v>
      </c>
      <c r="J2062" t="s">
        <v>321</v>
      </c>
      <c r="K2062" t="s">
        <v>452</v>
      </c>
      <c r="L2062">
        <v>2.2599999999999998</v>
      </c>
      <c r="M2062">
        <v>38.729999999999997</v>
      </c>
      <c r="N2062">
        <v>41968</v>
      </c>
      <c r="O2062">
        <v>41183</v>
      </c>
      <c r="P2062">
        <v>1.02</v>
      </c>
      <c r="Q2062">
        <v>1</v>
      </c>
      <c r="R2062">
        <v>91</v>
      </c>
      <c r="S2062" t="s">
        <v>3</v>
      </c>
      <c r="T2062">
        <v>35826.76</v>
      </c>
      <c r="U2062" t="s">
        <v>5227</v>
      </c>
      <c r="V2062" t="s">
        <v>5228</v>
      </c>
      <c r="W2062">
        <v>2.2599999999999998</v>
      </c>
    </row>
    <row r="2063" spans="1:23">
      <c r="A2063" t="str">
        <f>"600595"</f>
        <v>600595</v>
      </c>
      <c r="B2063" t="s">
        <v>5229</v>
      </c>
      <c r="C2063">
        <v>5.22</v>
      </c>
      <c r="D2063">
        <v>5.25</v>
      </c>
      <c r="E2063">
        <v>5.13</v>
      </c>
      <c r="F2063">
        <v>5.2</v>
      </c>
      <c r="G2063">
        <v>194783</v>
      </c>
      <c r="H2063">
        <v>100961640</v>
      </c>
      <c r="I2063">
        <v>0.64</v>
      </c>
      <c r="J2063" t="s">
        <v>632</v>
      </c>
      <c r="K2063" t="s">
        <v>254</v>
      </c>
      <c r="L2063">
        <v>-0.95</v>
      </c>
      <c r="M2063">
        <v>5.18</v>
      </c>
      <c r="N2063">
        <v>114957</v>
      </c>
      <c r="O2063">
        <v>79825</v>
      </c>
      <c r="P2063">
        <v>1.44</v>
      </c>
      <c r="Q2063">
        <v>2044</v>
      </c>
      <c r="R2063">
        <v>2614</v>
      </c>
      <c r="S2063" t="s">
        <v>3</v>
      </c>
      <c r="T2063">
        <v>151487.38</v>
      </c>
      <c r="U2063" t="s">
        <v>5230</v>
      </c>
      <c r="V2063" t="s">
        <v>5231</v>
      </c>
      <c r="W2063">
        <v>-0.96</v>
      </c>
    </row>
    <row r="2064" spans="1:23">
      <c r="A2064" t="str">
        <f>"600596"</f>
        <v>600596</v>
      </c>
      <c r="B2064" t="s">
        <v>5232</v>
      </c>
      <c r="C2064">
        <v>10.24</v>
      </c>
      <c r="D2064">
        <v>10.35</v>
      </c>
      <c r="E2064">
        <v>10.029999999999999</v>
      </c>
      <c r="F2064">
        <v>10.32</v>
      </c>
      <c r="G2064">
        <v>178611</v>
      </c>
      <c r="H2064">
        <v>181952896</v>
      </c>
      <c r="I2064">
        <v>0.98</v>
      </c>
      <c r="J2064" t="s">
        <v>224</v>
      </c>
      <c r="K2064" t="s">
        <v>229</v>
      </c>
      <c r="L2064">
        <v>0.78</v>
      </c>
      <c r="M2064">
        <v>10.19</v>
      </c>
      <c r="N2064">
        <v>93178</v>
      </c>
      <c r="O2064">
        <v>85433</v>
      </c>
      <c r="P2064">
        <v>1.0900000000000001</v>
      </c>
      <c r="Q2064">
        <v>640</v>
      </c>
      <c r="R2064">
        <v>1658</v>
      </c>
      <c r="S2064" t="s">
        <v>3</v>
      </c>
      <c r="T2064">
        <v>67918.460000000006</v>
      </c>
      <c r="U2064" t="s">
        <v>5137</v>
      </c>
      <c r="V2064" t="s">
        <v>5137</v>
      </c>
      <c r="W2064">
        <v>0.78</v>
      </c>
    </row>
    <row r="2065" spans="1:23">
      <c r="A2065" t="str">
        <f>"600597"</f>
        <v>600597</v>
      </c>
      <c r="B2065" t="s">
        <v>5233</v>
      </c>
      <c r="C2065">
        <v>17.32</v>
      </c>
      <c r="D2065">
        <v>17.57</v>
      </c>
      <c r="E2065">
        <v>17.12</v>
      </c>
      <c r="F2065">
        <v>17.190000000000001</v>
      </c>
      <c r="G2065">
        <v>179109</v>
      </c>
      <c r="H2065">
        <v>309770976</v>
      </c>
      <c r="I2065">
        <v>0.71</v>
      </c>
      <c r="J2065" t="s">
        <v>2250</v>
      </c>
      <c r="K2065" t="s">
        <v>727</v>
      </c>
      <c r="L2065">
        <v>-0.87</v>
      </c>
      <c r="M2065">
        <v>17.3</v>
      </c>
      <c r="N2065">
        <v>93126</v>
      </c>
      <c r="O2065">
        <v>85982</v>
      </c>
      <c r="P2065">
        <v>1.08</v>
      </c>
      <c r="Q2065">
        <v>141</v>
      </c>
      <c r="R2065">
        <v>278</v>
      </c>
      <c r="S2065" t="s">
        <v>3</v>
      </c>
      <c r="T2065">
        <v>122238.6</v>
      </c>
      <c r="U2065" t="s">
        <v>5234</v>
      </c>
      <c r="V2065" t="s">
        <v>5235</v>
      </c>
      <c r="W2065">
        <v>-0.87</v>
      </c>
    </row>
    <row r="2066" spans="1:23">
      <c r="A2066" t="str">
        <f>"600598"</f>
        <v>600598</v>
      </c>
      <c r="B2066" t="s">
        <v>5236</v>
      </c>
      <c r="C2066">
        <v>8.82</v>
      </c>
      <c r="D2066">
        <v>8.9600000000000009</v>
      </c>
      <c r="E2066">
        <v>8.7200000000000006</v>
      </c>
      <c r="F2066">
        <v>8.8699999999999992</v>
      </c>
      <c r="G2066">
        <v>132692</v>
      </c>
      <c r="H2066">
        <v>117308656</v>
      </c>
      <c r="I2066">
        <v>1.01</v>
      </c>
      <c r="J2066" t="s">
        <v>829</v>
      </c>
      <c r="K2066" t="s">
        <v>565</v>
      </c>
      <c r="L2066">
        <v>0.8</v>
      </c>
      <c r="M2066">
        <v>8.84</v>
      </c>
      <c r="N2066">
        <v>71645</v>
      </c>
      <c r="O2066">
        <v>61046</v>
      </c>
      <c r="P2066">
        <v>1.17</v>
      </c>
      <c r="Q2066">
        <v>413</v>
      </c>
      <c r="R2066">
        <v>1283</v>
      </c>
      <c r="S2066" t="s">
        <v>3</v>
      </c>
      <c r="T2066">
        <v>177767.98</v>
      </c>
      <c r="U2066" t="s">
        <v>5237</v>
      </c>
      <c r="V2066" t="s">
        <v>5237</v>
      </c>
      <c r="W2066">
        <v>0.79</v>
      </c>
    </row>
    <row r="2067" spans="1:23">
      <c r="A2067" t="str">
        <f>"600599"</f>
        <v>600599</v>
      </c>
      <c r="B2067" t="s">
        <v>5238</v>
      </c>
      <c r="C2067" t="s">
        <v>3</v>
      </c>
      <c r="D2067" t="s">
        <v>3</v>
      </c>
      <c r="E2067" t="s">
        <v>3</v>
      </c>
      <c r="F2067">
        <v>23.42</v>
      </c>
      <c r="G2067">
        <v>0</v>
      </c>
      <c r="H2067">
        <v>0</v>
      </c>
      <c r="I2067">
        <v>0</v>
      </c>
      <c r="J2067" t="s">
        <v>405</v>
      </c>
      <c r="K2067" t="s">
        <v>234</v>
      </c>
      <c r="L2067">
        <v>0</v>
      </c>
      <c r="M2067">
        <v>23.42</v>
      </c>
      <c r="N2067">
        <v>0</v>
      </c>
      <c r="O2067">
        <v>0</v>
      </c>
      <c r="P2067" t="s">
        <v>3</v>
      </c>
      <c r="Q2067">
        <v>0</v>
      </c>
      <c r="R2067">
        <v>0</v>
      </c>
      <c r="S2067" t="s">
        <v>3</v>
      </c>
      <c r="T2067">
        <v>12600</v>
      </c>
      <c r="U2067" t="s">
        <v>5239</v>
      </c>
      <c r="V2067" t="s">
        <v>4757</v>
      </c>
      <c r="W2067">
        <v>0</v>
      </c>
    </row>
    <row r="2068" spans="1:23">
      <c r="A2068" t="str">
        <f>"600600"</f>
        <v>600600</v>
      </c>
      <c r="B2068" t="s">
        <v>5240</v>
      </c>
      <c r="C2068">
        <v>40.799999999999997</v>
      </c>
      <c r="D2068">
        <v>40.83</v>
      </c>
      <c r="E2068">
        <v>40.5</v>
      </c>
      <c r="F2068">
        <v>40.56</v>
      </c>
      <c r="G2068">
        <v>19409</v>
      </c>
      <c r="H2068">
        <v>78833128</v>
      </c>
      <c r="I2068">
        <v>0.69</v>
      </c>
      <c r="J2068" t="s">
        <v>871</v>
      </c>
      <c r="K2068" t="s">
        <v>250</v>
      </c>
      <c r="L2068">
        <v>-0.34</v>
      </c>
      <c r="M2068">
        <v>40.619999999999997</v>
      </c>
      <c r="N2068">
        <v>10909</v>
      </c>
      <c r="O2068">
        <v>8500</v>
      </c>
      <c r="P2068">
        <v>1.28</v>
      </c>
      <c r="Q2068">
        <v>37</v>
      </c>
      <c r="R2068">
        <v>47</v>
      </c>
      <c r="S2068" t="s">
        <v>3</v>
      </c>
      <c r="T2068">
        <v>69591.350000000006</v>
      </c>
      <c r="U2068" t="s">
        <v>5241</v>
      </c>
      <c r="V2068" t="s">
        <v>5241</v>
      </c>
      <c r="W2068">
        <v>-0.35</v>
      </c>
    </row>
    <row r="2069" spans="1:23">
      <c r="A2069" t="str">
        <f>"600601"</f>
        <v>600601</v>
      </c>
      <c r="B2069" t="s">
        <v>5242</v>
      </c>
      <c r="C2069">
        <v>4.1100000000000003</v>
      </c>
      <c r="D2069">
        <v>4.17</v>
      </c>
      <c r="E2069">
        <v>4.0599999999999996</v>
      </c>
      <c r="F2069">
        <v>4.1399999999999997</v>
      </c>
      <c r="G2069">
        <v>326283</v>
      </c>
      <c r="H2069">
        <v>134739984</v>
      </c>
      <c r="I2069">
        <v>1.04</v>
      </c>
      <c r="J2069" t="s">
        <v>66</v>
      </c>
      <c r="K2069" t="s">
        <v>727</v>
      </c>
      <c r="L2069">
        <v>0.73</v>
      </c>
      <c r="M2069">
        <v>4.13</v>
      </c>
      <c r="N2069">
        <v>179249</v>
      </c>
      <c r="O2069">
        <v>147034</v>
      </c>
      <c r="P2069">
        <v>1.22</v>
      </c>
      <c r="Q2069">
        <v>1010</v>
      </c>
      <c r="R2069">
        <v>4532</v>
      </c>
      <c r="S2069" t="s">
        <v>3</v>
      </c>
      <c r="T2069">
        <v>219489.13</v>
      </c>
      <c r="U2069" t="s">
        <v>5243</v>
      </c>
      <c r="V2069" t="s">
        <v>5243</v>
      </c>
      <c r="W2069">
        <v>0.73</v>
      </c>
    </row>
    <row r="2070" spans="1:23">
      <c r="A2070" t="str">
        <f>"600602"</f>
        <v>600602</v>
      </c>
      <c r="B2070" t="s">
        <v>5244</v>
      </c>
      <c r="C2070">
        <v>6.86</v>
      </c>
      <c r="D2070">
        <v>6.87</v>
      </c>
      <c r="E2070">
        <v>6.76</v>
      </c>
      <c r="F2070">
        <v>6.82</v>
      </c>
      <c r="G2070">
        <v>96234</v>
      </c>
      <c r="H2070">
        <v>65661800</v>
      </c>
      <c r="I2070">
        <v>0.77</v>
      </c>
      <c r="J2070" t="s">
        <v>62</v>
      </c>
      <c r="K2070" t="s">
        <v>727</v>
      </c>
      <c r="L2070">
        <v>-0.44</v>
      </c>
      <c r="M2070">
        <v>6.82</v>
      </c>
      <c r="N2070">
        <v>53520</v>
      </c>
      <c r="O2070">
        <v>42713</v>
      </c>
      <c r="P2070">
        <v>1.25</v>
      </c>
      <c r="Q2070">
        <v>420</v>
      </c>
      <c r="R2070">
        <v>546</v>
      </c>
      <c r="S2070" t="s">
        <v>3</v>
      </c>
      <c r="T2070">
        <v>87957.25</v>
      </c>
      <c r="U2070" t="s">
        <v>2953</v>
      </c>
      <c r="V2070" t="s">
        <v>5245</v>
      </c>
      <c r="W2070">
        <v>-0.44</v>
      </c>
    </row>
    <row r="2071" spans="1:23">
      <c r="A2071" t="str">
        <f>"600603"</f>
        <v>600603</v>
      </c>
      <c r="B2071" t="s">
        <v>5246</v>
      </c>
      <c r="C2071">
        <v>8.94</v>
      </c>
      <c r="D2071">
        <v>8.94</v>
      </c>
      <c r="E2071">
        <v>8.6999999999999993</v>
      </c>
      <c r="F2071">
        <v>8.9</v>
      </c>
      <c r="G2071">
        <v>71878</v>
      </c>
      <c r="H2071">
        <v>63420208</v>
      </c>
      <c r="I2071">
        <v>0.99</v>
      </c>
      <c r="J2071" t="s">
        <v>26</v>
      </c>
      <c r="K2071" t="s">
        <v>414</v>
      </c>
      <c r="L2071">
        <v>-0.22</v>
      </c>
      <c r="M2071">
        <v>8.82</v>
      </c>
      <c r="N2071">
        <v>46647</v>
      </c>
      <c r="O2071">
        <v>25230</v>
      </c>
      <c r="P2071">
        <v>1.85</v>
      </c>
      <c r="Q2071">
        <v>14</v>
      </c>
      <c r="R2071">
        <v>570</v>
      </c>
      <c r="S2071" t="s">
        <v>3</v>
      </c>
      <c r="T2071">
        <v>19464.18</v>
      </c>
      <c r="U2071" t="s">
        <v>3980</v>
      </c>
      <c r="V2071" t="s">
        <v>3980</v>
      </c>
      <c r="W2071">
        <v>-0.23</v>
      </c>
    </row>
    <row r="2072" spans="1:23">
      <c r="A2072" t="str">
        <f>"600604"</f>
        <v>600604</v>
      </c>
      <c r="B2072" t="s">
        <v>5247</v>
      </c>
      <c r="C2072">
        <v>12.78</v>
      </c>
      <c r="D2072">
        <v>13.49</v>
      </c>
      <c r="E2072">
        <v>12.56</v>
      </c>
      <c r="F2072">
        <v>13.24</v>
      </c>
      <c r="G2072">
        <v>104390</v>
      </c>
      <c r="H2072">
        <v>136194448</v>
      </c>
      <c r="I2072">
        <v>1.22</v>
      </c>
      <c r="J2072" t="s">
        <v>663</v>
      </c>
      <c r="K2072" t="s">
        <v>727</v>
      </c>
      <c r="L2072">
        <v>3.52</v>
      </c>
      <c r="M2072">
        <v>13.05</v>
      </c>
      <c r="N2072">
        <v>46649</v>
      </c>
      <c r="O2072">
        <v>57741</v>
      </c>
      <c r="P2072">
        <v>0.81</v>
      </c>
      <c r="Q2072">
        <v>52</v>
      </c>
      <c r="R2072">
        <v>7</v>
      </c>
      <c r="S2072" t="s">
        <v>3</v>
      </c>
      <c r="T2072">
        <v>33352.42</v>
      </c>
      <c r="U2072" t="s">
        <v>5248</v>
      </c>
      <c r="V2072" t="s">
        <v>5249</v>
      </c>
      <c r="W2072">
        <v>3.51</v>
      </c>
    </row>
    <row r="2073" spans="1:23">
      <c r="A2073" t="str">
        <f>"600605"</f>
        <v>600605</v>
      </c>
      <c r="B2073" t="s">
        <v>5250</v>
      </c>
      <c r="C2073">
        <v>14.18</v>
      </c>
      <c r="D2073">
        <v>14.44</v>
      </c>
      <c r="E2073">
        <v>13.9</v>
      </c>
      <c r="F2073">
        <v>14.28</v>
      </c>
      <c r="G2073">
        <v>23035</v>
      </c>
      <c r="H2073">
        <v>32683044</v>
      </c>
      <c r="I2073">
        <v>1.26</v>
      </c>
      <c r="J2073" t="s">
        <v>173</v>
      </c>
      <c r="K2073" t="s">
        <v>727</v>
      </c>
      <c r="L2073">
        <v>1.42</v>
      </c>
      <c r="M2073">
        <v>14.19</v>
      </c>
      <c r="N2073">
        <v>10212</v>
      </c>
      <c r="O2073">
        <v>12823</v>
      </c>
      <c r="P2073">
        <v>0.8</v>
      </c>
      <c r="Q2073">
        <v>25</v>
      </c>
      <c r="R2073">
        <v>131</v>
      </c>
      <c r="S2073" t="s">
        <v>3</v>
      </c>
      <c r="T2073">
        <v>14734.45</v>
      </c>
      <c r="U2073" t="s">
        <v>1523</v>
      </c>
      <c r="V2073" t="s">
        <v>1523</v>
      </c>
      <c r="W2073">
        <v>1.42</v>
      </c>
    </row>
    <row r="2074" spans="1:23">
      <c r="A2074" t="str">
        <f>"600606"</f>
        <v>600606</v>
      </c>
      <c r="B2074" t="s">
        <v>5251</v>
      </c>
      <c r="C2074">
        <v>8.5</v>
      </c>
      <c r="D2074">
        <v>8.51</v>
      </c>
      <c r="E2074">
        <v>8.35</v>
      </c>
      <c r="F2074">
        <v>8.39</v>
      </c>
      <c r="G2074">
        <v>109850</v>
      </c>
      <c r="H2074">
        <v>92231280</v>
      </c>
      <c r="I2074">
        <v>0.91</v>
      </c>
      <c r="J2074" t="s">
        <v>154</v>
      </c>
      <c r="K2074" t="s">
        <v>727</v>
      </c>
      <c r="L2074">
        <v>-1.06</v>
      </c>
      <c r="M2074">
        <v>8.4</v>
      </c>
      <c r="N2074">
        <v>67214</v>
      </c>
      <c r="O2074">
        <v>42635</v>
      </c>
      <c r="P2074">
        <v>1.58</v>
      </c>
      <c r="Q2074">
        <v>95</v>
      </c>
      <c r="R2074">
        <v>790</v>
      </c>
      <c r="S2074" t="s">
        <v>3</v>
      </c>
      <c r="T2074">
        <v>51832.01</v>
      </c>
      <c r="U2074" t="s">
        <v>5252</v>
      </c>
      <c r="V2074" t="s">
        <v>5252</v>
      </c>
      <c r="W2074">
        <v>-1.07</v>
      </c>
    </row>
    <row r="2075" spans="1:23">
      <c r="A2075" t="str">
        <f>"600608"</f>
        <v>600608</v>
      </c>
      <c r="B2075" t="s">
        <v>5253</v>
      </c>
      <c r="C2075">
        <v>7.46</v>
      </c>
      <c r="D2075">
        <v>7.63</v>
      </c>
      <c r="E2075">
        <v>7.44</v>
      </c>
      <c r="F2075">
        <v>7.51</v>
      </c>
      <c r="G2075">
        <v>89212</v>
      </c>
      <c r="H2075">
        <v>67184720</v>
      </c>
      <c r="I2075">
        <v>1.1200000000000001</v>
      </c>
      <c r="J2075" t="s">
        <v>112</v>
      </c>
      <c r="K2075" t="s">
        <v>727</v>
      </c>
      <c r="L2075">
        <v>1.21</v>
      </c>
      <c r="M2075">
        <v>7.53</v>
      </c>
      <c r="N2075">
        <v>42752</v>
      </c>
      <c r="O2075">
        <v>46459</v>
      </c>
      <c r="P2075">
        <v>0.92</v>
      </c>
      <c r="Q2075">
        <v>218</v>
      </c>
      <c r="R2075">
        <v>173</v>
      </c>
      <c r="S2075" t="s">
        <v>3</v>
      </c>
      <c r="T2075">
        <v>31837.14</v>
      </c>
      <c r="U2075" t="s">
        <v>5254</v>
      </c>
      <c r="V2075" t="s">
        <v>1812</v>
      </c>
      <c r="W2075">
        <v>1.21</v>
      </c>
    </row>
    <row r="2076" spans="1:23">
      <c r="A2076" t="str">
        <f>"600609"</f>
        <v>600609</v>
      </c>
      <c r="B2076" t="s">
        <v>5255</v>
      </c>
      <c r="C2076">
        <v>3.4</v>
      </c>
      <c r="D2076">
        <v>3.54</v>
      </c>
      <c r="E2076">
        <v>3.4</v>
      </c>
      <c r="F2076">
        <v>3.49</v>
      </c>
      <c r="G2076">
        <v>220794</v>
      </c>
      <c r="H2076">
        <v>76754072</v>
      </c>
      <c r="I2076">
        <v>1.75</v>
      </c>
      <c r="J2076" t="s">
        <v>476</v>
      </c>
      <c r="K2076" t="s">
        <v>162</v>
      </c>
      <c r="L2076">
        <v>2.0499999999999998</v>
      </c>
      <c r="M2076">
        <v>3.48</v>
      </c>
      <c r="N2076">
        <v>99992</v>
      </c>
      <c r="O2076">
        <v>120801</v>
      </c>
      <c r="P2076">
        <v>0.83</v>
      </c>
      <c r="Q2076">
        <v>1913</v>
      </c>
      <c r="R2076">
        <v>7250</v>
      </c>
      <c r="S2076" t="s">
        <v>3</v>
      </c>
      <c r="T2076">
        <v>109266.71</v>
      </c>
      <c r="U2076" t="s">
        <v>5256</v>
      </c>
      <c r="V2076" t="s">
        <v>5256</v>
      </c>
      <c r="W2076">
        <v>2.04</v>
      </c>
    </row>
    <row r="2077" spans="1:23">
      <c r="A2077" t="str">
        <f>"600610"</f>
        <v>600610</v>
      </c>
      <c r="B2077" t="s">
        <v>5257</v>
      </c>
      <c r="C2077" t="s">
        <v>3</v>
      </c>
      <c r="D2077" t="s">
        <v>3</v>
      </c>
      <c r="E2077" t="s">
        <v>3</v>
      </c>
      <c r="F2077">
        <v>25.97</v>
      </c>
      <c r="G2077">
        <v>0</v>
      </c>
      <c r="H2077">
        <v>0</v>
      </c>
      <c r="I2077">
        <v>0</v>
      </c>
      <c r="J2077" t="s">
        <v>721</v>
      </c>
      <c r="K2077" t="s">
        <v>727</v>
      </c>
      <c r="L2077">
        <v>0</v>
      </c>
      <c r="M2077">
        <v>25.97</v>
      </c>
      <c r="N2077">
        <v>0</v>
      </c>
      <c r="O2077">
        <v>0</v>
      </c>
      <c r="P2077" t="s">
        <v>3</v>
      </c>
      <c r="Q2077">
        <v>0</v>
      </c>
      <c r="R2077">
        <v>0</v>
      </c>
      <c r="S2077" t="s">
        <v>3</v>
      </c>
      <c r="T2077">
        <v>2574</v>
      </c>
      <c r="U2077" t="s">
        <v>5258</v>
      </c>
      <c r="V2077" t="s">
        <v>5259</v>
      </c>
      <c r="W2077">
        <v>0</v>
      </c>
    </row>
    <row r="2078" spans="1:23">
      <c r="A2078" t="str">
        <f>"600611"</f>
        <v>600611</v>
      </c>
      <c r="B2078" t="s">
        <v>5260</v>
      </c>
      <c r="C2078">
        <v>7.28</v>
      </c>
      <c r="D2078">
        <v>7.37</v>
      </c>
      <c r="E2078">
        <v>7.26</v>
      </c>
      <c r="F2078">
        <v>7.29</v>
      </c>
      <c r="G2078">
        <v>195662</v>
      </c>
      <c r="H2078">
        <v>142945968</v>
      </c>
      <c r="I2078">
        <v>1.21</v>
      </c>
      <c r="J2078" t="s">
        <v>314</v>
      </c>
      <c r="K2078" t="s">
        <v>727</v>
      </c>
      <c r="L2078">
        <v>0.55000000000000004</v>
      </c>
      <c r="M2078">
        <v>7.31</v>
      </c>
      <c r="N2078">
        <v>97472</v>
      </c>
      <c r="O2078">
        <v>98189</v>
      </c>
      <c r="P2078">
        <v>0.99</v>
      </c>
      <c r="Q2078">
        <v>44</v>
      </c>
      <c r="R2078">
        <v>3456</v>
      </c>
      <c r="S2078" t="s">
        <v>3</v>
      </c>
      <c r="T2078">
        <v>104221.09</v>
      </c>
      <c r="U2078" t="s">
        <v>5261</v>
      </c>
      <c r="V2078" t="s">
        <v>5262</v>
      </c>
      <c r="W2078">
        <v>0.55000000000000004</v>
      </c>
    </row>
    <row r="2079" spans="1:23">
      <c r="A2079" t="str">
        <f>"600612"</f>
        <v>600612</v>
      </c>
      <c r="B2079" t="s">
        <v>5263</v>
      </c>
      <c r="C2079">
        <v>28.78</v>
      </c>
      <c r="D2079">
        <v>28.8</v>
      </c>
      <c r="E2079">
        <v>28.19</v>
      </c>
      <c r="F2079">
        <v>28.39</v>
      </c>
      <c r="G2079">
        <v>14329</v>
      </c>
      <c r="H2079">
        <v>40630480</v>
      </c>
      <c r="I2079">
        <v>1.27</v>
      </c>
      <c r="J2079" t="s">
        <v>1373</v>
      </c>
      <c r="K2079" t="s">
        <v>727</v>
      </c>
      <c r="L2079">
        <v>-1.08</v>
      </c>
      <c r="M2079">
        <v>28.35</v>
      </c>
      <c r="N2079">
        <v>7848</v>
      </c>
      <c r="O2079">
        <v>6481</v>
      </c>
      <c r="P2079">
        <v>1.21</v>
      </c>
      <c r="Q2079">
        <v>5</v>
      </c>
      <c r="R2079">
        <v>17</v>
      </c>
      <c r="S2079" t="s">
        <v>3</v>
      </c>
      <c r="T2079">
        <v>31710.959999999999</v>
      </c>
      <c r="U2079" t="s">
        <v>5264</v>
      </c>
      <c r="V2079" t="s">
        <v>5265</v>
      </c>
      <c r="W2079">
        <v>-1.08</v>
      </c>
    </row>
    <row r="2080" spans="1:23">
      <c r="A2080" t="str">
        <f>"600613"</f>
        <v>600613</v>
      </c>
      <c r="B2080" t="s">
        <v>5266</v>
      </c>
      <c r="C2080">
        <v>17.03</v>
      </c>
      <c r="D2080">
        <v>17.5</v>
      </c>
      <c r="E2080">
        <v>16.88</v>
      </c>
      <c r="F2080">
        <v>17.489999999999998</v>
      </c>
      <c r="G2080">
        <v>50210</v>
      </c>
      <c r="H2080">
        <v>86584768</v>
      </c>
      <c r="I2080">
        <v>1.22</v>
      </c>
      <c r="J2080" t="s">
        <v>321</v>
      </c>
      <c r="K2080" t="s">
        <v>727</v>
      </c>
      <c r="L2080">
        <v>2.7</v>
      </c>
      <c r="M2080">
        <v>17.239999999999998</v>
      </c>
      <c r="N2080">
        <v>23030</v>
      </c>
      <c r="O2080">
        <v>27179</v>
      </c>
      <c r="P2080">
        <v>0.85</v>
      </c>
      <c r="Q2080">
        <v>15</v>
      </c>
      <c r="R2080">
        <v>527</v>
      </c>
      <c r="S2080" t="s">
        <v>3</v>
      </c>
      <c r="T2080">
        <v>14769.17</v>
      </c>
      <c r="U2080" t="s">
        <v>1149</v>
      </c>
      <c r="V2080" t="s">
        <v>5267</v>
      </c>
      <c r="W2080">
        <v>2.7</v>
      </c>
    </row>
    <row r="2081" spans="1:23">
      <c r="A2081" t="str">
        <f>"600614"</f>
        <v>600614</v>
      </c>
      <c r="B2081" t="s">
        <v>5268</v>
      </c>
      <c r="C2081">
        <v>11.35</v>
      </c>
      <c r="D2081">
        <v>11.52</v>
      </c>
      <c r="E2081">
        <v>11.19</v>
      </c>
      <c r="F2081">
        <v>11.38</v>
      </c>
      <c r="G2081">
        <v>166907</v>
      </c>
      <c r="H2081">
        <v>188641648</v>
      </c>
      <c r="I2081">
        <v>0.74</v>
      </c>
      <c r="J2081" t="s">
        <v>26</v>
      </c>
      <c r="K2081" t="s">
        <v>727</v>
      </c>
      <c r="L2081">
        <v>-0.87</v>
      </c>
      <c r="M2081">
        <v>11.3</v>
      </c>
      <c r="N2081">
        <v>87541</v>
      </c>
      <c r="O2081">
        <v>79365</v>
      </c>
      <c r="P2081">
        <v>1.1000000000000001</v>
      </c>
      <c r="Q2081">
        <v>94</v>
      </c>
      <c r="R2081">
        <v>49</v>
      </c>
      <c r="S2081" t="s">
        <v>3</v>
      </c>
      <c r="T2081">
        <v>44675.94</v>
      </c>
      <c r="U2081" t="s">
        <v>5269</v>
      </c>
      <c r="V2081" t="s">
        <v>4438</v>
      </c>
      <c r="W2081">
        <v>-0.88</v>
      </c>
    </row>
    <row r="2082" spans="1:23">
      <c r="A2082" t="str">
        <f>"600615"</f>
        <v>600615</v>
      </c>
      <c r="B2082" t="s">
        <v>5270</v>
      </c>
      <c r="C2082">
        <v>11.5</v>
      </c>
      <c r="D2082">
        <v>12.2</v>
      </c>
      <c r="E2082">
        <v>11.11</v>
      </c>
      <c r="F2082">
        <v>11.78</v>
      </c>
      <c r="G2082">
        <v>312556</v>
      </c>
      <c r="H2082">
        <v>363897280</v>
      </c>
      <c r="I2082">
        <v>15.14</v>
      </c>
      <c r="J2082" t="s">
        <v>15</v>
      </c>
      <c r="K2082" t="s">
        <v>727</v>
      </c>
      <c r="L2082">
        <v>6.22</v>
      </c>
      <c r="M2082">
        <v>11.64</v>
      </c>
      <c r="N2082">
        <v>146720</v>
      </c>
      <c r="O2082">
        <v>165835</v>
      </c>
      <c r="P2082">
        <v>0.88</v>
      </c>
      <c r="Q2082">
        <v>546</v>
      </c>
      <c r="R2082">
        <v>126</v>
      </c>
      <c r="S2082" t="s">
        <v>3</v>
      </c>
      <c r="T2082">
        <v>18681</v>
      </c>
      <c r="U2082" t="s">
        <v>953</v>
      </c>
      <c r="V2082" t="s">
        <v>5271</v>
      </c>
      <c r="W2082">
        <v>6.22</v>
      </c>
    </row>
    <row r="2083" spans="1:23">
      <c r="A2083" t="str">
        <f>"600616"</f>
        <v>600616</v>
      </c>
      <c r="B2083" t="s">
        <v>5272</v>
      </c>
      <c r="C2083">
        <v>8.51</v>
      </c>
      <c r="D2083">
        <v>8.5500000000000007</v>
      </c>
      <c r="E2083">
        <v>8.4600000000000009</v>
      </c>
      <c r="F2083">
        <v>8.52</v>
      </c>
      <c r="G2083">
        <v>77746</v>
      </c>
      <c r="H2083">
        <v>66087004</v>
      </c>
      <c r="I2083">
        <v>0.78</v>
      </c>
      <c r="J2083" t="s">
        <v>495</v>
      </c>
      <c r="K2083" t="s">
        <v>727</v>
      </c>
      <c r="L2083">
        <v>0.12</v>
      </c>
      <c r="M2083">
        <v>8.5</v>
      </c>
      <c r="N2083">
        <v>45612</v>
      </c>
      <c r="O2083">
        <v>32134</v>
      </c>
      <c r="P2083">
        <v>1.42</v>
      </c>
      <c r="Q2083">
        <v>260</v>
      </c>
      <c r="R2083">
        <v>365</v>
      </c>
      <c r="S2083" t="s">
        <v>3</v>
      </c>
      <c r="T2083">
        <v>43867.14</v>
      </c>
      <c r="U2083" t="s">
        <v>5273</v>
      </c>
      <c r="V2083" t="s">
        <v>3228</v>
      </c>
      <c r="W2083">
        <v>0.11</v>
      </c>
    </row>
    <row r="2084" spans="1:23">
      <c r="A2084" t="str">
        <f>"600617"</f>
        <v>600617</v>
      </c>
      <c r="B2084" t="s">
        <v>5274</v>
      </c>
      <c r="C2084">
        <v>19.73</v>
      </c>
      <c r="D2084">
        <v>20.18</v>
      </c>
      <c r="E2084">
        <v>19.55</v>
      </c>
      <c r="F2084">
        <v>20.079999999999998</v>
      </c>
      <c r="G2084">
        <v>24278</v>
      </c>
      <c r="H2084">
        <v>48458736</v>
      </c>
      <c r="I2084">
        <v>1.39</v>
      </c>
      <c r="J2084" t="s">
        <v>581</v>
      </c>
      <c r="K2084" t="s">
        <v>742</v>
      </c>
      <c r="L2084">
        <v>2.97</v>
      </c>
      <c r="M2084">
        <v>19.96</v>
      </c>
      <c r="N2084">
        <v>10806</v>
      </c>
      <c r="O2084">
        <v>13471</v>
      </c>
      <c r="P2084">
        <v>0.8</v>
      </c>
      <c r="Q2084">
        <v>30</v>
      </c>
      <c r="R2084">
        <v>237</v>
      </c>
      <c r="S2084" t="s">
        <v>3</v>
      </c>
      <c r="T2084">
        <v>10263.629999999999</v>
      </c>
      <c r="U2084" t="s">
        <v>4362</v>
      </c>
      <c r="V2084" t="s">
        <v>5275</v>
      </c>
      <c r="W2084">
        <v>2.97</v>
      </c>
    </row>
    <row r="2085" spans="1:23">
      <c r="A2085" t="str">
        <f>"600618"</f>
        <v>600618</v>
      </c>
      <c r="B2085" t="s">
        <v>5276</v>
      </c>
      <c r="C2085">
        <v>8.69</v>
      </c>
      <c r="D2085">
        <v>8.7899999999999991</v>
      </c>
      <c r="E2085">
        <v>8.57</v>
      </c>
      <c r="F2085">
        <v>8.7799999999999994</v>
      </c>
      <c r="G2085">
        <v>69830</v>
      </c>
      <c r="H2085">
        <v>60582120</v>
      </c>
      <c r="I2085">
        <v>0.79</v>
      </c>
      <c r="J2085" t="s">
        <v>376</v>
      </c>
      <c r="K2085" t="s">
        <v>727</v>
      </c>
      <c r="L2085">
        <v>0.92</v>
      </c>
      <c r="M2085">
        <v>8.68</v>
      </c>
      <c r="N2085">
        <v>36407</v>
      </c>
      <c r="O2085">
        <v>33423</v>
      </c>
      <c r="P2085">
        <v>1.0900000000000001</v>
      </c>
      <c r="Q2085">
        <v>160</v>
      </c>
      <c r="R2085">
        <v>460</v>
      </c>
      <c r="S2085" t="s">
        <v>3</v>
      </c>
      <c r="T2085">
        <v>74984</v>
      </c>
      <c r="U2085" t="s">
        <v>192</v>
      </c>
      <c r="V2085" t="s">
        <v>5277</v>
      </c>
      <c r="W2085">
        <v>0.92</v>
      </c>
    </row>
    <row r="2086" spans="1:23">
      <c r="A2086" t="str">
        <f>"600619"</f>
        <v>600619</v>
      </c>
      <c r="B2086" t="s">
        <v>5278</v>
      </c>
      <c r="C2086">
        <v>8.35</v>
      </c>
      <c r="D2086">
        <v>8.73</v>
      </c>
      <c r="E2086">
        <v>8.3000000000000007</v>
      </c>
      <c r="F2086">
        <v>8.5299999999999994</v>
      </c>
      <c r="G2086">
        <v>78646</v>
      </c>
      <c r="H2086">
        <v>67127824</v>
      </c>
      <c r="I2086">
        <v>2.16</v>
      </c>
      <c r="J2086" t="s">
        <v>398</v>
      </c>
      <c r="K2086" t="s">
        <v>727</v>
      </c>
      <c r="L2086">
        <v>2.2799999999999998</v>
      </c>
      <c r="M2086">
        <v>8.5399999999999991</v>
      </c>
      <c r="N2086">
        <v>35913</v>
      </c>
      <c r="O2086">
        <v>42733</v>
      </c>
      <c r="P2086">
        <v>0.84</v>
      </c>
      <c r="Q2086">
        <v>276</v>
      </c>
      <c r="R2086">
        <v>140</v>
      </c>
      <c r="S2086" t="s">
        <v>3</v>
      </c>
      <c r="T2086">
        <v>31857.439999999999</v>
      </c>
      <c r="U2086" t="s">
        <v>5279</v>
      </c>
      <c r="V2086" t="s">
        <v>5280</v>
      </c>
      <c r="W2086">
        <v>2.27</v>
      </c>
    </row>
    <row r="2087" spans="1:23">
      <c r="A2087" t="str">
        <f>"600620"</f>
        <v>600620</v>
      </c>
      <c r="B2087" t="s">
        <v>5281</v>
      </c>
      <c r="C2087">
        <v>8.5500000000000007</v>
      </c>
      <c r="D2087">
        <v>8.67</v>
      </c>
      <c r="E2087">
        <v>8.44</v>
      </c>
      <c r="F2087">
        <v>8.48</v>
      </c>
      <c r="G2087">
        <v>132389</v>
      </c>
      <c r="H2087">
        <v>112564560</v>
      </c>
      <c r="I2087">
        <v>1.04</v>
      </c>
      <c r="J2087" t="s">
        <v>26</v>
      </c>
      <c r="K2087" t="s">
        <v>727</v>
      </c>
      <c r="L2087">
        <v>-1.17</v>
      </c>
      <c r="M2087">
        <v>8.5</v>
      </c>
      <c r="N2087">
        <v>72907</v>
      </c>
      <c r="O2087">
        <v>59482</v>
      </c>
      <c r="P2087">
        <v>1.23</v>
      </c>
      <c r="Q2087">
        <v>1010</v>
      </c>
      <c r="R2087">
        <v>645</v>
      </c>
      <c r="S2087" t="s">
        <v>3</v>
      </c>
      <c r="T2087">
        <v>45778.46</v>
      </c>
      <c r="U2087" t="s">
        <v>4203</v>
      </c>
      <c r="V2087" t="s">
        <v>4203</v>
      </c>
      <c r="W2087">
        <v>-1.17</v>
      </c>
    </row>
    <row r="2088" spans="1:23">
      <c r="A2088" t="str">
        <f>"600621"</f>
        <v>600621</v>
      </c>
      <c r="B2088" t="s">
        <v>5282</v>
      </c>
      <c r="C2088">
        <v>6.46</v>
      </c>
      <c r="D2088">
        <v>6.47</v>
      </c>
      <c r="E2088">
        <v>6.39</v>
      </c>
      <c r="F2088">
        <v>6.44</v>
      </c>
      <c r="G2088">
        <v>61348</v>
      </c>
      <c r="H2088">
        <v>39392320</v>
      </c>
      <c r="I2088">
        <v>0.91</v>
      </c>
      <c r="J2088" t="s">
        <v>7</v>
      </c>
      <c r="K2088" t="s">
        <v>727</v>
      </c>
      <c r="L2088">
        <v>-0.46</v>
      </c>
      <c r="M2088">
        <v>6.42</v>
      </c>
      <c r="N2088">
        <v>39413</v>
      </c>
      <c r="O2088">
        <v>21934</v>
      </c>
      <c r="P2088">
        <v>1.8</v>
      </c>
      <c r="Q2088">
        <v>106</v>
      </c>
      <c r="R2088">
        <v>1115</v>
      </c>
      <c r="S2088" t="s">
        <v>3</v>
      </c>
      <c r="T2088">
        <v>52408.23</v>
      </c>
      <c r="U2088" t="s">
        <v>575</v>
      </c>
      <c r="V2088" t="s">
        <v>575</v>
      </c>
      <c r="W2088">
        <v>-0.47</v>
      </c>
    </row>
    <row r="2089" spans="1:23">
      <c r="A2089" t="str">
        <f>"600622"</f>
        <v>600622</v>
      </c>
      <c r="B2089" t="s">
        <v>5283</v>
      </c>
      <c r="C2089">
        <v>6.94</v>
      </c>
      <c r="D2089">
        <v>6.95</v>
      </c>
      <c r="E2089">
        <v>6.83</v>
      </c>
      <c r="F2089">
        <v>6.88</v>
      </c>
      <c r="G2089">
        <v>69308</v>
      </c>
      <c r="H2089">
        <v>47698856</v>
      </c>
      <c r="I2089">
        <v>0.83</v>
      </c>
      <c r="J2089" t="s">
        <v>26</v>
      </c>
      <c r="K2089" t="s">
        <v>727</v>
      </c>
      <c r="L2089">
        <v>-0.57999999999999996</v>
      </c>
      <c r="M2089">
        <v>6.88</v>
      </c>
      <c r="N2089">
        <v>41666</v>
      </c>
      <c r="O2089">
        <v>27641</v>
      </c>
      <c r="P2089">
        <v>1.51</v>
      </c>
      <c r="Q2089">
        <v>383</v>
      </c>
      <c r="R2089">
        <v>855</v>
      </c>
      <c r="S2089" t="s">
        <v>3</v>
      </c>
      <c r="T2089">
        <v>51430.37</v>
      </c>
      <c r="U2089" t="s">
        <v>2942</v>
      </c>
      <c r="V2089" t="s">
        <v>2942</v>
      </c>
      <c r="W2089">
        <v>-0.57999999999999996</v>
      </c>
    </row>
    <row r="2090" spans="1:23">
      <c r="A2090" t="str">
        <f>"600623"</f>
        <v>600623</v>
      </c>
      <c r="B2090" t="s">
        <v>5284</v>
      </c>
      <c r="C2090">
        <v>13.4</v>
      </c>
      <c r="D2090">
        <v>13.79</v>
      </c>
      <c r="E2090">
        <v>13.26</v>
      </c>
      <c r="F2090">
        <v>13.74</v>
      </c>
      <c r="G2090">
        <v>46113</v>
      </c>
      <c r="H2090">
        <v>62463976</v>
      </c>
      <c r="I2090">
        <v>1.94</v>
      </c>
      <c r="J2090" t="s">
        <v>98</v>
      </c>
      <c r="K2090" t="s">
        <v>727</v>
      </c>
      <c r="L2090">
        <v>3.62</v>
      </c>
      <c r="M2090">
        <v>13.55</v>
      </c>
      <c r="N2090">
        <v>19252</v>
      </c>
      <c r="O2090">
        <v>26860</v>
      </c>
      <c r="P2090">
        <v>0.72</v>
      </c>
      <c r="Q2090">
        <v>186</v>
      </c>
      <c r="R2090">
        <v>963</v>
      </c>
      <c r="S2090" t="s">
        <v>3</v>
      </c>
      <c r="T2090">
        <v>64636.76</v>
      </c>
      <c r="U2090" t="s">
        <v>5285</v>
      </c>
      <c r="V2090" t="s">
        <v>5286</v>
      </c>
      <c r="W2090">
        <v>3.62</v>
      </c>
    </row>
    <row r="2091" spans="1:23">
      <c r="A2091" t="str">
        <f>"600624"</f>
        <v>600624</v>
      </c>
      <c r="B2091" t="s">
        <v>5287</v>
      </c>
      <c r="C2091">
        <v>13.88</v>
      </c>
      <c r="D2091">
        <v>14.09</v>
      </c>
      <c r="E2091">
        <v>13.74</v>
      </c>
      <c r="F2091">
        <v>13.99</v>
      </c>
      <c r="G2091">
        <v>134324</v>
      </c>
      <c r="H2091">
        <v>187198896</v>
      </c>
      <c r="I2091">
        <v>0.6</v>
      </c>
      <c r="J2091" t="s">
        <v>26</v>
      </c>
      <c r="K2091" t="s">
        <v>727</v>
      </c>
      <c r="L2091">
        <v>0.79</v>
      </c>
      <c r="M2091">
        <v>13.94</v>
      </c>
      <c r="N2091">
        <v>66521</v>
      </c>
      <c r="O2091">
        <v>67803</v>
      </c>
      <c r="P2091">
        <v>0.98</v>
      </c>
      <c r="Q2091">
        <v>88</v>
      </c>
      <c r="R2091">
        <v>239</v>
      </c>
      <c r="S2091" t="s">
        <v>3</v>
      </c>
      <c r="T2091">
        <v>34515.5</v>
      </c>
      <c r="U2091" t="s">
        <v>5288</v>
      </c>
      <c r="V2091" t="s">
        <v>4148</v>
      </c>
      <c r="W2091">
        <v>0.79</v>
      </c>
    </row>
    <row r="2092" spans="1:23">
      <c r="A2092" t="str">
        <f>"600626"</f>
        <v>600626</v>
      </c>
      <c r="B2092" t="s">
        <v>5289</v>
      </c>
      <c r="C2092">
        <v>8.93</v>
      </c>
      <c r="D2092">
        <v>8.94</v>
      </c>
      <c r="E2092">
        <v>8.77</v>
      </c>
      <c r="F2092">
        <v>8.84</v>
      </c>
      <c r="G2092">
        <v>146873</v>
      </c>
      <c r="H2092">
        <v>129602456</v>
      </c>
      <c r="I2092">
        <v>1.03</v>
      </c>
      <c r="J2092" t="s">
        <v>55</v>
      </c>
      <c r="K2092" t="s">
        <v>727</v>
      </c>
      <c r="L2092">
        <v>-1.23</v>
      </c>
      <c r="M2092">
        <v>8.82</v>
      </c>
      <c r="N2092">
        <v>89881</v>
      </c>
      <c r="O2092">
        <v>56991</v>
      </c>
      <c r="P2092">
        <v>1.58</v>
      </c>
      <c r="Q2092">
        <v>391</v>
      </c>
      <c r="R2092">
        <v>651</v>
      </c>
      <c r="S2092" t="s">
        <v>3</v>
      </c>
      <c r="T2092">
        <v>71024.28</v>
      </c>
      <c r="U2092" t="s">
        <v>5290</v>
      </c>
      <c r="V2092" t="s">
        <v>5290</v>
      </c>
      <c r="W2092">
        <v>-1.23</v>
      </c>
    </row>
    <row r="2093" spans="1:23">
      <c r="A2093" t="str">
        <f>"600628"</f>
        <v>600628</v>
      </c>
      <c r="B2093" t="s">
        <v>5291</v>
      </c>
      <c r="C2093">
        <v>9.8800000000000008</v>
      </c>
      <c r="D2093">
        <v>9.8800000000000008</v>
      </c>
      <c r="E2093">
        <v>9.65</v>
      </c>
      <c r="F2093">
        <v>9.77</v>
      </c>
      <c r="G2093">
        <v>142706</v>
      </c>
      <c r="H2093">
        <v>138784608</v>
      </c>
      <c r="I2093">
        <v>0.97</v>
      </c>
      <c r="J2093" t="s">
        <v>297</v>
      </c>
      <c r="K2093" t="s">
        <v>727</v>
      </c>
      <c r="L2093">
        <v>-1.21</v>
      </c>
      <c r="M2093">
        <v>9.73</v>
      </c>
      <c r="N2093">
        <v>75998</v>
      </c>
      <c r="O2093">
        <v>66707</v>
      </c>
      <c r="P2093">
        <v>1.1399999999999999</v>
      </c>
      <c r="Q2093">
        <v>689</v>
      </c>
      <c r="R2093">
        <v>83</v>
      </c>
      <c r="S2093" t="s">
        <v>3</v>
      </c>
      <c r="T2093">
        <v>53179.92</v>
      </c>
      <c r="U2093" t="s">
        <v>5292</v>
      </c>
      <c r="V2093" t="s">
        <v>5292</v>
      </c>
      <c r="W2093">
        <v>-1.22</v>
      </c>
    </row>
    <row r="2094" spans="1:23">
      <c r="A2094" t="str">
        <f>"600629"</f>
        <v>600629</v>
      </c>
      <c r="B2094" t="s">
        <v>5293</v>
      </c>
      <c r="C2094" t="s">
        <v>3</v>
      </c>
      <c r="D2094" t="s">
        <v>3</v>
      </c>
      <c r="E2094" t="s">
        <v>3</v>
      </c>
      <c r="F2094">
        <v>11.9</v>
      </c>
      <c r="G2094">
        <v>0</v>
      </c>
      <c r="H2094">
        <v>0</v>
      </c>
      <c r="I2094">
        <v>0</v>
      </c>
      <c r="J2094" t="s">
        <v>41</v>
      </c>
      <c r="K2094" t="s">
        <v>727</v>
      </c>
      <c r="L2094">
        <v>0</v>
      </c>
      <c r="M2094">
        <v>11.9</v>
      </c>
      <c r="N2094">
        <v>0</v>
      </c>
      <c r="O2094">
        <v>0</v>
      </c>
      <c r="P2094" t="s">
        <v>3</v>
      </c>
      <c r="Q2094">
        <v>0</v>
      </c>
      <c r="R2094">
        <v>0</v>
      </c>
      <c r="S2094" t="s">
        <v>3</v>
      </c>
      <c r="T2094">
        <v>34799.980000000003</v>
      </c>
      <c r="U2094" t="s">
        <v>5294</v>
      </c>
      <c r="V2094" t="s">
        <v>5294</v>
      </c>
      <c r="W2094">
        <v>0</v>
      </c>
    </row>
    <row r="2095" spans="1:23">
      <c r="A2095" t="str">
        <f>"600630"</f>
        <v>600630</v>
      </c>
      <c r="B2095" t="s">
        <v>5295</v>
      </c>
      <c r="C2095">
        <v>10.67</v>
      </c>
      <c r="D2095">
        <v>10.97</v>
      </c>
      <c r="E2095">
        <v>10.62</v>
      </c>
      <c r="F2095">
        <v>10.93</v>
      </c>
      <c r="G2095">
        <v>299286</v>
      </c>
      <c r="H2095">
        <v>322386752</v>
      </c>
      <c r="I2095">
        <v>1.9</v>
      </c>
      <c r="J2095" t="s">
        <v>55</v>
      </c>
      <c r="K2095" t="s">
        <v>727</v>
      </c>
      <c r="L2095">
        <v>1.96</v>
      </c>
      <c r="M2095">
        <v>10.77</v>
      </c>
      <c r="N2095">
        <v>80394</v>
      </c>
      <c r="O2095">
        <v>218891</v>
      </c>
      <c r="P2095">
        <v>0.37</v>
      </c>
      <c r="Q2095">
        <v>103</v>
      </c>
      <c r="R2095">
        <v>96</v>
      </c>
      <c r="S2095" t="s">
        <v>3</v>
      </c>
      <c r="T2095">
        <v>42486.16</v>
      </c>
      <c r="U2095" t="s">
        <v>5296</v>
      </c>
      <c r="V2095" t="s">
        <v>5296</v>
      </c>
      <c r="W2095">
        <v>1.95</v>
      </c>
    </row>
    <row r="2096" spans="1:23">
      <c r="A2096" t="str">
        <f>"600633"</f>
        <v>600633</v>
      </c>
      <c r="B2096" t="s">
        <v>5297</v>
      </c>
      <c r="C2096">
        <v>19</v>
      </c>
      <c r="D2096">
        <v>19.399999999999999</v>
      </c>
      <c r="E2096">
        <v>18.510000000000002</v>
      </c>
      <c r="F2096">
        <v>19.3</v>
      </c>
      <c r="G2096">
        <v>500382</v>
      </c>
      <c r="H2096">
        <v>952097024</v>
      </c>
      <c r="I2096">
        <v>0.62</v>
      </c>
      <c r="J2096" t="s">
        <v>360</v>
      </c>
      <c r="K2096" t="s">
        <v>229</v>
      </c>
      <c r="L2096">
        <v>0.21</v>
      </c>
      <c r="M2096">
        <v>19.03</v>
      </c>
      <c r="N2096">
        <v>251514</v>
      </c>
      <c r="O2096">
        <v>248868</v>
      </c>
      <c r="P2096">
        <v>1.01</v>
      </c>
      <c r="Q2096">
        <v>41</v>
      </c>
      <c r="R2096">
        <v>450</v>
      </c>
      <c r="S2096" t="s">
        <v>3</v>
      </c>
      <c r="T2096">
        <v>113407.17</v>
      </c>
      <c r="U2096" t="s">
        <v>5298</v>
      </c>
      <c r="V2096" t="s">
        <v>5299</v>
      </c>
      <c r="W2096">
        <v>0.2</v>
      </c>
    </row>
    <row r="2097" spans="1:23">
      <c r="A2097" t="str">
        <f>"600634"</f>
        <v>600634</v>
      </c>
      <c r="B2097" t="s">
        <v>5300</v>
      </c>
      <c r="C2097">
        <v>16.5</v>
      </c>
      <c r="D2097">
        <v>17.53</v>
      </c>
      <c r="E2097">
        <v>16.5</v>
      </c>
      <c r="F2097">
        <v>17.11</v>
      </c>
      <c r="G2097">
        <v>121973</v>
      </c>
      <c r="H2097">
        <v>208804400</v>
      </c>
      <c r="I2097">
        <v>0.55000000000000004</v>
      </c>
      <c r="J2097" t="s">
        <v>564</v>
      </c>
      <c r="K2097" t="s">
        <v>727</v>
      </c>
      <c r="L2097">
        <v>1.72</v>
      </c>
      <c r="M2097">
        <v>17.12</v>
      </c>
      <c r="N2097">
        <v>64274</v>
      </c>
      <c r="O2097">
        <v>57698</v>
      </c>
      <c r="P2097">
        <v>1.1100000000000001</v>
      </c>
      <c r="Q2097">
        <v>31</v>
      </c>
      <c r="R2097">
        <v>27</v>
      </c>
      <c r="S2097" t="s">
        <v>3</v>
      </c>
      <c r="T2097">
        <v>13081.08</v>
      </c>
      <c r="U2097" t="s">
        <v>3709</v>
      </c>
      <c r="V2097" t="s">
        <v>5301</v>
      </c>
      <c r="W2097">
        <v>1.72</v>
      </c>
    </row>
    <row r="2098" spans="1:23">
      <c r="A2098" t="str">
        <f>"600635"</f>
        <v>600635</v>
      </c>
      <c r="B2098" t="s">
        <v>5302</v>
      </c>
      <c r="C2098">
        <v>5.24</v>
      </c>
      <c r="D2098">
        <v>5.26</v>
      </c>
      <c r="E2098">
        <v>5.18</v>
      </c>
      <c r="F2098">
        <v>5.23</v>
      </c>
      <c r="G2098">
        <v>166345</v>
      </c>
      <c r="H2098">
        <v>86700144</v>
      </c>
      <c r="I2098">
        <v>1.02</v>
      </c>
      <c r="J2098" t="s">
        <v>581</v>
      </c>
      <c r="K2098" t="s">
        <v>727</v>
      </c>
      <c r="L2098">
        <v>-0.38</v>
      </c>
      <c r="M2098">
        <v>5.21</v>
      </c>
      <c r="N2098">
        <v>88868</v>
      </c>
      <c r="O2098">
        <v>77476</v>
      </c>
      <c r="P2098">
        <v>1.1499999999999999</v>
      </c>
      <c r="Q2098">
        <v>51</v>
      </c>
      <c r="R2098">
        <v>1370</v>
      </c>
      <c r="S2098" t="s">
        <v>3</v>
      </c>
      <c r="T2098">
        <v>164486.98000000001</v>
      </c>
      <c r="U2098" t="s">
        <v>5303</v>
      </c>
      <c r="V2098" t="s">
        <v>5303</v>
      </c>
      <c r="W2098">
        <v>-0.39</v>
      </c>
    </row>
    <row r="2099" spans="1:23">
      <c r="A2099" t="str">
        <f>"600636"</f>
        <v>600636</v>
      </c>
      <c r="B2099" t="s">
        <v>5304</v>
      </c>
      <c r="C2099">
        <v>15.2</v>
      </c>
      <c r="D2099">
        <v>15.35</v>
      </c>
      <c r="E2099">
        <v>14.91</v>
      </c>
      <c r="F2099">
        <v>15.31</v>
      </c>
      <c r="G2099">
        <v>128359</v>
      </c>
      <c r="H2099">
        <v>194311328</v>
      </c>
      <c r="I2099">
        <v>0.68</v>
      </c>
      <c r="J2099" t="s">
        <v>376</v>
      </c>
      <c r="K2099" t="s">
        <v>727</v>
      </c>
      <c r="L2099">
        <v>0.66</v>
      </c>
      <c r="M2099">
        <v>15.14</v>
      </c>
      <c r="N2099">
        <v>67353</v>
      </c>
      <c r="O2099">
        <v>61005</v>
      </c>
      <c r="P2099">
        <v>1.1000000000000001</v>
      </c>
      <c r="Q2099">
        <v>109</v>
      </c>
      <c r="R2099">
        <v>464</v>
      </c>
      <c r="S2099" t="s">
        <v>3</v>
      </c>
      <c r="T2099">
        <v>38195.050000000003</v>
      </c>
      <c r="U2099" t="s">
        <v>5305</v>
      </c>
      <c r="V2099" t="s">
        <v>5305</v>
      </c>
      <c r="W2099">
        <v>0.65</v>
      </c>
    </row>
    <row r="2100" spans="1:23">
      <c r="A2100" t="str">
        <f>"600637"</f>
        <v>600637</v>
      </c>
      <c r="B2100" t="s">
        <v>5306</v>
      </c>
      <c r="C2100" t="s">
        <v>3</v>
      </c>
      <c r="D2100" t="s">
        <v>3</v>
      </c>
      <c r="E2100" t="s">
        <v>3</v>
      </c>
      <c r="F2100">
        <v>31.99</v>
      </c>
      <c r="G2100">
        <v>0</v>
      </c>
      <c r="H2100">
        <v>0</v>
      </c>
      <c r="I2100">
        <v>0</v>
      </c>
      <c r="J2100" t="s">
        <v>228</v>
      </c>
      <c r="K2100" t="s">
        <v>727</v>
      </c>
      <c r="L2100">
        <v>0</v>
      </c>
      <c r="M2100">
        <v>31.99</v>
      </c>
      <c r="N2100">
        <v>0</v>
      </c>
      <c r="O2100">
        <v>0</v>
      </c>
      <c r="P2100" t="s">
        <v>3</v>
      </c>
      <c r="Q2100">
        <v>0</v>
      </c>
      <c r="R2100">
        <v>0</v>
      </c>
      <c r="S2100" t="s">
        <v>3</v>
      </c>
      <c r="T2100">
        <v>83551.570000000007</v>
      </c>
      <c r="U2100" t="s">
        <v>5307</v>
      </c>
      <c r="V2100" t="s">
        <v>5308</v>
      </c>
      <c r="W2100">
        <v>0</v>
      </c>
    </row>
    <row r="2101" spans="1:23">
      <c r="A2101" t="str">
        <f>"600638"</f>
        <v>600638</v>
      </c>
      <c r="B2101" t="s">
        <v>5309</v>
      </c>
      <c r="C2101">
        <v>13.92</v>
      </c>
      <c r="D2101">
        <v>14.06</v>
      </c>
      <c r="E2101">
        <v>13.82</v>
      </c>
      <c r="F2101">
        <v>13.96</v>
      </c>
      <c r="G2101">
        <v>30756</v>
      </c>
      <c r="H2101">
        <v>42904296</v>
      </c>
      <c r="I2101">
        <v>0.88</v>
      </c>
      <c r="J2101" t="s">
        <v>15</v>
      </c>
      <c r="K2101" t="s">
        <v>727</v>
      </c>
      <c r="L2101">
        <v>0.36</v>
      </c>
      <c r="M2101">
        <v>13.95</v>
      </c>
      <c r="N2101">
        <v>16584</v>
      </c>
      <c r="O2101">
        <v>14171</v>
      </c>
      <c r="P2101">
        <v>1.17</v>
      </c>
      <c r="Q2101">
        <v>26</v>
      </c>
      <c r="R2101">
        <v>146</v>
      </c>
      <c r="S2101" t="s">
        <v>3</v>
      </c>
      <c r="T2101">
        <v>56116.39</v>
      </c>
      <c r="U2101" t="s">
        <v>5310</v>
      </c>
      <c r="V2101" t="s">
        <v>5310</v>
      </c>
      <c r="W2101">
        <v>0.36</v>
      </c>
    </row>
    <row r="2102" spans="1:23">
      <c r="A2102" t="str">
        <f>"600639"</f>
        <v>600639</v>
      </c>
      <c r="B2102" t="s">
        <v>5311</v>
      </c>
      <c r="C2102">
        <v>11.78</v>
      </c>
      <c r="D2102">
        <v>11.92</v>
      </c>
      <c r="E2102">
        <v>11.64</v>
      </c>
      <c r="F2102">
        <v>11.82</v>
      </c>
      <c r="G2102">
        <v>84711</v>
      </c>
      <c r="H2102">
        <v>99639160</v>
      </c>
      <c r="I2102">
        <v>1.1100000000000001</v>
      </c>
      <c r="J2102" t="s">
        <v>663</v>
      </c>
      <c r="K2102" t="s">
        <v>727</v>
      </c>
      <c r="L2102">
        <v>0.34</v>
      </c>
      <c r="M2102">
        <v>11.76</v>
      </c>
      <c r="N2102">
        <v>46369</v>
      </c>
      <c r="O2102">
        <v>38341</v>
      </c>
      <c r="P2102">
        <v>1.21</v>
      </c>
      <c r="Q2102">
        <v>40</v>
      </c>
      <c r="R2102">
        <v>231</v>
      </c>
      <c r="S2102" t="s">
        <v>3</v>
      </c>
      <c r="T2102">
        <v>65664.88</v>
      </c>
      <c r="U2102" t="s">
        <v>5312</v>
      </c>
      <c r="V2102" t="s">
        <v>5313</v>
      </c>
      <c r="W2102">
        <v>0.34</v>
      </c>
    </row>
    <row r="2103" spans="1:23">
      <c r="A2103" t="str">
        <f>"600640"</f>
        <v>600640</v>
      </c>
      <c r="B2103" t="s">
        <v>5314</v>
      </c>
      <c r="C2103">
        <v>20.53</v>
      </c>
      <c r="D2103">
        <v>20.75</v>
      </c>
      <c r="E2103">
        <v>20.2</v>
      </c>
      <c r="F2103">
        <v>20.6</v>
      </c>
      <c r="G2103">
        <v>87481</v>
      </c>
      <c r="H2103">
        <v>179314672</v>
      </c>
      <c r="I2103">
        <v>0.8</v>
      </c>
      <c r="J2103" t="s">
        <v>22</v>
      </c>
      <c r="K2103" t="s">
        <v>727</v>
      </c>
      <c r="L2103">
        <v>0.59</v>
      </c>
      <c r="M2103">
        <v>20.5</v>
      </c>
      <c r="N2103">
        <v>46050</v>
      </c>
      <c r="O2103">
        <v>41430</v>
      </c>
      <c r="P2103">
        <v>1.1100000000000001</v>
      </c>
      <c r="Q2103">
        <v>269</v>
      </c>
      <c r="R2103">
        <v>83</v>
      </c>
      <c r="S2103" t="s">
        <v>3</v>
      </c>
      <c r="T2103">
        <v>20640.63</v>
      </c>
      <c r="U2103" t="s">
        <v>5315</v>
      </c>
      <c r="V2103" t="s">
        <v>5316</v>
      </c>
      <c r="W2103">
        <v>0.57999999999999996</v>
      </c>
    </row>
    <row r="2104" spans="1:23">
      <c r="A2104" t="str">
        <f>"600641"</f>
        <v>600641</v>
      </c>
      <c r="B2104" t="s">
        <v>5317</v>
      </c>
      <c r="C2104">
        <v>4.46</v>
      </c>
      <c r="D2104">
        <v>4.47</v>
      </c>
      <c r="E2104">
        <v>4.41</v>
      </c>
      <c r="F2104">
        <v>4.43</v>
      </c>
      <c r="G2104">
        <v>52572</v>
      </c>
      <c r="H2104">
        <v>23295148</v>
      </c>
      <c r="I2104">
        <v>0.78</v>
      </c>
      <c r="J2104" t="s">
        <v>15</v>
      </c>
      <c r="K2104" t="s">
        <v>727</v>
      </c>
      <c r="L2104">
        <v>-0.45</v>
      </c>
      <c r="M2104">
        <v>4.43</v>
      </c>
      <c r="N2104">
        <v>33001</v>
      </c>
      <c r="O2104">
        <v>19571</v>
      </c>
      <c r="P2104">
        <v>1.69</v>
      </c>
      <c r="Q2104">
        <v>609</v>
      </c>
      <c r="R2104">
        <v>930</v>
      </c>
      <c r="S2104" t="s">
        <v>3</v>
      </c>
      <c r="T2104">
        <v>80615.88</v>
      </c>
      <c r="U2104" t="s">
        <v>5318</v>
      </c>
      <c r="V2104" t="s">
        <v>5318</v>
      </c>
      <c r="W2104">
        <v>-0.45</v>
      </c>
    </row>
    <row r="2105" spans="1:23">
      <c r="A2105" t="str">
        <f>"600642"</f>
        <v>600642</v>
      </c>
      <c r="B2105" t="s">
        <v>5319</v>
      </c>
      <c r="C2105">
        <v>4.5199999999999996</v>
      </c>
      <c r="D2105">
        <v>4.53</v>
      </c>
      <c r="E2105">
        <v>4.4800000000000004</v>
      </c>
      <c r="F2105">
        <v>4.5</v>
      </c>
      <c r="G2105">
        <v>260379</v>
      </c>
      <c r="H2105">
        <v>117176888</v>
      </c>
      <c r="I2105">
        <v>1.22</v>
      </c>
      <c r="J2105" t="s">
        <v>87</v>
      </c>
      <c r="K2105" t="s">
        <v>727</v>
      </c>
      <c r="L2105">
        <v>-0.44</v>
      </c>
      <c r="M2105">
        <v>4.5</v>
      </c>
      <c r="N2105">
        <v>167795</v>
      </c>
      <c r="O2105">
        <v>92584</v>
      </c>
      <c r="P2105">
        <v>1.81</v>
      </c>
      <c r="Q2105">
        <v>5625</v>
      </c>
      <c r="R2105">
        <v>8356</v>
      </c>
      <c r="S2105" t="s">
        <v>3</v>
      </c>
      <c r="T2105">
        <v>455203.84000000003</v>
      </c>
      <c r="U2105" t="s">
        <v>5320</v>
      </c>
      <c r="V2105" t="s">
        <v>5320</v>
      </c>
      <c r="W2105">
        <v>-0.45</v>
      </c>
    </row>
    <row r="2106" spans="1:23">
      <c r="A2106" t="str">
        <f>"600643"</f>
        <v>600643</v>
      </c>
      <c r="B2106" t="s">
        <v>5321</v>
      </c>
      <c r="C2106">
        <v>10.39</v>
      </c>
      <c r="D2106">
        <v>10.47</v>
      </c>
      <c r="E2106">
        <v>10.31</v>
      </c>
      <c r="F2106">
        <v>10.41</v>
      </c>
      <c r="G2106">
        <v>223205</v>
      </c>
      <c r="H2106">
        <v>231714640</v>
      </c>
      <c r="I2106">
        <v>0.85</v>
      </c>
      <c r="J2106" t="s">
        <v>293</v>
      </c>
      <c r="K2106" t="s">
        <v>727</v>
      </c>
      <c r="L2106">
        <v>0</v>
      </c>
      <c r="M2106">
        <v>10.38</v>
      </c>
      <c r="N2106">
        <v>114514</v>
      </c>
      <c r="O2106">
        <v>108691</v>
      </c>
      <c r="P2106">
        <v>1.05</v>
      </c>
      <c r="Q2106">
        <v>450</v>
      </c>
      <c r="R2106">
        <v>857</v>
      </c>
      <c r="S2106" t="s">
        <v>3</v>
      </c>
      <c r="T2106">
        <v>81798.34</v>
      </c>
      <c r="U2106" t="s">
        <v>5322</v>
      </c>
      <c r="V2106" t="s">
        <v>5323</v>
      </c>
      <c r="W2106">
        <v>0</v>
      </c>
    </row>
    <row r="2107" spans="1:23">
      <c r="A2107" t="str">
        <f>"600644"</f>
        <v>600644</v>
      </c>
      <c r="B2107" t="s">
        <v>5324</v>
      </c>
      <c r="C2107">
        <v>9.3000000000000007</v>
      </c>
      <c r="D2107">
        <v>9.48</v>
      </c>
      <c r="E2107">
        <v>9.2100000000000009</v>
      </c>
      <c r="F2107">
        <v>9.26</v>
      </c>
      <c r="G2107">
        <v>86283</v>
      </c>
      <c r="H2107">
        <v>80711232</v>
      </c>
      <c r="I2107">
        <v>1.24</v>
      </c>
      <c r="J2107" t="s">
        <v>852</v>
      </c>
      <c r="K2107" t="s">
        <v>225</v>
      </c>
      <c r="L2107">
        <v>-0.32</v>
      </c>
      <c r="M2107">
        <v>9.35</v>
      </c>
      <c r="N2107">
        <v>46889</v>
      </c>
      <c r="O2107">
        <v>39394</v>
      </c>
      <c r="P2107">
        <v>1.19</v>
      </c>
      <c r="Q2107">
        <v>307</v>
      </c>
      <c r="R2107">
        <v>25</v>
      </c>
      <c r="S2107" t="s">
        <v>3</v>
      </c>
      <c r="T2107">
        <v>32648</v>
      </c>
      <c r="U2107" t="s">
        <v>5325</v>
      </c>
      <c r="V2107" t="s">
        <v>5325</v>
      </c>
      <c r="W2107">
        <v>-0.33</v>
      </c>
    </row>
    <row r="2108" spans="1:23">
      <c r="A2108" t="str">
        <f>"600645"</f>
        <v>600645</v>
      </c>
      <c r="B2108" t="s">
        <v>5326</v>
      </c>
      <c r="C2108">
        <v>35.89</v>
      </c>
      <c r="D2108">
        <v>36.01</v>
      </c>
      <c r="E2108">
        <v>34.49</v>
      </c>
      <c r="F2108">
        <v>34.700000000000003</v>
      </c>
      <c r="G2108">
        <v>113460</v>
      </c>
      <c r="H2108">
        <v>398449888</v>
      </c>
      <c r="I2108">
        <v>0.99</v>
      </c>
      <c r="J2108" t="s">
        <v>11</v>
      </c>
      <c r="K2108" t="s">
        <v>442</v>
      </c>
      <c r="L2108">
        <v>-1.42</v>
      </c>
      <c r="M2108">
        <v>35.119999999999997</v>
      </c>
      <c r="N2108">
        <v>62485</v>
      </c>
      <c r="O2108">
        <v>50974</v>
      </c>
      <c r="P2108">
        <v>1.23</v>
      </c>
      <c r="Q2108">
        <v>18</v>
      </c>
      <c r="R2108">
        <v>36</v>
      </c>
      <c r="S2108" t="s">
        <v>3</v>
      </c>
      <c r="T2108">
        <v>32486.23</v>
      </c>
      <c r="U2108" t="s">
        <v>5327</v>
      </c>
      <c r="V2108" t="s">
        <v>5328</v>
      </c>
      <c r="W2108">
        <v>-1.42</v>
      </c>
    </row>
    <row r="2109" spans="1:23">
      <c r="A2109" t="str">
        <f>"600647"</f>
        <v>600647</v>
      </c>
      <c r="B2109" t="s">
        <v>5329</v>
      </c>
      <c r="C2109" t="s">
        <v>3</v>
      </c>
      <c r="D2109" t="s">
        <v>3</v>
      </c>
      <c r="E2109" t="s">
        <v>3</v>
      </c>
      <c r="F2109">
        <v>12.62</v>
      </c>
      <c r="G2109">
        <v>0</v>
      </c>
      <c r="H2109">
        <v>0</v>
      </c>
      <c r="I2109">
        <v>0</v>
      </c>
      <c r="J2109" t="s">
        <v>26</v>
      </c>
      <c r="K2109" t="s">
        <v>727</v>
      </c>
      <c r="L2109">
        <v>0</v>
      </c>
      <c r="M2109">
        <v>12.62</v>
      </c>
      <c r="N2109">
        <v>0</v>
      </c>
      <c r="O2109">
        <v>0</v>
      </c>
      <c r="P2109" t="s">
        <v>3</v>
      </c>
      <c r="Q2109">
        <v>0</v>
      </c>
      <c r="R2109">
        <v>0</v>
      </c>
      <c r="S2109" t="s">
        <v>3</v>
      </c>
      <c r="T2109">
        <v>13914.36</v>
      </c>
      <c r="U2109" t="s">
        <v>5330</v>
      </c>
      <c r="V2109" t="s">
        <v>5330</v>
      </c>
      <c r="W2109">
        <v>0</v>
      </c>
    </row>
    <row r="2110" spans="1:23">
      <c r="A2110" t="str">
        <f>"600648"</f>
        <v>600648</v>
      </c>
      <c r="B2110" t="s">
        <v>5331</v>
      </c>
      <c r="C2110">
        <v>29.68</v>
      </c>
      <c r="D2110">
        <v>30.24</v>
      </c>
      <c r="E2110">
        <v>29.42</v>
      </c>
      <c r="F2110">
        <v>30.06</v>
      </c>
      <c r="G2110">
        <v>109140</v>
      </c>
      <c r="H2110">
        <v>326678784</v>
      </c>
      <c r="I2110">
        <v>1.1200000000000001</v>
      </c>
      <c r="J2110" t="s">
        <v>663</v>
      </c>
      <c r="K2110" t="s">
        <v>727</v>
      </c>
      <c r="L2110">
        <v>1.18</v>
      </c>
      <c r="M2110">
        <v>29.93</v>
      </c>
      <c r="N2110">
        <v>53643</v>
      </c>
      <c r="O2110">
        <v>55496</v>
      </c>
      <c r="P2110">
        <v>0.97</v>
      </c>
      <c r="Q2110">
        <v>31</v>
      </c>
      <c r="R2110">
        <v>268</v>
      </c>
      <c r="S2110" t="s">
        <v>3</v>
      </c>
      <c r="T2110">
        <v>81022.34</v>
      </c>
      <c r="U2110" t="s">
        <v>5332</v>
      </c>
      <c r="V2110" t="s">
        <v>5333</v>
      </c>
      <c r="W2110">
        <v>1.17</v>
      </c>
    </row>
    <row r="2111" spans="1:23">
      <c r="A2111" t="str">
        <f>"600649"</f>
        <v>600649</v>
      </c>
      <c r="B2111" t="s">
        <v>5334</v>
      </c>
      <c r="C2111">
        <v>6.98</v>
      </c>
      <c r="D2111">
        <v>7.01</v>
      </c>
      <c r="E2111">
        <v>6.89</v>
      </c>
      <c r="F2111">
        <v>6.93</v>
      </c>
      <c r="G2111">
        <v>245426</v>
      </c>
      <c r="H2111">
        <v>170254544</v>
      </c>
      <c r="I2111">
        <v>1.02</v>
      </c>
      <c r="J2111" t="s">
        <v>609</v>
      </c>
      <c r="K2111" t="s">
        <v>727</v>
      </c>
      <c r="L2111">
        <v>-0.72</v>
      </c>
      <c r="M2111">
        <v>6.94</v>
      </c>
      <c r="N2111">
        <v>145166</v>
      </c>
      <c r="O2111">
        <v>100259</v>
      </c>
      <c r="P2111">
        <v>1.45</v>
      </c>
      <c r="Q2111">
        <v>1156</v>
      </c>
      <c r="R2111">
        <v>310</v>
      </c>
      <c r="S2111" t="s">
        <v>3</v>
      </c>
      <c r="T2111">
        <v>298752.34000000003</v>
      </c>
      <c r="U2111" t="s">
        <v>5335</v>
      </c>
      <c r="V2111" t="s">
        <v>5335</v>
      </c>
      <c r="W2111">
        <v>-0.72</v>
      </c>
    </row>
    <row r="2112" spans="1:23">
      <c r="A2112" t="str">
        <f>"600650"</f>
        <v>600650</v>
      </c>
      <c r="B2112" t="s">
        <v>5336</v>
      </c>
      <c r="C2112">
        <v>10.31</v>
      </c>
      <c r="D2112">
        <v>10.38</v>
      </c>
      <c r="E2112">
        <v>10.199999999999999</v>
      </c>
      <c r="F2112">
        <v>10.34</v>
      </c>
      <c r="G2112">
        <v>57027</v>
      </c>
      <c r="H2112">
        <v>58730080</v>
      </c>
      <c r="I2112">
        <v>0.76</v>
      </c>
      <c r="J2112" t="s">
        <v>314</v>
      </c>
      <c r="K2112" t="s">
        <v>727</v>
      </c>
      <c r="L2112">
        <v>0.39</v>
      </c>
      <c r="M2112">
        <v>10.3</v>
      </c>
      <c r="N2112">
        <v>29234</v>
      </c>
      <c r="O2112">
        <v>27792</v>
      </c>
      <c r="P2112">
        <v>1.05</v>
      </c>
      <c r="Q2112">
        <v>2</v>
      </c>
      <c r="R2112">
        <v>467</v>
      </c>
      <c r="S2112" t="s">
        <v>3</v>
      </c>
      <c r="T2112">
        <v>39056.01</v>
      </c>
      <c r="U2112" t="s">
        <v>5337</v>
      </c>
      <c r="V2112" t="s">
        <v>5338</v>
      </c>
      <c r="W2112">
        <v>0.38</v>
      </c>
    </row>
    <row r="2113" spans="1:23">
      <c r="A2113" t="str">
        <f>"600651"</f>
        <v>600651</v>
      </c>
      <c r="B2113" t="s">
        <v>5339</v>
      </c>
      <c r="C2113">
        <v>8.24</v>
      </c>
      <c r="D2113">
        <v>8.2899999999999991</v>
      </c>
      <c r="E2113">
        <v>8.15</v>
      </c>
      <c r="F2113">
        <v>8.1999999999999993</v>
      </c>
      <c r="G2113">
        <v>76913</v>
      </c>
      <c r="H2113">
        <v>62971640</v>
      </c>
      <c r="I2113">
        <v>0.76</v>
      </c>
      <c r="J2113" t="s">
        <v>617</v>
      </c>
      <c r="K2113" t="s">
        <v>727</v>
      </c>
      <c r="L2113">
        <v>-0.61</v>
      </c>
      <c r="M2113">
        <v>8.19</v>
      </c>
      <c r="N2113">
        <v>50413</v>
      </c>
      <c r="O2113">
        <v>26499</v>
      </c>
      <c r="P2113">
        <v>1.9</v>
      </c>
      <c r="Q2113">
        <v>58</v>
      </c>
      <c r="R2113">
        <v>119</v>
      </c>
      <c r="S2113" t="s">
        <v>3</v>
      </c>
      <c r="T2113">
        <v>73906.53</v>
      </c>
      <c r="U2113" t="s">
        <v>5340</v>
      </c>
      <c r="V2113" t="s">
        <v>5340</v>
      </c>
      <c r="W2113">
        <v>-0.61</v>
      </c>
    </row>
    <row r="2114" spans="1:23">
      <c r="A2114" t="str">
        <f>"600652"</f>
        <v>600652</v>
      </c>
      <c r="B2114" t="s">
        <v>5341</v>
      </c>
      <c r="C2114">
        <v>7.88</v>
      </c>
      <c r="D2114">
        <v>7.98</v>
      </c>
      <c r="E2114">
        <v>7.78</v>
      </c>
      <c r="F2114">
        <v>7.91</v>
      </c>
      <c r="G2114">
        <v>212242</v>
      </c>
      <c r="H2114">
        <v>167179328</v>
      </c>
      <c r="I2114">
        <v>0.76</v>
      </c>
      <c r="J2114" t="s">
        <v>482</v>
      </c>
      <c r="K2114" t="s">
        <v>727</v>
      </c>
      <c r="L2114">
        <v>0.76</v>
      </c>
      <c r="M2114">
        <v>7.88</v>
      </c>
      <c r="N2114">
        <v>123595</v>
      </c>
      <c r="O2114">
        <v>88646</v>
      </c>
      <c r="P2114">
        <v>1.39</v>
      </c>
      <c r="Q2114">
        <v>79</v>
      </c>
      <c r="R2114">
        <v>2319</v>
      </c>
      <c r="S2114" t="s">
        <v>3</v>
      </c>
      <c r="T2114">
        <v>55700.26</v>
      </c>
      <c r="U2114" t="s">
        <v>4851</v>
      </c>
      <c r="V2114" t="s">
        <v>4851</v>
      </c>
      <c r="W2114">
        <v>0.76</v>
      </c>
    </row>
    <row r="2115" spans="1:23">
      <c r="A2115" t="str">
        <f>"600653"</f>
        <v>600653</v>
      </c>
      <c r="B2115" t="s">
        <v>5342</v>
      </c>
      <c r="C2115">
        <v>3.01</v>
      </c>
      <c r="D2115">
        <v>3.08</v>
      </c>
      <c r="E2115">
        <v>3</v>
      </c>
      <c r="F2115">
        <v>3.05</v>
      </c>
      <c r="G2115">
        <v>250071</v>
      </c>
      <c r="H2115">
        <v>76036256</v>
      </c>
      <c r="I2115">
        <v>1.47</v>
      </c>
      <c r="J2115" t="s">
        <v>79</v>
      </c>
      <c r="K2115" t="s">
        <v>727</v>
      </c>
      <c r="L2115">
        <v>0.99</v>
      </c>
      <c r="M2115">
        <v>3.04</v>
      </c>
      <c r="N2115">
        <v>106048</v>
      </c>
      <c r="O2115">
        <v>144023</v>
      </c>
      <c r="P2115">
        <v>0.74</v>
      </c>
      <c r="Q2115">
        <v>184</v>
      </c>
      <c r="R2115">
        <v>11112</v>
      </c>
      <c r="S2115" t="s">
        <v>3</v>
      </c>
      <c r="T2115">
        <v>174638.03</v>
      </c>
      <c r="U2115" t="s">
        <v>5343</v>
      </c>
      <c r="V2115" t="s">
        <v>5343</v>
      </c>
      <c r="W2115">
        <v>0.99</v>
      </c>
    </row>
    <row r="2116" spans="1:23">
      <c r="A2116" t="str">
        <f>"600654"</f>
        <v>600654</v>
      </c>
      <c r="B2116" t="s">
        <v>5344</v>
      </c>
      <c r="C2116">
        <v>10.54</v>
      </c>
      <c r="D2116">
        <v>10.85</v>
      </c>
      <c r="E2116">
        <v>10.47</v>
      </c>
      <c r="F2116">
        <v>10.59</v>
      </c>
      <c r="G2116">
        <v>129788</v>
      </c>
      <c r="H2116">
        <v>138372800</v>
      </c>
      <c r="I2116">
        <v>0.91</v>
      </c>
      <c r="J2116" t="s">
        <v>617</v>
      </c>
      <c r="K2116" t="s">
        <v>727</v>
      </c>
      <c r="L2116">
        <v>0.47</v>
      </c>
      <c r="M2116">
        <v>10.66</v>
      </c>
      <c r="N2116">
        <v>67605</v>
      </c>
      <c r="O2116">
        <v>62183</v>
      </c>
      <c r="P2116">
        <v>1.0900000000000001</v>
      </c>
      <c r="Q2116">
        <v>1401</v>
      </c>
      <c r="R2116">
        <v>50</v>
      </c>
      <c r="S2116" t="s">
        <v>3</v>
      </c>
      <c r="T2116">
        <v>75504.31</v>
      </c>
      <c r="U2116" t="s">
        <v>5345</v>
      </c>
      <c r="V2116" t="s">
        <v>5345</v>
      </c>
      <c r="W2116">
        <v>0.47</v>
      </c>
    </row>
    <row r="2117" spans="1:23">
      <c r="A2117" t="str">
        <f>"600655"</f>
        <v>600655</v>
      </c>
      <c r="B2117" t="s">
        <v>5346</v>
      </c>
      <c r="C2117">
        <v>8.14</v>
      </c>
      <c r="D2117">
        <v>8.2899999999999991</v>
      </c>
      <c r="E2117">
        <v>8.09</v>
      </c>
      <c r="F2117">
        <v>8.17</v>
      </c>
      <c r="G2117">
        <v>123072</v>
      </c>
      <c r="H2117">
        <v>100853272</v>
      </c>
      <c r="I2117">
        <v>1.36</v>
      </c>
      <c r="J2117" t="s">
        <v>297</v>
      </c>
      <c r="K2117" t="s">
        <v>727</v>
      </c>
      <c r="L2117">
        <v>0.37</v>
      </c>
      <c r="M2117">
        <v>8.19</v>
      </c>
      <c r="N2117">
        <v>58957</v>
      </c>
      <c r="O2117">
        <v>64114</v>
      </c>
      <c r="P2117">
        <v>0.92</v>
      </c>
      <c r="Q2117">
        <v>17</v>
      </c>
      <c r="R2117">
        <v>496</v>
      </c>
      <c r="S2117" t="s">
        <v>3</v>
      </c>
      <c r="T2117">
        <v>143732.20000000001</v>
      </c>
      <c r="U2117" t="s">
        <v>5347</v>
      </c>
      <c r="V2117" t="s">
        <v>5347</v>
      </c>
      <c r="W2117">
        <v>0.36</v>
      </c>
    </row>
    <row r="2118" spans="1:23">
      <c r="A2118" t="str">
        <f>"600656"</f>
        <v>600656</v>
      </c>
      <c r="B2118" t="s">
        <v>5348</v>
      </c>
      <c r="C2118">
        <v>8.19</v>
      </c>
      <c r="D2118">
        <v>8.5500000000000007</v>
      </c>
      <c r="E2118">
        <v>8.1</v>
      </c>
      <c r="F2118">
        <v>8.52</v>
      </c>
      <c r="G2118">
        <v>116490</v>
      </c>
      <c r="H2118">
        <v>97307728</v>
      </c>
      <c r="I2118">
        <v>1.43</v>
      </c>
      <c r="J2118" t="s">
        <v>26</v>
      </c>
      <c r="K2118" t="s">
        <v>211</v>
      </c>
      <c r="L2118">
        <v>4.03</v>
      </c>
      <c r="M2118">
        <v>8.35</v>
      </c>
      <c r="N2118">
        <v>40224</v>
      </c>
      <c r="O2118">
        <v>76265</v>
      </c>
      <c r="P2118">
        <v>0.53</v>
      </c>
      <c r="Q2118">
        <v>497</v>
      </c>
      <c r="R2118">
        <v>137</v>
      </c>
      <c r="S2118" t="s">
        <v>3</v>
      </c>
      <c r="T2118">
        <v>19032.830000000002</v>
      </c>
      <c r="U2118" t="s">
        <v>5349</v>
      </c>
      <c r="V2118" t="s">
        <v>5349</v>
      </c>
      <c r="W2118">
        <v>4.03</v>
      </c>
    </row>
    <row r="2119" spans="1:23">
      <c r="A2119" t="str">
        <f>"600657"</f>
        <v>600657</v>
      </c>
      <c r="B2119" t="s">
        <v>5350</v>
      </c>
      <c r="C2119">
        <v>3.74</v>
      </c>
      <c r="D2119">
        <v>3.77</v>
      </c>
      <c r="E2119">
        <v>3.71</v>
      </c>
      <c r="F2119">
        <v>3.77</v>
      </c>
      <c r="G2119">
        <v>124295</v>
      </c>
      <c r="H2119">
        <v>46513108</v>
      </c>
      <c r="I2119">
        <v>0.86</v>
      </c>
      <c r="J2119" t="s">
        <v>7</v>
      </c>
      <c r="K2119" t="s">
        <v>34</v>
      </c>
      <c r="L2119">
        <v>0.8</v>
      </c>
      <c r="M2119">
        <v>3.74</v>
      </c>
      <c r="N2119">
        <v>54957</v>
      </c>
      <c r="O2119">
        <v>69337</v>
      </c>
      <c r="P2119">
        <v>0.79</v>
      </c>
      <c r="Q2119">
        <v>990</v>
      </c>
      <c r="R2119">
        <v>628</v>
      </c>
      <c r="S2119" t="s">
        <v>3</v>
      </c>
      <c r="T2119">
        <v>152426.04999999999</v>
      </c>
      <c r="U2119" t="s">
        <v>5351</v>
      </c>
      <c r="V2119" t="s">
        <v>5351</v>
      </c>
      <c r="W2119">
        <v>0.8</v>
      </c>
    </row>
    <row r="2120" spans="1:23">
      <c r="A2120" t="str">
        <f>"600658"</f>
        <v>600658</v>
      </c>
      <c r="B2120" t="s">
        <v>5352</v>
      </c>
      <c r="C2120">
        <v>12.92</v>
      </c>
      <c r="D2120">
        <v>13.33</v>
      </c>
      <c r="E2120">
        <v>12.6</v>
      </c>
      <c r="F2120">
        <v>13</v>
      </c>
      <c r="G2120">
        <v>116041</v>
      </c>
      <c r="H2120">
        <v>151121200</v>
      </c>
      <c r="I2120">
        <v>2.0099999999999998</v>
      </c>
      <c r="J2120" t="s">
        <v>663</v>
      </c>
      <c r="K2120" t="s">
        <v>34</v>
      </c>
      <c r="L2120">
        <v>1.4</v>
      </c>
      <c r="M2120">
        <v>13.02</v>
      </c>
      <c r="N2120">
        <v>58284</v>
      </c>
      <c r="O2120">
        <v>57756</v>
      </c>
      <c r="P2120">
        <v>1.01</v>
      </c>
      <c r="Q2120">
        <v>58</v>
      </c>
      <c r="R2120">
        <v>90</v>
      </c>
      <c r="S2120" t="s">
        <v>3</v>
      </c>
      <c r="T2120">
        <v>58009.73</v>
      </c>
      <c r="U2120" t="s">
        <v>5353</v>
      </c>
      <c r="V2120" t="s">
        <v>5353</v>
      </c>
      <c r="W2120">
        <v>1.4</v>
      </c>
    </row>
    <row r="2121" spans="1:23">
      <c r="A2121" t="str">
        <f>"600660"</f>
        <v>600660</v>
      </c>
      <c r="B2121" t="s">
        <v>5354</v>
      </c>
      <c r="C2121">
        <v>10.49</v>
      </c>
      <c r="D2121">
        <v>10.6</v>
      </c>
      <c r="E2121">
        <v>10.38</v>
      </c>
      <c r="F2121">
        <v>10.59</v>
      </c>
      <c r="G2121">
        <v>163489</v>
      </c>
      <c r="H2121">
        <v>171526272</v>
      </c>
      <c r="I2121">
        <v>0.96</v>
      </c>
      <c r="J2121" t="s">
        <v>98</v>
      </c>
      <c r="K2121" t="s">
        <v>414</v>
      </c>
      <c r="L2121">
        <v>1.05</v>
      </c>
      <c r="M2121">
        <v>10.49</v>
      </c>
      <c r="N2121">
        <v>66754</v>
      </c>
      <c r="O2121">
        <v>96735</v>
      </c>
      <c r="P2121">
        <v>0.69</v>
      </c>
      <c r="Q2121">
        <v>478</v>
      </c>
      <c r="R2121">
        <v>77</v>
      </c>
      <c r="S2121" t="s">
        <v>3</v>
      </c>
      <c r="T2121">
        <v>200298.64</v>
      </c>
      <c r="U2121" t="s">
        <v>5355</v>
      </c>
      <c r="V2121" t="s">
        <v>5355</v>
      </c>
      <c r="W2121">
        <v>1.05</v>
      </c>
    </row>
    <row r="2122" spans="1:23">
      <c r="A2122" t="str">
        <f>"600661"</f>
        <v>600661</v>
      </c>
      <c r="B2122" t="s">
        <v>5356</v>
      </c>
      <c r="C2122">
        <v>29.88</v>
      </c>
      <c r="D2122">
        <v>30.3</v>
      </c>
      <c r="E2122">
        <v>29.7</v>
      </c>
      <c r="F2122">
        <v>29.9</v>
      </c>
      <c r="G2122">
        <v>17593</v>
      </c>
      <c r="H2122">
        <v>52804584</v>
      </c>
      <c r="I2122">
        <v>0.59</v>
      </c>
      <c r="J2122" t="s">
        <v>51</v>
      </c>
      <c r="K2122" t="s">
        <v>727</v>
      </c>
      <c r="L2122">
        <v>0.37</v>
      </c>
      <c r="M2122">
        <v>30.02</v>
      </c>
      <c r="N2122">
        <v>10488</v>
      </c>
      <c r="O2122">
        <v>7104</v>
      </c>
      <c r="P2122">
        <v>1.48</v>
      </c>
      <c r="Q2122">
        <v>11</v>
      </c>
      <c r="R2122">
        <v>106</v>
      </c>
      <c r="S2122" t="s">
        <v>3</v>
      </c>
      <c r="T2122">
        <v>17367.669999999998</v>
      </c>
      <c r="U2122" t="s">
        <v>5357</v>
      </c>
      <c r="V2122" t="s">
        <v>1398</v>
      </c>
      <c r="W2122">
        <v>0.36</v>
      </c>
    </row>
    <row r="2123" spans="1:23">
      <c r="A2123" t="str">
        <f>"600662"</f>
        <v>600662</v>
      </c>
      <c r="B2123" t="s">
        <v>5358</v>
      </c>
      <c r="C2123">
        <v>7.74</v>
      </c>
      <c r="D2123">
        <v>7.88</v>
      </c>
      <c r="E2123">
        <v>7.72</v>
      </c>
      <c r="F2123">
        <v>7.74</v>
      </c>
      <c r="G2123">
        <v>245044</v>
      </c>
      <c r="H2123">
        <v>190871888</v>
      </c>
      <c r="I2123">
        <v>1.42</v>
      </c>
      <c r="J2123" t="s">
        <v>314</v>
      </c>
      <c r="K2123" t="s">
        <v>727</v>
      </c>
      <c r="L2123">
        <v>0.13</v>
      </c>
      <c r="M2123">
        <v>7.79</v>
      </c>
      <c r="N2123">
        <v>127176</v>
      </c>
      <c r="O2123">
        <v>117868</v>
      </c>
      <c r="P2123">
        <v>1.08</v>
      </c>
      <c r="Q2123">
        <v>910</v>
      </c>
      <c r="R2123">
        <v>992</v>
      </c>
      <c r="S2123" t="s">
        <v>3</v>
      </c>
      <c r="T2123">
        <v>105336.21</v>
      </c>
      <c r="U2123" t="s">
        <v>5359</v>
      </c>
      <c r="V2123" t="s">
        <v>5359</v>
      </c>
      <c r="W2123">
        <v>0.13</v>
      </c>
    </row>
    <row r="2124" spans="1:23">
      <c r="A2124" t="str">
        <f>"600663"</f>
        <v>600663</v>
      </c>
      <c r="B2124" t="s">
        <v>5360</v>
      </c>
      <c r="C2124">
        <v>17.79</v>
      </c>
      <c r="D2124">
        <v>17.88</v>
      </c>
      <c r="E2124">
        <v>17.559999999999999</v>
      </c>
      <c r="F2124">
        <v>17.8</v>
      </c>
      <c r="G2124">
        <v>70931</v>
      </c>
      <c r="H2124">
        <v>125648024</v>
      </c>
      <c r="I2124">
        <v>1.02</v>
      </c>
      <c r="J2124" t="s">
        <v>663</v>
      </c>
      <c r="K2124" t="s">
        <v>727</v>
      </c>
      <c r="L2124">
        <v>0</v>
      </c>
      <c r="M2124">
        <v>17.71</v>
      </c>
      <c r="N2124">
        <v>34969</v>
      </c>
      <c r="O2124">
        <v>35962</v>
      </c>
      <c r="P2124">
        <v>0.97</v>
      </c>
      <c r="Q2124">
        <v>353</v>
      </c>
      <c r="R2124">
        <v>177</v>
      </c>
      <c r="S2124" t="s">
        <v>3</v>
      </c>
      <c r="T2124">
        <v>135808.41</v>
      </c>
      <c r="U2124" t="s">
        <v>5361</v>
      </c>
      <c r="V2124" t="s">
        <v>5362</v>
      </c>
      <c r="W2124">
        <v>0</v>
      </c>
    </row>
    <row r="2125" spans="1:23">
      <c r="A2125" t="str">
        <f>"600664"</f>
        <v>600664</v>
      </c>
      <c r="B2125" t="s">
        <v>5363</v>
      </c>
      <c r="C2125">
        <v>7.79</v>
      </c>
      <c r="D2125">
        <v>8.58</v>
      </c>
      <c r="E2125">
        <v>7.75</v>
      </c>
      <c r="F2125">
        <v>8.58</v>
      </c>
      <c r="G2125">
        <v>449907</v>
      </c>
      <c r="H2125">
        <v>374034432</v>
      </c>
      <c r="I2125">
        <v>1.34</v>
      </c>
      <c r="J2125" t="s">
        <v>219</v>
      </c>
      <c r="K2125" t="s">
        <v>565</v>
      </c>
      <c r="L2125">
        <v>10</v>
      </c>
      <c r="M2125">
        <v>8.31</v>
      </c>
      <c r="N2125">
        <v>219073</v>
      </c>
      <c r="O2125">
        <v>230834</v>
      </c>
      <c r="P2125">
        <v>0.95</v>
      </c>
      <c r="Q2125">
        <v>85092</v>
      </c>
      <c r="R2125">
        <v>0</v>
      </c>
      <c r="S2125" t="s">
        <v>3</v>
      </c>
      <c r="T2125">
        <v>105338.95</v>
      </c>
      <c r="U2125" t="s">
        <v>5364</v>
      </c>
      <c r="V2125" t="s">
        <v>5365</v>
      </c>
      <c r="W2125">
        <v>10</v>
      </c>
    </row>
    <row r="2126" spans="1:23">
      <c r="A2126" t="str">
        <f>"600665"</f>
        <v>600665</v>
      </c>
      <c r="B2126" t="s">
        <v>5366</v>
      </c>
      <c r="C2126">
        <v>3.51</v>
      </c>
      <c r="D2126">
        <v>3.51</v>
      </c>
      <c r="E2126">
        <v>3.47</v>
      </c>
      <c r="F2126">
        <v>3.51</v>
      </c>
      <c r="G2126">
        <v>45317</v>
      </c>
      <c r="H2126">
        <v>15842656</v>
      </c>
      <c r="I2126">
        <v>0.57999999999999996</v>
      </c>
      <c r="J2126" t="s">
        <v>7</v>
      </c>
      <c r="K2126" t="s">
        <v>727</v>
      </c>
      <c r="L2126">
        <v>0.56999999999999995</v>
      </c>
      <c r="M2126">
        <v>3.5</v>
      </c>
      <c r="N2126">
        <v>22326</v>
      </c>
      <c r="O2126">
        <v>22991</v>
      </c>
      <c r="P2126">
        <v>0.97</v>
      </c>
      <c r="Q2126">
        <v>994</v>
      </c>
      <c r="R2126">
        <v>2774</v>
      </c>
      <c r="S2126" t="s">
        <v>3</v>
      </c>
      <c r="T2126">
        <v>86412.25</v>
      </c>
      <c r="U2126" t="s">
        <v>2211</v>
      </c>
      <c r="V2126" t="s">
        <v>2211</v>
      </c>
      <c r="W2126">
        <v>0.56999999999999995</v>
      </c>
    </row>
    <row r="2127" spans="1:23">
      <c r="A2127" t="str">
        <f>"600666"</f>
        <v>600666</v>
      </c>
      <c r="B2127" t="s">
        <v>5367</v>
      </c>
      <c r="C2127">
        <v>19.600000000000001</v>
      </c>
      <c r="D2127">
        <v>19.98</v>
      </c>
      <c r="E2127">
        <v>19.12</v>
      </c>
      <c r="F2127">
        <v>19.399999999999999</v>
      </c>
      <c r="G2127">
        <v>227575</v>
      </c>
      <c r="H2127">
        <v>443324896</v>
      </c>
      <c r="I2127">
        <v>0.54</v>
      </c>
      <c r="J2127" t="s">
        <v>219</v>
      </c>
      <c r="K2127" t="s">
        <v>386</v>
      </c>
      <c r="L2127">
        <v>1.89</v>
      </c>
      <c r="M2127">
        <v>19.48</v>
      </c>
      <c r="N2127">
        <v>112512</v>
      </c>
      <c r="O2127">
        <v>115063</v>
      </c>
      <c r="P2127">
        <v>0.98</v>
      </c>
      <c r="Q2127">
        <v>67</v>
      </c>
      <c r="R2127">
        <v>79</v>
      </c>
      <c r="S2127" t="s">
        <v>3</v>
      </c>
      <c r="T2127">
        <v>29014.63</v>
      </c>
      <c r="U2127" t="s">
        <v>5368</v>
      </c>
      <c r="V2127" t="s">
        <v>5368</v>
      </c>
      <c r="W2127">
        <v>1.89</v>
      </c>
    </row>
    <row r="2128" spans="1:23">
      <c r="A2128" t="str">
        <f>"600667"</f>
        <v>600667</v>
      </c>
      <c r="B2128" t="s">
        <v>5369</v>
      </c>
      <c r="C2128">
        <v>4.95</v>
      </c>
      <c r="D2128">
        <v>5.3</v>
      </c>
      <c r="E2128">
        <v>4.9000000000000004</v>
      </c>
      <c r="F2128">
        <v>5.0999999999999996</v>
      </c>
      <c r="G2128">
        <v>576293</v>
      </c>
      <c r="H2128">
        <v>294358080</v>
      </c>
      <c r="I2128">
        <v>2.12</v>
      </c>
      <c r="J2128" t="s">
        <v>1581</v>
      </c>
      <c r="K2128" t="s">
        <v>244</v>
      </c>
      <c r="L2128">
        <v>4.51</v>
      </c>
      <c r="M2128">
        <v>5.1100000000000003</v>
      </c>
      <c r="N2128">
        <v>275194</v>
      </c>
      <c r="O2128">
        <v>301098</v>
      </c>
      <c r="P2128">
        <v>0.91</v>
      </c>
      <c r="Q2128">
        <v>1361</v>
      </c>
      <c r="R2128">
        <v>24</v>
      </c>
      <c r="S2128" t="s">
        <v>3</v>
      </c>
      <c r="T2128">
        <v>119127.42</v>
      </c>
      <c r="U2128" t="s">
        <v>5370</v>
      </c>
      <c r="V2128" t="s">
        <v>5370</v>
      </c>
      <c r="W2128">
        <v>4.5</v>
      </c>
    </row>
    <row r="2129" spans="1:23">
      <c r="A2129" t="str">
        <f>"600668"</f>
        <v>600668</v>
      </c>
      <c r="B2129" t="s">
        <v>5371</v>
      </c>
      <c r="C2129">
        <v>12.3</v>
      </c>
      <c r="D2129">
        <v>12.55</v>
      </c>
      <c r="E2129">
        <v>12.27</v>
      </c>
      <c r="F2129">
        <v>12.5</v>
      </c>
      <c r="G2129">
        <v>122347</v>
      </c>
      <c r="H2129">
        <v>152602368</v>
      </c>
      <c r="I2129">
        <v>0.72</v>
      </c>
      <c r="J2129" t="s">
        <v>258</v>
      </c>
      <c r="K2129" t="s">
        <v>229</v>
      </c>
      <c r="L2129">
        <v>1.63</v>
      </c>
      <c r="M2129">
        <v>12.47</v>
      </c>
      <c r="N2129">
        <v>55556</v>
      </c>
      <c r="O2129">
        <v>66791</v>
      </c>
      <c r="P2129">
        <v>0.83</v>
      </c>
      <c r="Q2129">
        <v>104</v>
      </c>
      <c r="R2129">
        <v>56</v>
      </c>
      <c r="S2129" t="s">
        <v>3</v>
      </c>
      <c r="T2129">
        <v>34372.410000000003</v>
      </c>
      <c r="U2129" t="s">
        <v>5372</v>
      </c>
      <c r="V2129" t="s">
        <v>1020</v>
      </c>
      <c r="W2129">
        <v>1.62</v>
      </c>
    </row>
    <row r="2130" spans="1:23">
      <c r="A2130" t="str">
        <f>"600671"</f>
        <v>600671</v>
      </c>
      <c r="B2130" t="s">
        <v>5373</v>
      </c>
      <c r="C2130">
        <v>15.72</v>
      </c>
      <c r="D2130">
        <v>15.86</v>
      </c>
      <c r="E2130">
        <v>15.5</v>
      </c>
      <c r="F2130">
        <v>15.58</v>
      </c>
      <c r="G2130">
        <v>35164</v>
      </c>
      <c r="H2130">
        <v>54924512</v>
      </c>
      <c r="I2130">
        <v>1.1000000000000001</v>
      </c>
      <c r="J2130" t="s">
        <v>321</v>
      </c>
      <c r="K2130" t="s">
        <v>229</v>
      </c>
      <c r="L2130">
        <v>-0.51</v>
      </c>
      <c r="M2130">
        <v>15.62</v>
      </c>
      <c r="N2130">
        <v>14807</v>
      </c>
      <c r="O2130">
        <v>20356</v>
      </c>
      <c r="P2130">
        <v>0.73</v>
      </c>
      <c r="Q2130">
        <v>230</v>
      </c>
      <c r="R2130">
        <v>15852</v>
      </c>
      <c r="S2130" t="s">
        <v>3</v>
      </c>
      <c r="T2130">
        <v>12172.04</v>
      </c>
      <c r="U2130" t="s">
        <v>2313</v>
      </c>
      <c r="V2130" t="s">
        <v>3750</v>
      </c>
      <c r="W2130">
        <v>-0.52</v>
      </c>
    </row>
    <row r="2131" spans="1:23">
      <c r="A2131" t="str">
        <f>"600673"</f>
        <v>600673</v>
      </c>
      <c r="B2131" t="s">
        <v>5374</v>
      </c>
      <c r="C2131">
        <v>13.3</v>
      </c>
      <c r="D2131">
        <v>13.31</v>
      </c>
      <c r="E2131">
        <v>13.06</v>
      </c>
      <c r="F2131">
        <v>13.18</v>
      </c>
      <c r="G2131">
        <v>193605</v>
      </c>
      <c r="H2131">
        <v>254395648</v>
      </c>
      <c r="I2131">
        <v>0.57999999999999996</v>
      </c>
      <c r="J2131" t="s">
        <v>632</v>
      </c>
      <c r="K2131" t="s">
        <v>211</v>
      </c>
      <c r="L2131">
        <v>-0.9</v>
      </c>
      <c r="M2131">
        <v>13.14</v>
      </c>
      <c r="N2131">
        <v>109548</v>
      </c>
      <c r="O2131">
        <v>84057</v>
      </c>
      <c r="P2131">
        <v>1.3</v>
      </c>
      <c r="Q2131">
        <v>8</v>
      </c>
      <c r="R2131">
        <v>19</v>
      </c>
      <c r="S2131" t="s">
        <v>3</v>
      </c>
      <c r="T2131">
        <v>82261.22</v>
      </c>
      <c r="U2131" t="s">
        <v>5375</v>
      </c>
      <c r="V2131" t="s">
        <v>5376</v>
      </c>
      <c r="W2131">
        <v>-0.91</v>
      </c>
    </row>
    <row r="2132" spans="1:23">
      <c r="A2132" t="str">
        <f>"600674"</f>
        <v>600674</v>
      </c>
      <c r="B2132" t="s">
        <v>5377</v>
      </c>
      <c r="C2132">
        <v>15.15</v>
      </c>
      <c r="D2132">
        <v>15.6</v>
      </c>
      <c r="E2132">
        <v>15.15</v>
      </c>
      <c r="F2132">
        <v>15.31</v>
      </c>
      <c r="G2132">
        <v>224289</v>
      </c>
      <c r="H2132">
        <v>345614656</v>
      </c>
      <c r="I2132">
        <v>1.19</v>
      </c>
      <c r="J2132" t="s">
        <v>87</v>
      </c>
      <c r="K2132" t="s">
        <v>225</v>
      </c>
      <c r="L2132">
        <v>1.1200000000000001</v>
      </c>
      <c r="M2132">
        <v>15.41</v>
      </c>
      <c r="N2132">
        <v>126508</v>
      </c>
      <c r="O2132">
        <v>97780</v>
      </c>
      <c r="P2132">
        <v>1.29</v>
      </c>
      <c r="Q2132">
        <v>651</v>
      </c>
      <c r="R2132">
        <v>182</v>
      </c>
      <c r="S2132" t="s">
        <v>3</v>
      </c>
      <c r="T2132">
        <v>220107.03</v>
      </c>
      <c r="U2132" t="s">
        <v>5378</v>
      </c>
      <c r="V2132" t="s">
        <v>5378</v>
      </c>
      <c r="W2132">
        <v>1.1200000000000001</v>
      </c>
    </row>
    <row r="2133" spans="1:23">
      <c r="A2133" t="str">
        <f>"600675"</f>
        <v>600675</v>
      </c>
      <c r="B2133" t="s">
        <v>5379</v>
      </c>
      <c r="C2133">
        <v>5.26</v>
      </c>
      <c r="D2133">
        <v>5.26</v>
      </c>
      <c r="E2133">
        <v>5.18</v>
      </c>
      <c r="F2133">
        <v>5.2</v>
      </c>
      <c r="G2133">
        <v>270681</v>
      </c>
      <c r="H2133">
        <v>140797360</v>
      </c>
      <c r="I2133">
        <v>1.1399999999999999</v>
      </c>
      <c r="J2133" t="s">
        <v>15</v>
      </c>
      <c r="K2133" t="s">
        <v>727</v>
      </c>
      <c r="L2133">
        <v>-0.56999999999999995</v>
      </c>
      <c r="M2133">
        <v>5.2</v>
      </c>
      <c r="N2133">
        <v>166578</v>
      </c>
      <c r="O2133">
        <v>104103</v>
      </c>
      <c r="P2133">
        <v>1.6</v>
      </c>
      <c r="Q2133">
        <v>1242</v>
      </c>
      <c r="R2133">
        <v>2171</v>
      </c>
      <c r="S2133" t="s">
        <v>3</v>
      </c>
      <c r="T2133">
        <v>186705.94</v>
      </c>
      <c r="U2133" t="s">
        <v>5380</v>
      </c>
      <c r="V2133" t="s">
        <v>5380</v>
      </c>
      <c r="W2133">
        <v>-0.57999999999999996</v>
      </c>
    </row>
    <row r="2134" spans="1:23">
      <c r="A2134" t="str">
        <f>"600676"</f>
        <v>600676</v>
      </c>
      <c r="B2134" t="s">
        <v>5381</v>
      </c>
      <c r="C2134">
        <v>6.36</v>
      </c>
      <c r="D2134">
        <v>6.39</v>
      </c>
      <c r="E2134">
        <v>6.31</v>
      </c>
      <c r="F2134">
        <v>6.36</v>
      </c>
      <c r="G2134">
        <v>62563</v>
      </c>
      <c r="H2134">
        <v>39707816</v>
      </c>
      <c r="I2134">
        <v>0.93</v>
      </c>
      <c r="J2134" t="s">
        <v>98</v>
      </c>
      <c r="K2134" t="s">
        <v>727</v>
      </c>
      <c r="L2134">
        <v>0.16</v>
      </c>
      <c r="M2134">
        <v>6.35</v>
      </c>
      <c r="N2134">
        <v>33057</v>
      </c>
      <c r="O2134">
        <v>29506</v>
      </c>
      <c r="P2134">
        <v>1.1200000000000001</v>
      </c>
      <c r="Q2134">
        <v>205</v>
      </c>
      <c r="R2134">
        <v>1522</v>
      </c>
      <c r="S2134" t="s">
        <v>3</v>
      </c>
      <c r="T2134">
        <v>78214.100000000006</v>
      </c>
      <c r="U2134" t="s">
        <v>5382</v>
      </c>
      <c r="V2134" t="s">
        <v>1957</v>
      </c>
      <c r="W2134">
        <v>0.15</v>
      </c>
    </row>
    <row r="2135" spans="1:23">
      <c r="A2135" t="str">
        <f>"600677"</f>
        <v>600677</v>
      </c>
      <c r="B2135" t="s">
        <v>5383</v>
      </c>
      <c r="C2135">
        <v>17.55</v>
      </c>
      <c r="D2135">
        <v>17.93</v>
      </c>
      <c r="E2135">
        <v>17.3</v>
      </c>
      <c r="F2135">
        <v>17.53</v>
      </c>
      <c r="G2135">
        <v>223169</v>
      </c>
      <c r="H2135">
        <v>392626976</v>
      </c>
      <c r="I2135">
        <v>0.62</v>
      </c>
      <c r="J2135" t="s">
        <v>112</v>
      </c>
      <c r="K2135" t="s">
        <v>229</v>
      </c>
      <c r="L2135">
        <v>0.69</v>
      </c>
      <c r="M2135">
        <v>17.59</v>
      </c>
      <c r="N2135">
        <v>113569</v>
      </c>
      <c r="O2135">
        <v>109600</v>
      </c>
      <c r="P2135">
        <v>1.04</v>
      </c>
      <c r="Q2135">
        <v>20</v>
      </c>
      <c r="R2135">
        <v>96</v>
      </c>
      <c r="S2135" t="s">
        <v>3</v>
      </c>
      <c r="T2135">
        <v>32617.24</v>
      </c>
      <c r="U2135" t="s">
        <v>5384</v>
      </c>
      <c r="V2135" t="s">
        <v>5385</v>
      </c>
      <c r="W2135">
        <v>0.68</v>
      </c>
    </row>
    <row r="2136" spans="1:23">
      <c r="A2136" t="str">
        <f>"600678"</f>
        <v>600678</v>
      </c>
      <c r="B2136" t="s">
        <v>5386</v>
      </c>
      <c r="C2136" t="s">
        <v>3</v>
      </c>
      <c r="D2136" t="s">
        <v>3</v>
      </c>
      <c r="E2136" t="s">
        <v>3</v>
      </c>
      <c r="F2136">
        <v>5.51</v>
      </c>
      <c r="G2136">
        <v>0</v>
      </c>
      <c r="H2136">
        <v>0</v>
      </c>
      <c r="I2136">
        <v>0</v>
      </c>
      <c r="J2136" t="s">
        <v>258</v>
      </c>
      <c r="K2136" t="s">
        <v>225</v>
      </c>
      <c r="L2136">
        <v>0</v>
      </c>
      <c r="M2136">
        <v>5.51</v>
      </c>
      <c r="N2136">
        <v>0</v>
      </c>
      <c r="O2136">
        <v>0</v>
      </c>
      <c r="P2136" t="s">
        <v>3</v>
      </c>
      <c r="Q2136">
        <v>0</v>
      </c>
      <c r="R2136">
        <v>0</v>
      </c>
      <c r="S2136" t="s">
        <v>3</v>
      </c>
      <c r="T2136">
        <v>34899</v>
      </c>
      <c r="U2136" t="s">
        <v>3456</v>
      </c>
      <c r="V2136" t="s">
        <v>3456</v>
      </c>
      <c r="W2136">
        <v>0</v>
      </c>
    </row>
    <row r="2137" spans="1:23">
      <c r="A2137" t="str">
        <f>"600679"</f>
        <v>600679</v>
      </c>
      <c r="B2137" t="s">
        <v>5387</v>
      </c>
      <c r="C2137">
        <v>15.24</v>
      </c>
      <c r="D2137">
        <v>15.76</v>
      </c>
      <c r="E2137">
        <v>15.23</v>
      </c>
      <c r="F2137">
        <v>15.6</v>
      </c>
      <c r="G2137">
        <v>55669</v>
      </c>
      <c r="H2137">
        <v>86539104</v>
      </c>
      <c r="I2137">
        <v>1.01</v>
      </c>
      <c r="J2137" t="s">
        <v>51</v>
      </c>
      <c r="K2137" t="s">
        <v>727</v>
      </c>
      <c r="L2137">
        <v>1.69</v>
      </c>
      <c r="M2137">
        <v>15.55</v>
      </c>
      <c r="N2137">
        <v>29106</v>
      </c>
      <c r="O2137">
        <v>26563</v>
      </c>
      <c r="P2137">
        <v>1.1000000000000001</v>
      </c>
      <c r="Q2137">
        <v>57</v>
      </c>
      <c r="R2137">
        <v>120</v>
      </c>
      <c r="S2137" t="s">
        <v>3</v>
      </c>
      <c r="T2137">
        <v>18201.97</v>
      </c>
      <c r="U2137" t="s">
        <v>5388</v>
      </c>
      <c r="V2137" t="s">
        <v>5389</v>
      </c>
      <c r="W2137">
        <v>1.69</v>
      </c>
    </row>
    <row r="2138" spans="1:23">
      <c r="A2138" t="str">
        <f>"600680"</f>
        <v>600680</v>
      </c>
      <c r="B2138" t="s">
        <v>5390</v>
      </c>
      <c r="C2138">
        <v>19.12</v>
      </c>
      <c r="D2138">
        <v>19.25</v>
      </c>
      <c r="E2138">
        <v>18.72</v>
      </c>
      <c r="F2138">
        <v>18.850000000000001</v>
      </c>
      <c r="G2138">
        <v>47840</v>
      </c>
      <c r="H2138">
        <v>90348480</v>
      </c>
      <c r="I2138">
        <v>1.24</v>
      </c>
      <c r="J2138" t="s">
        <v>112</v>
      </c>
      <c r="K2138" t="s">
        <v>727</v>
      </c>
      <c r="L2138">
        <v>-0.68</v>
      </c>
      <c r="M2138">
        <v>18.89</v>
      </c>
      <c r="N2138">
        <v>26208</v>
      </c>
      <c r="O2138">
        <v>21632</v>
      </c>
      <c r="P2138">
        <v>1.21</v>
      </c>
      <c r="Q2138">
        <v>305</v>
      </c>
      <c r="R2138">
        <v>223</v>
      </c>
      <c r="S2138" t="s">
        <v>3</v>
      </c>
      <c r="T2138">
        <v>25742.52</v>
      </c>
      <c r="U2138" t="s">
        <v>5391</v>
      </c>
      <c r="V2138" t="s">
        <v>5392</v>
      </c>
      <c r="W2138">
        <v>-0.69</v>
      </c>
    </row>
    <row r="2139" spans="1:23">
      <c r="A2139" t="str">
        <f>"600681"</f>
        <v>600681</v>
      </c>
      <c r="B2139" t="s">
        <v>5393</v>
      </c>
      <c r="C2139">
        <v>6.17</v>
      </c>
      <c r="D2139">
        <v>6.24</v>
      </c>
      <c r="E2139">
        <v>6.12</v>
      </c>
      <c r="F2139">
        <v>6.22</v>
      </c>
      <c r="G2139">
        <v>51510</v>
      </c>
      <c r="H2139">
        <v>31826974</v>
      </c>
      <c r="I2139">
        <v>0.91</v>
      </c>
      <c r="J2139" t="s">
        <v>1496</v>
      </c>
      <c r="K2139" t="s">
        <v>317</v>
      </c>
      <c r="L2139">
        <v>0.32</v>
      </c>
      <c r="M2139">
        <v>6.18</v>
      </c>
      <c r="N2139">
        <v>28941</v>
      </c>
      <c r="O2139">
        <v>22569</v>
      </c>
      <c r="P2139">
        <v>1.28</v>
      </c>
      <c r="Q2139">
        <v>201</v>
      </c>
      <c r="R2139">
        <v>596</v>
      </c>
      <c r="S2139" t="s">
        <v>3</v>
      </c>
      <c r="T2139">
        <v>22142.18</v>
      </c>
      <c r="U2139" t="s">
        <v>5394</v>
      </c>
      <c r="V2139" t="s">
        <v>3965</v>
      </c>
      <c r="W2139">
        <v>0.32</v>
      </c>
    </row>
    <row r="2140" spans="1:23">
      <c r="A2140" t="str">
        <f>"600682"</f>
        <v>600682</v>
      </c>
      <c r="B2140" t="s">
        <v>5395</v>
      </c>
      <c r="C2140">
        <v>14.35</v>
      </c>
      <c r="D2140">
        <v>15.57</v>
      </c>
      <c r="E2140">
        <v>14.05</v>
      </c>
      <c r="F2140">
        <v>15.12</v>
      </c>
      <c r="G2140">
        <v>128176</v>
      </c>
      <c r="H2140">
        <v>191322528</v>
      </c>
      <c r="I2140">
        <v>2.77</v>
      </c>
      <c r="J2140" t="s">
        <v>297</v>
      </c>
      <c r="K2140" t="s">
        <v>244</v>
      </c>
      <c r="L2140">
        <v>6.78</v>
      </c>
      <c r="M2140">
        <v>14.93</v>
      </c>
      <c r="N2140">
        <v>61470</v>
      </c>
      <c r="O2140">
        <v>66705</v>
      </c>
      <c r="P2140">
        <v>0.92</v>
      </c>
      <c r="Q2140">
        <v>10</v>
      </c>
      <c r="R2140">
        <v>83</v>
      </c>
      <c r="S2140" t="s">
        <v>3</v>
      </c>
      <c r="T2140">
        <v>35782.51</v>
      </c>
      <c r="U2140" t="s">
        <v>3276</v>
      </c>
      <c r="V2140" t="s">
        <v>5396</v>
      </c>
      <c r="W2140">
        <v>6.78</v>
      </c>
    </row>
    <row r="2141" spans="1:23">
      <c r="A2141" t="str">
        <f>"600683"</f>
        <v>600683</v>
      </c>
      <c r="B2141" t="s">
        <v>5397</v>
      </c>
      <c r="C2141">
        <v>5.47</v>
      </c>
      <c r="D2141">
        <v>5.51</v>
      </c>
      <c r="E2141">
        <v>5.42</v>
      </c>
      <c r="F2141">
        <v>5.5</v>
      </c>
      <c r="G2141">
        <v>107523</v>
      </c>
      <c r="H2141">
        <v>58774412</v>
      </c>
      <c r="I2141">
        <v>0.89</v>
      </c>
      <c r="J2141" t="s">
        <v>15</v>
      </c>
      <c r="K2141" t="s">
        <v>229</v>
      </c>
      <c r="L2141">
        <v>-0.36</v>
      </c>
      <c r="M2141">
        <v>5.47</v>
      </c>
      <c r="N2141">
        <v>60507</v>
      </c>
      <c r="O2141">
        <v>47016</v>
      </c>
      <c r="P2141">
        <v>1.29</v>
      </c>
      <c r="Q2141">
        <v>701</v>
      </c>
      <c r="R2141">
        <v>1329</v>
      </c>
      <c r="S2141" t="s">
        <v>3</v>
      </c>
      <c r="T2141">
        <v>74077.75</v>
      </c>
      <c r="U2141" t="s">
        <v>5398</v>
      </c>
      <c r="V2141" t="s">
        <v>5398</v>
      </c>
      <c r="W2141">
        <v>-0.37</v>
      </c>
    </row>
    <row r="2142" spans="1:23">
      <c r="A2142" t="str">
        <f>"600684"</f>
        <v>600684</v>
      </c>
      <c r="B2142" t="s">
        <v>5399</v>
      </c>
      <c r="C2142">
        <v>5.24</v>
      </c>
      <c r="D2142">
        <v>5.27</v>
      </c>
      <c r="E2142">
        <v>5.2</v>
      </c>
      <c r="F2142">
        <v>5.26</v>
      </c>
      <c r="G2142">
        <v>194796</v>
      </c>
      <c r="H2142">
        <v>101898784</v>
      </c>
      <c r="I2142">
        <v>0.92</v>
      </c>
      <c r="J2142" t="s">
        <v>7</v>
      </c>
      <c r="K2142" t="s">
        <v>211</v>
      </c>
      <c r="L2142">
        <v>0.56999999999999995</v>
      </c>
      <c r="M2142">
        <v>5.23</v>
      </c>
      <c r="N2142">
        <v>96102</v>
      </c>
      <c r="O2142">
        <v>98693</v>
      </c>
      <c r="P2142">
        <v>0.97</v>
      </c>
      <c r="Q2142">
        <v>254</v>
      </c>
      <c r="R2142">
        <v>7819</v>
      </c>
      <c r="S2142" t="s">
        <v>3</v>
      </c>
      <c r="T2142">
        <v>71121.72</v>
      </c>
      <c r="U2142" t="s">
        <v>2847</v>
      </c>
      <c r="V2142" t="s">
        <v>2847</v>
      </c>
      <c r="W2142">
        <v>0.56999999999999995</v>
      </c>
    </row>
    <row r="2143" spans="1:23">
      <c r="A2143" t="str">
        <f>"600685"</f>
        <v>600685</v>
      </c>
      <c r="B2143" t="s">
        <v>5400</v>
      </c>
      <c r="C2143" t="s">
        <v>3</v>
      </c>
      <c r="D2143" t="s">
        <v>3</v>
      </c>
      <c r="E2143" t="s">
        <v>3</v>
      </c>
      <c r="F2143">
        <v>17.13</v>
      </c>
      <c r="G2143">
        <v>0</v>
      </c>
      <c r="H2143">
        <v>0</v>
      </c>
      <c r="I2143">
        <v>0</v>
      </c>
      <c r="J2143" t="s">
        <v>2960</v>
      </c>
      <c r="K2143" t="s">
        <v>211</v>
      </c>
      <c r="L2143">
        <v>0</v>
      </c>
      <c r="M2143">
        <v>17.13</v>
      </c>
      <c r="N2143">
        <v>0</v>
      </c>
      <c r="O2143">
        <v>0</v>
      </c>
      <c r="P2143" t="s">
        <v>3</v>
      </c>
      <c r="Q2143">
        <v>0</v>
      </c>
      <c r="R2143">
        <v>0</v>
      </c>
      <c r="S2143" t="s">
        <v>3</v>
      </c>
      <c r="T2143">
        <v>43846.33</v>
      </c>
      <c r="U2143" t="s">
        <v>5401</v>
      </c>
      <c r="V2143" t="s">
        <v>5401</v>
      </c>
      <c r="W2143">
        <v>0</v>
      </c>
    </row>
    <row r="2144" spans="1:23">
      <c r="A2144" t="str">
        <f>"600686"</f>
        <v>600686</v>
      </c>
      <c r="B2144" t="s">
        <v>5402</v>
      </c>
      <c r="C2144">
        <v>11.27</v>
      </c>
      <c r="D2144">
        <v>11.85</v>
      </c>
      <c r="E2144">
        <v>11.25</v>
      </c>
      <c r="F2144">
        <v>11.83</v>
      </c>
      <c r="G2144">
        <v>142126</v>
      </c>
      <c r="H2144">
        <v>164021872</v>
      </c>
      <c r="I2144">
        <v>1.99</v>
      </c>
      <c r="J2144" t="s">
        <v>476</v>
      </c>
      <c r="K2144" t="s">
        <v>414</v>
      </c>
      <c r="L2144">
        <v>5.16</v>
      </c>
      <c r="M2144">
        <v>11.54</v>
      </c>
      <c r="N2144">
        <v>60279</v>
      </c>
      <c r="O2144">
        <v>81846</v>
      </c>
      <c r="P2144">
        <v>0.74</v>
      </c>
      <c r="Q2144">
        <v>104</v>
      </c>
      <c r="R2144">
        <v>55</v>
      </c>
      <c r="S2144" t="s">
        <v>3</v>
      </c>
      <c r="T2144">
        <v>44259.71</v>
      </c>
      <c r="U2144" t="s">
        <v>5403</v>
      </c>
      <c r="V2144" t="s">
        <v>5403</v>
      </c>
      <c r="W2144">
        <v>5.15</v>
      </c>
    </row>
    <row r="2145" spans="1:23">
      <c r="A2145" t="str">
        <f>"600687"</f>
        <v>600687</v>
      </c>
      <c r="B2145" t="s">
        <v>5404</v>
      </c>
      <c r="C2145">
        <v>13.16</v>
      </c>
      <c r="D2145">
        <v>13.38</v>
      </c>
      <c r="E2145">
        <v>13.06</v>
      </c>
      <c r="F2145">
        <v>13.15</v>
      </c>
      <c r="G2145">
        <v>52887</v>
      </c>
      <c r="H2145">
        <v>69843376</v>
      </c>
      <c r="I2145">
        <v>1.04</v>
      </c>
      <c r="J2145" t="s">
        <v>26</v>
      </c>
      <c r="K2145" t="s">
        <v>483</v>
      </c>
      <c r="L2145">
        <v>-0.23</v>
      </c>
      <c r="M2145">
        <v>13.21</v>
      </c>
      <c r="N2145">
        <v>29217</v>
      </c>
      <c r="O2145">
        <v>23669</v>
      </c>
      <c r="P2145">
        <v>1.23</v>
      </c>
      <c r="Q2145">
        <v>185</v>
      </c>
      <c r="R2145">
        <v>13</v>
      </c>
      <c r="S2145" t="s">
        <v>3</v>
      </c>
      <c r="T2145">
        <v>16495.5</v>
      </c>
      <c r="U2145" t="s">
        <v>3015</v>
      </c>
      <c r="V2145" t="s">
        <v>5405</v>
      </c>
      <c r="W2145">
        <v>-0.23</v>
      </c>
    </row>
    <row r="2146" spans="1:23">
      <c r="A2146" t="str">
        <f>"600688"</f>
        <v>600688</v>
      </c>
      <c r="B2146" t="s">
        <v>5406</v>
      </c>
      <c r="C2146">
        <v>3.62</v>
      </c>
      <c r="D2146">
        <v>3.67</v>
      </c>
      <c r="E2146">
        <v>3.59</v>
      </c>
      <c r="F2146">
        <v>3.6</v>
      </c>
      <c r="G2146">
        <v>533111</v>
      </c>
      <c r="H2146">
        <v>193074080</v>
      </c>
      <c r="I2146">
        <v>0.9</v>
      </c>
      <c r="J2146" t="s">
        <v>161</v>
      </c>
      <c r="K2146" t="s">
        <v>727</v>
      </c>
      <c r="L2146">
        <v>-0.55000000000000004</v>
      </c>
      <c r="M2146">
        <v>3.62</v>
      </c>
      <c r="N2146">
        <v>273153</v>
      </c>
      <c r="O2146">
        <v>259957</v>
      </c>
      <c r="P2146">
        <v>1.05</v>
      </c>
      <c r="Q2146">
        <v>457</v>
      </c>
      <c r="R2146">
        <v>8516</v>
      </c>
      <c r="S2146" t="s">
        <v>3</v>
      </c>
      <c r="T2146">
        <v>238500</v>
      </c>
      <c r="U2146" t="s">
        <v>5407</v>
      </c>
      <c r="V2146" t="s">
        <v>5408</v>
      </c>
      <c r="W2146">
        <v>-0.56000000000000005</v>
      </c>
    </row>
    <row r="2147" spans="1:23">
      <c r="A2147" t="str">
        <f>"600689"</f>
        <v>600689</v>
      </c>
      <c r="B2147" t="s">
        <v>5409</v>
      </c>
      <c r="C2147">
        <v>8.19</v>
      </c>
      <c r="D2147">
        <v>8.24</v>
      </c>
      <c r="E2147">
        <v>8.07</v>
      </c>
      <c r="F2147">
        <v>8.1300000000000008</v>
      </c>
      <c r="G2147">
        <v>17662</v>
      </c>
      <c r="H2147">
        <v>14353744</v>
      </c>
      <c r="I2147">
        <v>0.96</v>
      </c>
      <c r="J2147" t="s">
        <v>55</v>
      </c>
      <c r="K2147" t="s">
        <v>727</v>
      </c>
      <c r="L2147">
        <v>-0.97</v>
      </c>
      <c r="M2147">
        <v>8.1300000000000008</v>
      </c>
      <c r="N2147">
        <v>11785</v>
      </c>
      <c r="O2147">
        <v>5877</v>
      </c>
      <c r="P2147">
        <v>2.0099999999999998</v>
      </c>
      <c r="Q2147">
        <v>190</v>
      </c>
      <c r="R2147">
        <v>18</v>
      </c>
      <c r="S2147" t="s">
        <v>3</v>
      </c>
      <c r="T2147">
        <v>15220.41</v>
      </c>
      <c r="U2147" t="s">
        <v>27</v>
      </c>
      <c r="V2147" t="s">
        <v>1590</v>
      </c>
      <c r="W2147">
        <v>-0.98</v>
      </c>
    </row>
    <row r="2148" spans="1:23">
      <c r="A2148" t="str">
        <f>"600690"</f>
        <v>600690</v>
      </c>
      <c r="B2148" t="s">
        <v>5410</v>
      </c>
      <c r="C2148">
        <v>17.010000000000002</v>
      </c>
      <c r="D2148">
        <v>17.170000000000002</v>
      </c>
      <c r="E2148">
        <v>16.809999999999999</v>
      </c>
      <c r="F2148">
        <v>16.93</v>
      </c>
      <c r="G2148">
        <v>146713</v>
      </c>
      <c r="H2148">
        <v>249279696</v>
      </c>
      <c r="I2148">
        <v>0.55000000000000004</v>
      </c>
      <c r="J2148" t="s">
        <v>47</v>
      </c>
      <c r="K2148" t="s">
        <v>250</v>
      </c>
      <c r="L2148">
        <v>-0.65</v>
      </c>
      <c r="M2148">
        <v>16.989999999999998</v>
      </c>
      <c r="N2148">
        <v>77047</v>
      </c>
      <c r="O2148">
        <v>69665</v>
      </c>
      <c r="P2148">
        <v>1.1100000000000001</v>
      </c>
      <c r="Q2148">
        <v>436</v>
      </c>
      <c r="R2148">
        <v>214</v>
      </c>
      <c r="S2148" t="s">
        <v>3</v>
      </c>
      <c r="T2148">
        <v>272083.59000000003</v>
      </c>
      <c r="U2148" t="s">
        <v>5411</v>
      </c>
      <c r="V2148" t="s">
        <v>5412</v>
      </c>
      <c r="W2148">
        <v>-0.65</v>
      </c>
    </row>
    <row r="2149" spans="1:23">
      <c r="A2149" t="str">
        <f>"600691"</f>
        <v>600691</v>
      </c>
      <c r="B2149" t="s">
        <v>5413</v>
      </c>
      <c r="C2149">
        <v>5.51</v>
      </c>
      <c r="D2149">
        <v>5.88</v>
      </c>
      <c r="E2149">
        <v>5.49</v>
      </c>
      <c r="F2149">
        <v>5.84</v>
      </c>
      <c r="G2149">
        <v>833734</v>
      </c>
      <c r="H2149">
        <v>474857600</v>
      </c>
      <c r="I2149">
        <v>1.1299999999999999</v>
      </c>
      <c r="J2149" t="s">
        <v>224</v>
      </c>
      <c r="K2149" t="s">
        <v>225</v>
      </c>
      <c r="L2149">
        <v>6.57</v>
      </c>
      <c r="M2149">
        <v>5.7</v>
      </c>
      <c r="N2149">
        <v>390313</v>
      </c>
      <c r="O2149">
        <v>443420</v>
      </c>
      <c r="P2149">
        <v>0.88</v>
      </c>
      <c r="Q2149">
        <v>2056</v>
      </c>
      <c r="R2149">
        <v>6123</v>
      </c>
      <c r="S2149" t="s">
        <v>3</v>
      </c>
      <c r="T2149">
        <v>90260.89</v>
      </c>
      <c r="U2149" t="s">
        <v>5414</v>
      </c>
      <c r="V2149" t="s">
        <v>163</v>
      </c>
      <c r="W2149">
        <v>6.57</v>
      </c>
    </row>
    <row r="2150" spans="1:23">
      <c r="A2150" t="str">
        <f>"600692"</f>
        <v>600692</v>
      </c>
      <c r="B2150" t="s">
        <v>5415</v>
      </c>
      <c r="C2150">
        <v>9.4</v>
      </c>
      <c r="D2150">
        <v>9.5299999999999994</v>
      </c>
      <c r="E2150">
        <v>9.31</v>
      </c>
      <c r="F2150">
        <v>9.52</v>
      </c>
      <c r="G2150">
        <v>125965</v>
      </c>
      <c r="H2150">
        <v>118914968</v>
      </c>
      <c r="I2150">
        <v>1.36</v>
      </c>
      <c r="J2150" t="s">
        <v>2226</v>
      </c>
      <c r="K2150" t="s">
        <v>727</v>
      </c>
      <c r="L2150">
        <v>1.28</v>
      </c>
      <c r="M2150">
        <v>9.44</v>
      </c>
      <c r="N2150">
        <v>59286</v>
      </c>
      <c r="O2150">
        <v>66679</v>
      </c>
      <c r="P2150">
        <v>0.89</v>
      </c>
      <c r="Q2150">
        <v>568</v>
      </c>
      <c r="R2150">
        <v>1024</v>
      </c>
      <c r="S2150" t="s">
        <v>3</v>
      </c>
      <c r="T2150">
        <v>25501.05</v>
      </c>
      <c r="U2150" t="s">
        <v>5416</v>
      </c>
      <c r="V2150" t="s">
        <v>1339</v>
      </c>
      <c r="W2150">
        <v>1.27</v>
      </c>
    </row>
    <row r="2151" spans="1:23">
      <c r="A2151" t="str">
        <f>"600693"</f>
        <v>600693</v>
      </c>
      <c r="B2151" t="s">
        <v>5417</v>
      </c>
      <c r="C2151">
        <v>8.08</v>
      </c>
      <c r="D2151">
        <v>8.1199999999999992</v>
      </c>
      <c r="E2151">
        <v>7.96</v>
      </c>
      <c r="F2151">
        <v>8.0299999999999994</v>
      </c>
      <c r="G2151">
        <v>46196</v>
      </c>
      <c r="H2151">
        <v>37154776</v>
      </c>
      <c r="I2151">
        <v>0.61</v>
      </c>
      <c r="J2151" t="s">
        <v>297</v>
      </c>
      <c r="K2151" t="s">
        <v>414</v>
      </c>
      <c r="L2151">
        <v>0</v>
      </c>
      <c r="M2151">
        <v>8.0399999999999991</v>
      </c>
      <c r="N2151">
        <v>27990</v>
      </c>
      <c r="O2151">
        <v>18206</v>
      </c>
      <c r="P2151">
        <v>1.54</v>
      </c>
      <c r="Q2151">
        <v>404</v>
      </c>
      <c r="R2151">
        <v>34</v>
      </c>
      <c r="S2151" t="s">
        <v>3</v>
      </c>
      <c r="T2151">
        <v>34216.550000000003</v>
      </c>
      <c r="U2151" t="s">
        <v>5418</v>
      </c>
      <c r="V2151" t="s">
        <v>3058</v>
      </c>
      <c r="W2151">
        <v>0</v>
      </c>
    </row>
    <row r="2152" spans="1:23">
      <c r="A2152" t="str">
        <f>"600694"</f>
        <v>600694</v>
      </c>
      <c r="B2152" t="s">
        <v>5419</v>
      </c>
      <c r="C2152">
        <v>28.79</v>
      </c>
      <c r="D2152">
        <v>29.97</v>
      </c>
      <c r="E2152">
        <v>28.67</v>
      </c>
      <c r="F2152">
        <v>29.66</v>
      </c>
      <c r="G2152">
        <v>116634</v>
      </c>
      <c r="H2152">
        <v>343935904</v>
      </c>
      <c r="I2152">
        <v>1.9</v>
      </c>
      <c r="J2152" t="s">
        <v>297</v>
      </c>
      <c r="K2152" t="s">
        <v>162</v>
      </c>
      <c r="L2152">
        <v>3.49</v>
      </c>
      <c r="M2152">
        <v>29.49</v>
      </c>
      <c r="N2152">
        <v>55406</v>
      </c>
      <c r="O2152">
        <v>61227</v>
      </c>
      <c r="P2152">
        <v>0.9</v>
      </c>
      <c r="Q2152">
        <v>45</v>
      </c>
      <c r="R2152">
        <v>599</v>
      </c>
      <c r="S2152" t="s">
        <v>3</v>
      </c>
      <c r="T2152">
        <v>29371.86</v>
      </c>
      <c r="U2152" t="s">
        <v>5420</v>
      </c>
      <c r="V2152" t="s">
        <v>5420</v>
      </c>
      <c r="W2152">
        <v>3.48</v>
      </c>
    </row>
    <row r="2153" spans="1:23">
      <c r="A2153" t="str">
        <f>"600695"</f>
        <v>600695</v>
      </c>
      <c r="B2153" t="s">
        <v>5421</v>
      </c>
      <c r="C2153">
        <v>6.85</v>
      </c>
      <c r="D2153">
        <v>7.01</v>
      </c>
      <c r="E2153">
        <v>6.81</v>
      </c>
      <c r="F2153">
        <v>7</v>
      </c>
      <c r="G2153">
        <v>99940</v>
      </c>
      <c r="H2153">
        <v>69077136</v>
      </c>
      <c r="I2153">
        <v>1.33</v>
      </c>
      <c r="J2153" t="s">
        <v>421</v>
      </c>
      <c r="K2153" t="s">
        <v>727</v>
      </c>
      <c r="L2153">
        <v>1.74</v>
      </c>
      <c r="M2153">
        <v>6.91</v>
      </c>
      <c r="N2153">
        <v>49354</v>
      </c>
      <c r="O2153">
        <v>50585</v>
      </c>
      <c r="P2153">
        <v>0.98</v>
      </c>
      <c r="Q2153">
        <v>752</v>
      </c>
      <c r="R2153">
        <v>371</v>
      </c>
      <c r="S2153" t="s">
        <v>3</v>
      </c>
      <c r="T2153">
        <v>32957.279999999999</v>
      </c>
      <c r="U2153" t="s">
        <v>5422</v>
      </c>
      <c r="V2153" t="s">
        <v>5423</v>
      </c>
      <c r="W2153">
        <v>1.74</v>
      </c>
    </row>
    <row r="2154" spans="1:23">
      <c r="A2154" t="str">
        <f>"600696"</f>
        <v>600696</v>
      </c>
      <c r="B2154" t="s">
        <v>5424</v>
      </c>
      <c r="C2154">
        <v>9.0500000000000007</v>
      </c>
      <c r="D2154">
        <v>9.2100000000000009</v>
      </c>
      <c r="E2154">
        <v>9.01</v>
      </c>
      <c r="F2154">
        <v>9.09</v>
      </c>
      <c r="G2154">
        <v>121168</v>
      </c>
      <c r="H2154">
        <v>110139616</v>
      </c>
      <c r="I2154">
        <v>0.83</v>
      </c>
      <c r="J2154" t="s">
        <v>15</v>
      </c>
      <c r="K2154" t="s">
        <v>727</v>
      </c>
      <c r="L2154">
        <v>0.11</v>
      </c>
      <c r="M2154">
        <v>9.09</v>
      </c>
      <c r="N2154">
        <v>62037</v>
      </c>
      <c r="O2154">
        <v>59131</v>
      </c>
      <c r="P2154">
        <v>1.05</v>
      </c>
      <c r="Q2154">
        <v>782</v>
      </c>
      <c r="R2154">
        <v>568</v>
      </c>
      <c r="S2154" t="s">
        <v>3</v>
      </c>
      <c r="T2154">
        <v>34056.550000000003</v>
      </c>
      <c r="U2154" t="s">
        <v>5425</v>
      </c>
      <c r="V2154" t="s">
        <v>5425</v>
      </c>
      <c r="W2154">
        <v>0.11</v>
      </c>
    </row>
    <row r="2155" spans="1:23">
      <c r="A2155" t="str">
        <f>"600697"</f>
        <v>600697</v>
      </c>
      <c r="B2155" t="s">
        <v>5426</v>
      </c>
      <c r="C2155">
        <v>20.12</v>
      </c>
      <c r="D2155">
        <v>20.55</v>
      </c>
      <c r="E2155">
        <v>20.02</v>
      </c>
      <c r="F2155">
        <v>20.38</v>
      </c>
      <c r="G2155">
        <v>19380</v>
      </c>
      <c r="H2155">
        <v>39373716</v>
      </c>
      <c r="I2155">
        <v>1.28</v>
      </c>
      <c r="J2155" t="s">
        <v>297</v>
      </c>
      <c r="K2155" t="s">
        <v>99</v>
      </c>
      <c r="L2155">
        <v>0.79</v>
      </c>
      <c r="M2155">
        <v>20.32</v>
      </c>
      <c r="N2155">
        <v>8869</v>
      </c>
      <c r="O2155">
        <v>10510</v>
      </c>
      <c r="P2155">
        <v>0.84</v>
      </c>
      <c r="Q2155">
        <v>112</v>
      </c>
      <c r="R2155">
        <v>41</v>
      </c>
      <c r="S2155" t="s">
        <v>3</v>
      </c>
      <c r="T2155">
        <v>15515.59</v>
      </c>
      <c r="U2155" t="s">
        <v>1272</v>
      </c>
      <c r="V2155" t="s">
        <v>3881</v>
      </c>
      <c r="W2155">
        <v>0.79</v>
      </c>
    </row>
    <row r="2156" spans="1:23">
      <c r="A2156" t="str">
        <f>"600698"</f>
        <v>600698</v>
      </c>
      <c r="B2156" t="s">
        <v>5427</v>
      </c>
      <c r="C2156">
        <v>5.55</v>
      </c>
      <c r="D2156">
        <v>5.68</v>
      </c>
      <c r="E2156">
        <v>5.48</v>
      </c>
      <c r="F2156">
        <v>5.6</v>
      </c>
      <c r="G2156">
        <v>139866</v>
      </c>
      <c r="H2156">
        <v>78289032</v>
      </c>
      <c r="I2156">
        <v>0.91</v>
      </c>
      <c r="J2156" t="s">
        <v>98</v>
      </c>
      <c r="K2156" t="s">
        <v>234</v>
      </c>
      <c r="L2156">
        <v>0.9</v>
      </c>
      <c r="M2156">
        <v>5.6</v>
      </c>
      <c r="N2156">
        <v>72497</v>
      </c>
      <c r="O2156">
        <v>67369</v>
      </c>
      <c r="P2156">
        <v>1.08</v>
      </c>
      <c r="Q2156">
        <v>688</v>
      </c>
      <c r="R2156">
        <v>4577</v>
      </c>
      <c r="S2156" t="s">
        <v>3</v>
      </c>
      <c r="T2156">
        <v>42873.96</v>
      </c>
      <c r="U2156" t="s">
        <v>2242</v>
      </c>
      <c r="V2156" t="s">
        <v>5428</v>
      </c>
      <c r="W2156">
        <v>0.9</v>
      </c>
    </row>
    <row r="2157" spans="1:23">
      <c r="A2157" t="str">
        <f>"600699"</f>
        <v>600699</v>
      </c>
      <c r="B2157" t="s">
        <v>5429</v>
      </c>
      <c r="C2157">
        <v>27.16</v>
      </c>
      <c r="D2157">
        <v>27.5</v>
      </c>
      <c r="E2157">
        <v>27.08</v>
      </c>
      <c r="F2157">
        <v>27.32</v>
      </c>
      <c r="G2157">
        <v>64120</v>
      </c>
      <c r="H2157">
        <v>174417168</v>
      </c>
      <c r="I2157">
        <v>1.36</v>
      </c>
      <c r="J2157" t="s">
        <v>98</v>
      </c>
      <c r="K2157" t="s">
        <v>229</v>
      </c>
      <c r="L2157">
        <v>0.04</v>
      </c>
      <c r="M2157">
        <v>27.2</v>
      </c>
      <c r="N2157">
        <v>35966</v>
      </c>
      <c r="O2157">
        <v>28154</v>
      </c>
      <c r="P2157">
        <v>1.28</v>
      </c>
      <c r="Q2157">
        <v>19</v>
      </c>
      <c r="R2157">
        <v>203</v>
      </c>
      <c r="S2157" t="s">
        <v>3</v>
      </c>
      <c r="T2157">
        <v>24282</v>
      </c>
      <c r="U2157" t="s">
        <v>4517</v>
      </c>
      <c r="V2157" t="s">
        <v>5430</v>
      </c>
      <c r="W2157">
        <v>0.03</v>
      </c>
    </row>
    <row r="2158" spans="1:23">
      <c r="A2158" t="str">
        <f>"600701"</f>
        <v>600701</v>
      </c>
      <c r="B2158" t="s">
        <v>5431</v>
      </c>
      <c r="C2158">
        <v>5.37</v>
      </c>
      <c r="D2158">
        <v>5.48</v>
      </c>
      <c r="E2158">
        <v>5.35</v>
      </c>
      <c r="F2158">
        <v>5.44</v>
      </c>
      <c r="G2158">
        <v>157395</v>
      </c>
      <c r="H2158">
        <v>85259392</v>
      </c>
      <c r="I2158">
        <v>1</v>
      </c>
      <c r="J2158" t="s">
        <v>26</v>
      </c>
      <c r="K2158" t="s">
        <v>565</v>
      </c>
      <c r="L2158">
        <v>1.49</v>
      </c>
      <c r="M2158">
        <v>5.42</v>
      </c>
      <c r="N2158">
        <v>80127</v>
      </c>
      <c r="O2158">
        <v>77267</v>
      </c>
      <c r="P2158">
        <v>1.04</v>
      </c>
      <c r="Q2158">
        <v>1018</v>
      </c>
      <c r="R2158">
        <v>1416</v>
      </c>
      <c r="S2158" t="s">
        <v>3</v>
      </c>
      <c r="T2158">
        <v>49878.19</v>
      </c>
      <c r="U2158" t="s">
        <v>3561</v>
      </c>
      <c r="V2158" t="s">
        <v>3561</v>
      </c>
      <c r="W2158">
        <v>1.49</v>
      </c>
    </row>
    <row r="2159" spans="1:23">
      <c r="A2159" t="str">
        <f>"600702"</f>
        <v>600702</v>
      </c>
      <c r="B2159" t="s">
        <v>5432</v>
      </c>
      <c r="C2159">
        <v>15.28</v>
      </c>
      <c r="D2159">
        <v>15.4</v>
      </c>
      <c r="E2159">
        <v>15.06</v>
      </c>
      <c r="F2159">
        <v>15.17</v>
      </c>
      <c r="G2159">
        <v>53897</v>
      </c>
      <c r="H2159">
        <v>81760432</v>
      </c>
      <c r="I2159">
        <v>0.38</v>
      </c>
      <c r="J2159" t="s">
        <v>531</v>
      </c>
      <c r="K2159" t="s">
        <v>225</v>
      </c>
      <c r="L2159">
        <v>-1.37</v>
      </c>
      <c r="M2159">
        <v>15.17</v>
      </c>
      <c r="N2159">
        <v>32004</v>
      </c>
      <c r="O2159">
        <v>21892</v>
      </c>
      <c r="P2159">
        <v>1.46</v>
      </c>
      <c r="Q2159">
        <v>154</v>
      </c>
      <c r="R2159">
        <v>258</v>
      </c>
      <c r="S2159" t="s">
        <v>3</v>
      </c>
      <c r="T2159">
        <v>33730</v>
      </c>
      <c r="U2159" t="s">
        <v>5433</v>
      </c>
      <c r="V2159" t="s">
        <v>5433</v>
      </c>
      <c r="W2159">
        <v>-1.37</v>
      </c>
    </row>
    <row r="2160" spans="1:23">
      <c r="A2160" t="str">
        <f>"600703"</f>
        <v>600703</v>
      </c>
      <c r="B2160" t="s">
        <v>5434</v>
      </c>
      <c r="C2160">
        <v>15.06</v>
      </c>
      <c r="D2160">
        <v>15.1</v>
      </c>
      <c r="E2160">
        <v>14.82</v>
      </c>
      <c r="F2160">
        <v>14.89</v>
      </c>
      <c r="G2160">
        <v>343698</v>
      </c>
      <c r="H2160">
        <v>512642336</v>
      </c>
      <c r="I2160">
        <v>0.97</v>
      </c>
      <c r="J2160" t="s">
        <v>1581</v>
      </c>
      <c r="K2160" t="s">
        <v>317</v>
      </c>
      <c r="L2160">
        <v>-1</v>
      </c>
      <c r="M2160">
        <v>14.92</v>
      </c>
      <c r="N2160">
        <v>199945</v>
      </c>
      <c r="O2160">
        <v>143752</v>
      </c>
      <c r="P2160">
        <v>1.39</v>
      </c>
      <c r="Q2160">
        <v>272</v>
      </c>
      <c r="R2160">
        <v>987</v>
      </c>
      <c r="S2160" t="s">
        <v>3</v>
      </c>
      <c r="T2160">
        <v>216602.06</v>
      </c>
      <c r="U2160" t="s">
        <v>5435</v>
      </c>
      <c r="V2160" t="s">
        <v>5436</v>
      </c>
      <c r="W2160">
        <v>-1</v>
      </c>
    </row>
    <row r="2161" spans="1:23">
      <c r="A2161" t="str">
        <f>"600704"</f>
        <v>600704</v>
      </c>
      <c r="B2161" t="s">
        <v>5437</v>
      </c>
      <c r="C2161">
        <v>9.9</v>
      </c>
      <c r="D2161">
        <v>10.44</v>
      </c>
      <c r="E2161">
        <v>9.73</v>
      </c>
      <c r="F2161">
        <v>10.09</v>
      </c>
      <c r="G2161">
        <v>400235</v>
      </c>
      <c r="H2161">
        <v>402541696</v>
      </c>
      <c r="I2161">
        <v>1.97</v>
      </c>
      <c r="J2161" t="s">
        <v>173</v>
      </c>
      <c r="K2161" t="s">
        <v>229</v>
      </c>
      <c r="L2161">
        <v>1.31</v>
      </c>
      <c r="M2161">
        <v>10.06</v>
      </c>
      <c r="N2161">
        <v>193289</v>
      </c>
      <c r="O2161">
        <v>206946</v>
      </c>
      <c r="P2161">
        <v>0.93</v>
      </c>
      <c r="Q2161">
        <v>11</v>
      </c>
      <c r="R2161">
        <v>4782</v>
      </c>
      <c r="S2161" t="s">
        <v>3</v>
      </c>
      <c r="T2161">
        <v>79051.570000000007</v>
      </c>
      <c r="U2161" t="s">
        <v>5438</v>
      </c>
      <c r="V2161" t="s">
        <v>5439</v>
      </c>
      <c r="W2161">
        <v>1.3</v>
      </c>
    </row>
    <row r="2162" spans="1:23">
      <c r="A2162" t="str">
        <f>"600705"</f>
        <v>600705</v>
      </c>
      <c r="B2162" t="s">
        <v>5440</v>
      </c>
      <c r="C2162" t="s">
        <v>3</v>
      </c>
      <c r="D2162" t="s">
        <v>3</v>
      </c>
      <c r="E2162" t="s">
        <v>3</v>
      </c>
      <c r="F2162">
        <v>18.829999999999998</v>
      </c>
      <c r="G2162">
        <v>0</v>
      </c>
      <c r="H2162">
        <v>0</v>
      </c>
      <c r="I2162">
        <v>0</v>
      </c>
      <c r="J2162" t="s">
        <v>293</v>
      </c>
      <c r="K2162" t="s">
        <v>565</v>
      </c>
      <c r="L2162">
        <v>0</v>
      </c>
      <c r="M2162">
        <v>18.829999999999998</v>
      </c>
      <c r="N2162">
        <v>0</v>
      </c>
      <c r="O2162">
        <v>0</v>
      </c>
      <c r="P2162" t="s">
        <v>3</v>
      </c>
      <c r="Q2162">
        <v>0</v>
      </c>
      <c r="R2162">
        <v>0</v>
      </c>
      <c r="S2162" t="s">
        <v>3</v>
      </c>
      <c r="T2162">
        <v>74464.210000000006</v>
      </c>
      <c r="U2162" t="s">
        <v>5441</v>
      </c>
      <c r="V2162" t="s">
        <v>5442</v>
      </c>
      <c r="W2162">
        <v>0</v>
      </c>
    </row>
    <row r="2163" spans="1:23">
      <c r="A2163" t="str">
        <f>"600706"</f>
        <v>600706</v>
      </c>
      <c r="B2163" t="s">
        <v>5443</v>
      </c>
      <c r="C2163">
        <v>14.01</v>
      </c>
      <c r="D2163">
        <v>14.17</v>
      </c>
      <c r="E2163">
        <v>13.92</v>
      </c>
      <c r="F2163">
        <v>14.04</v>
      </c>
      <c r="G2163">
        <v>46087</v>
      </c>
      <c r="H2163">
        <v>64737224</v>
      </c>
      <c r="I2163">
        <v>0.64</v>
      </c>
      <c r="J2163" t="s">
        <v>625</v>
      </c>
      <c r="K2163" t="s">
        <v>389</v>
      </c>
      <c r="L2163">
        <v>-0.14000000000000001</v>
      </c>
      <c r="M2163">
        <v>14.05</v>
      </c>
      <c r="N2163">
        <v>25179</v>
      </c>
      <c r="O2163">
        <v>20907</v>
      </c>
      <c r="P2163">
        <v>1.2</v>
      </c>
      <c r="Q2163">
        <v>243</v>
      </c>
      <c r="R2163">
        <v>172</v>
      </c>
      <c r="S2163" t="s">
        <v>3</v>
      </c>
      <c r="T2163">
        <v>8573.24</v>
      </c>
      <c r="U2163" t="s">
        <v>5444</v>
      </c>
      <c r="V2163" t="s">
        <v>4386</v>
      </c>
      <c r="W2163">
        <v>-0.15</v>
      </c>
    </row>
    <row r="2164" spans="1:23">
      <c r="A2164" t="str">
        <f>"600707"</f>
        <v>600707</v>
      </c>
      <c r="B2164" t="s">
        <v>5445</v>
      </c>
      <c r="C2164">
        <v>8.76</v>
      </c>
      <c r="D2164">
        <v>9.06</v>
      </c>
      <c r="E2164">
        <v>8.6999999999999993</v>
      </c>
      <c r="F2164">
        <v>9.0399999999999991</v>
      </c>
      <c r="G2164">
        <v>161675</v>
      </c>
      <c r="H2164">
        <v>143626480</v>
      </c>
      <c r="I2164">
        <v>1.08</v>
      </c>
      <c r="J2164" t="s">
        <v>62</v>
      </c>
      <c r="K2164" t="s">
        <v>389</v>
      </c>
      <c r="L2164">
        <v>2.84</v>
      </c>
      <c r="M2164">
        <v>8.8800000000000008</v>
      </c>
      <c r="N2164">
        <v>70441</v>
      </c>
      <c r="O2164">
        <v>91233</v>
      </c>
      <c r="P2164">
        <v>0.77</v>
      </c>
      <c r="Q2164">
        <v>649</v>
      </c>
      <c r="R2164">
        <v>10</v>
      </c>
      <c r="S2164" t="s">
        <v>3</v>
      </c>
      <c r="T2164">
        <v>73471.77</v>
      </c>
      <c r="U2164" t="s">
        <v>5446</v>
      </c>
      <c r="V2164" t="s">
        <v>5447</v>
      </c>
      <c r="W2164">
        <v>2.84</v>
      </c>
    </row>
    <row r="2165" spans="1:23">
      <c r="A2165" t="str">
        <f>"600708"</f>
        <v>600708</v>
      </c>
      <c r="B2165" t="s">
        <v>5448</v>
      </c>
      <c r="C2165">
        <v>8.3800000000000008</v>
      </c>
      <c r="D2165">
        <v>8.42</v>
      </c>
      <c r="E2165">
        <v>8.27</v>
      </c>
      <c r="F2165">
        <v>8.32</v>
      </c>
      <c r="G2165">
        <v>149989</v>
      </c>
      <c r="H2165">
        <v>124700616</v>
      </c>
      <c r="I2165">
        <v>1.3</v>
      </c>
      <c r="J2165" t="s">
        <v>314</v>
      </c>
      <c r="K2165" t="s">
        <v>727</v>
      </c>
      <c r="L2165">
        <v>-0.72</v>
      </c>
      <c r="M2165">
        <v>8.31</v>
      </c>
      <c r="N2165">
        <v>88422</v>
      </c>
      <c r="O2165">
        <v>61567</v>
      </c>
      <c r="P2165">
        <v>1.44</v>
      </c>
      <c r="Q2165">
        <v>80</v>
      </c>
      <c r="R2165">
        <v>761</v>
      </c>
      <c r="S2165" t="s">
        <v>3</v>
      </c>
      <c r="T2165">
        <v>50838.26</v>
      </c>
      <c r="U2165" t="s">
        <v>2653</v>
      </c>
      <c r="V2165" t="s">
        <v>5449</v>
      </c>
      <c r="W2165">
        <v>-0.72</v>
      </c>
    </row>
    <row r="2166" spans="1:23">
      <c r="A2166" t="str">
        <f>"600710"</f>
        <v>600710</v>
      </c>
      <c r="B2166" t="s">
        <v>5450</v>
      </c>
      <c r="C2166">
        <v>3.71</v>
      </c>
      <c r="D2166">
        <v>3.75</v>
      </c>
      <c r="E2166">
        <v>3.66</v>
      </c>
      <c r="F2166">
        <v>3.71</v>
      </c>
      <c r="G2166">
        <v>89796</v>
      </c>
      <c r="H2166">
        <v>33273644</v>
      </c>
      <c r="I2166">
        <v>1.08</v>
      </c>
      <c r="J2166" t="s">
        <v>233</v>
      </c>
      <c r="K2166" t="s">
        <v>244</v>
      </c>
      <c r="L2166">
        <v>0.27</v>
      </c>
      <c r="M2166">
        <v>3.71</v>
      </c>
      <c r="N2166">
        <v>48754</v>
      </c>
      <c r="O2166">
        <v>41042</v>
      </c>
      <c r="P2166">
        <v>1.19</v>
      </c>
      <c r="Q2166">
        <v>307</v>
      </c>
      <c r="R2166">
        <v>2898</v>
      </c>
      <c r="S2166" t="s">
        <v>3</v>
      </c>
      <c r="T2166">
        <v>64028.39</v>
      </c>
      <c r="U2166" t="s">
        <v>5451</v>
      </c>
      <c r="V2166" t="s">
        <v>5451</v>
      </c>
      <c r="W2166">
        <v>0.27</v>
      </c>
    </row>
    <row r="2167" spans="1:23">
      <c r="A2167" t="str">
        <f>"600711"</f>
        <v>600711</v>
      </c>
      <c r="B2167" t="s">
        <v>5452</v>
      </c>
      <c r="C2167">
        <v>18.75</v>
      </c>
      <c r="D2167">
        <v>20.2</v>
      </c>
      <c r="E2167">
        <v>18.3</v>
      </c>
      <c r="F2167">
        <v>19.510000000000002</v>
      </c>
      <c r="G2167">
        <v>863645</v>
      </c>
      <c r="H2167">
        <v>1656034304</v>
      </c>
      <c r="I2167">
        <v>1.72</v>
      </c>
      <c r="J2167" t="s">
        <v>328</v>
      </c>
      <c r="K2167" t="s">
        <v>414</v>
      </c>
      <c r="L2167">
        <v>5.69</v>
      </c>
      <c r="M2167">
        <v>19.170000000000002</v>
      </c>
      <c r="N2167">
        <v>399206</v>
      </c>
      <c r="O2167">
        <v>464439</v>
      </c>
      <c r="P2167">
        <v>0.86</v>
      </c>
      <c r="Q2167">
        <v>541</v>
      </c>
      <c r="R2167">
        <v>58</v>
      </c>
      <c r="S2167" t="s">
        <v>3</v>
      </c>
      <c r="T2167">
        <v>32013.68</v>
      </c>
      <c r="U2167" t="s">
        <v>5453</v>
      </c>
      <c r="V2167" t="s">
        <v>5454</v>
      </c>
      <c r="W2167">
        <v>5.68</v>
      </c>
    </row>
    <row r="2168" spans="1:23">
      <c r="A2168" t="str">
        <f>"600712"</f>
        <v>600712</v>
      </c>
      <c r="B2168" t="s">
        <v>5455</v>
      </c>
      <c r="C2168">
        <v>4.7</v>
      </c>
      <c r="D2168">
        <v>4.78</v>
      </c>
      <c r="E2168">
        <v>4.6500000000000004</v>
      </c>
      <c r="F2168">
        <v>4.72</v>
      </c>
      <c r="G2168">
        <v>123190</v>
      </c>
      <c r="H2168">
        <v>58065456</v>
      </c>
      <c r="I2168">
        <v>1</v>
      </c>
      <c r="J2168" t="s">
        <v>297</v>
      </c>
      <c r="K2168" t="s">
        <v>417</v>
      </c>
      <c r="L2168">
        <v>0.21</v>
      </c>
      <c r="M2168">
        <v>4.71</v>
      </c>
      <c r="N2168">
        <v>63717</v>
      </c>
      <c r="O2168">
        <v>59473</v>
      </c>
      <c r="P2168">
        <v>1.07</v>
      </c>
      <c r="Q2168">
        <v>399</v>
      </c>
      <c r="R2168">
        <v>992</v>
      </c>
      <c r="S2168" t="s">
        <v>3</v>
      </c>
      <c r="T2168">
        <v>53772.91</v>
      </c>
      <c r="U2168" t="s">
        <v>753</v>
      </c>
      <c r="V2168" t="s">
        <v>1485</v>
      </c>
      <c r="W2168">
        <v>0.21</v>
      </c>
    </row>
    <row r="2169" spans="1:23">
      <c r="A2169" t="str">
        <f>"600713"</f>
        <v>600713</v>
      </c>
      <c r="B2169" t="s">
        <v>5456</v>
      </c>
      <c r="C2169">
        <v>7.09</v>
      </c>
      <c r="D2169">
        <v>7.25</v>
      </c>
      <c r="E2169">
        <v>7.03</v>
      </c>
      <c r="F2169">
        <v>7.19</v>
      </c>
      <c r="G2169">
        <v>186956</v>
      </c>
      <c r="H2169">
        <v>133585896</v>
      </c>
      <c r="I2169">
        <v>1.1399999999999999</v>
      </c>
      <c r="J2169" t="s">
        <v>91</v>
      </c>
      <c r="K2169" t="s">
        <v>244</v>
      </c>
      <c r="L2169">
        <v>1.41</v>
      </c>
      <c r="M2169">
        <v>7.15</v>
      </c>
      <c r="N2169">
        <v>88102</v>
      </c>
      <c r="O2169">
        <v>98853</v>
      </c>
      <c r="P2169">
        <v>0.89</v>
      </c>
      <c r="Q2169">
        <v>66</v>
      </c>
      <c r="R2169">
        <v>2750</v>
      </c>
      <c r="S2169" t="s">
        <v>3</v>
      </c>
      <c r="T2169">
        <v>69358.070000000007</v>
      </c>
      <c r="U2169" t="s">
        <v>1792</v>
      </c>
      <c r="V2169" t="s">
        <v>1792</v>
      </c>
      <c r="W2169">
        <v>1.41</v>
      </c>
    </row>
    <row r="2170" spans="1:23">
      <c r="A2170" t="str">
        <f>"600714"</f>
        <v>600714</v>
      </c>
      <c r="B2170" t="s">
        <v>5457</v>
      </c>
      <c r="C2170">
        <v>10.14</v>
      </c>
      <c r="D2170">
        <v>10.32</v>
      </c>
      <c r="E2170">
        <v>10.029999999999999</v>
      </c>
      <c r="F2170">
        <v>10.119999999999999</v>
      </c>
      <c r="G2170">
        <v>39861</v>
      </c>
      <c r="H2170">
        <v>40460596</v>
      </c>
      <c r="I2170">
        <v>0.93</v>
      </c>
      <c r="J2170" t="s">
        <v>482</v>
      </c>
      <c r="K2170" t="s">
        <v>613</v>
      </c>
      <c r="L2170">
        <v>0.2</v>
      </c>
      <c r="M2170">
        <v>10.15</v>
      </c>
      <c r="N2170">
        <v>21801</v>
      </c>
      <c r="O2170">
        <v>18060</v>
      </c>
      <c r="P2170">
        <v>1.21</v>
      </c>
      <c r="Q2170">
        <v>14</v>
      </c>
      <c r="R2170">
        <v>258</v>
      </c>
      <c r="S2170" t="s">
        <v>3</v>
      </c>
      <c r="T2170">
        <v>27340.44</v>
      </c>
      <c r="U2170" t="s">
        <v>5458</v>
      </c>
      <c r="V2170" t="s">
        <v>5458</v>
      </c>
      <c r="W2170">
        <v>0.19</v>
      </c>
    </row>
    <row r="2171" spans="1:23">
      <c r="A2171" t="str">
        <f>"600715"</f>
        <v>600715</v>
      </c>
      <c r="B2171" t="s">
        <v>5459</v>
      </c>
      <c r="C2171">
        <v>17.66</v>
      </c>
      <c r="D2171">
        <v>17.71</v>
      </c>
      <c r="E2171">
        <v>16.77</v>
      </c>
      <c r="F2171">
        <v>17.05</v>
      </c>
      <c r="G2171">
        <v>123246</v>
      </c>
      <c r="H2171">
        <v>211196064</v>
      </c>
      <c r="I2171">
        <v>0.77</v>
      </c>
      <c r="J2171" t="s">
        <v>98</v>
      </c>
      <c r="K2171" t="s">
        <v>162</v>
      </c>
      <c r="L2171">
        <v>-2.9</v>
      </c>
      <c r="M2171">
        <v>17.14</v>
      </c>
      <c r="N2171">
        <v>68225</v>
      </c>
      <c r="O2171">
        <v>55021</v>
      </c>
      <c r="P2171">
        <v>1.24</v>
      </c>
      <c r="Q2171">
        <v>15</v>
      </c>
      <c r="R2171">
        <v>16</v>
      </c>
      <c r="S2171" t="s">
        <v>3</v>
      </c>
      <c r="T2171">
        <v>22425.59</v>
      </c>
      <c r="U2171" t="s">
        <v>5460</v>
      </c>
      <c r="V2171" t="s">
        <v>5460</v>
      </c>
      <c r="W2171">
        <v>-2.91</v>
      </c>
    </row>
    <row r="2172" spans="1:23">
      <c r="A2172" t="str">
        <f>"600716"</f>
        <v>600716</v>
      </c>
      <c r="B2172" t="s">
        <v>5461</v>
      </c>
      <c r="C2172">
        <v>8.69</v>
      </c>
      <c r="D2172">
        <v>8.6999999999999993</v>
      </c>
      <c r="E2172">
        <v>8.5500000000000007</v>
      </c>
      <c r="F2172">
        <v>8.61</v>
      </c>
      <c r="G2172">
        <v>116426</v>
      </c>
      <c r="H2172">
        <v>100403880</v>
      </c>
      <c r="I2172">
        <v>0.59</v>
      </c>
      <c r="J2172" t="s">
        <v>15</v>
      </c>
      <c r="K2172" t="s">
        <v>244</v>
      </c>
      <c r="L2172">
        <v>-0.92</v>
      </c>
      <c r="M2172">
        <v>8.6199999999999992</v>
      </c>
      <c r="N2172">
        <v>65275</v>
      </c>
      <c r="O2172">
        <v>51150</v>
      </c>
      <c r="P2172">
        <v>1.28</v>
      </c>
      <c r="Q2172">
        <v>520</v>
      </c>
      <c r="R2172">
        <v>386</v>
      </c>
      <c r="S2172" t="s">
        <v>3</v>
      </c>
      <c r="T2172">
        <v>74060.06</v>
      </c>
      <c r="U2172" t="s">
        <v>5462</v>
      </c>
      <c r="V2172" t="s">
        <v>5462</v>
      </c>
      <c r="W2172">
        <v>-0.92</v>
      </c>
    </row>
    <row r="2173" spans="1:23">
      <c r="A2173" t="str">
        <f>"600717"</f>
        <v>600717</v>
      </c>
      <c r="B2173" t="s">
        <v>5463</v>
      </c>
      <c r="C2173">
        <v>10</v>
      </c>
      <c r="D2173">
        <v>10.32</v>
      </c>
      <c r="E2173">
        <v>9.92</v>
      </c>
      <c r="F2173">
        <v>10.029999999999999</v>
      </c>
      <c r="G2173">
        <v>607510</v>
      </c>
      <c r="H2173">
        <v>611696576</v>
      </c>
      <c r="I2173">
        <v>1.0900000000000001</v>
      </c>
      <c r="J2173" t="s">
        <v>70</v>
      </c>
      <c r="K2173" t="s">
        <v>442</v>
      </c>
      <c r="L2173">
        <v>1.1100000000000001</v>
      </c>
      <c r="M2173">
        <v>10.07</v>
      </c>
      <c r="N2173">
        <v>327719</v>
      </c>
      <c r="O2173">
        <v>279791</v>
      </c>
      <c r="P2173">
        <v>1.17</v>
      </c>
      <c r="Q2173">
        <v>158</v>
      </c>
      <c r="R2173">
        <v>2478</v>
      </c>
      <c r="S2173" t="s">
        <v>3</v>
      </c>
      <c r="T2173">
        <v>167476.91</v>
      </c>
      <c r="U2173" t="s">
        <v>5464</v>
      </c>
      <c r="V2173" t="s">
        <v>5464</v>
      </c>
      <c r="W2173">
        <v>1.1000000000000001</v>
      </c>
    </row>
    <row r="2174" spans="1:23">
      <c r="A2174" t="str">
        <f>"600718"</f>
        <v>600718</v>
      </c>
      <c r="B2174" t="s">
        <v>5465</v>
      </c>
      <c r="C2174">
        <v>13.95</v>
      </c>
      <c r="D2174">
        <v>14.17</v>
      </c>
      <c r="E2174">
        <v>13.78</v>
      </c>
      <c r="F2174">
        <v>14.09</v>
      </c>
      <c r="G2174">
        <v>330534</v>
      </c>
      <c r="H2174">
        <v>462724736</v>
      </c>
      <c r="I2174">
        <v>1.1299999999999999</v>
      </c>
      <c r="J2174" t="s">
        <v>758</v>
      </c>
      <c r="K2174" t="s">
        <v>162</v>
      </c>
      <c r="L2174">
        <v>1.44</v>
      </c>
      <c r="M2174">
        <v>14</v>
      </c>
      <c r="N2174">
        <v>161617</v>
      </c>
      <c r="O2174">
        <v>168917</v>
      </c>
      <c r="P2174">
        <v>0.96</v>
      </c>
      <c r="Q2174">
        <v>335</v>
      </c>
      <c r="R2174">
        <v>978</v>
      </c>
      <c r="S2174" t="s">
        <v>3</v>
      </c>
      <c r="T2174">
        <v>122759.42</v>
      </c>
      <c r="U2174" t="s">
        <v>5466</v>
      </c>
      <c r="V2174" t="s">
        <v>5466</v>
      </c>
      <c r="W2174">
        <v>1.44</v>
      </c>
    </row>
    <row r="2175" spans="1:23">
      <c r="A2175" t="str">
        <f>"600719"</f>
        <v>600719</v>
      </c>
      <c r="B2175" t="s">
        <v>5467</v>
      </c>
      <c r="C2175">
        <v>7.98</v>
      </c>
      <c r="D2175">
        <v>8.02</v>
      </c>
      <c r="E2175">
        <v>7.91</v>
      </c>
      <c r="F2175">
        <v>8</v>
      </c>
      <c r="G2175">
        <v>36204</v>
      </c>
      <c r="H2175">
        <v>28903512</v>
      </c>
      <c r="I2175">
        <v>0.79</v>
      </c>
      <c r="J2175" t="s">
        <v>581</v>
      </c>
      <c r="K2175" t="s">
        <v>162</v>
      </c>
      <c r="L2175">
        <v>0.25</v>
      </c>
      <c r="M2175">
        <v>7.98</v>
      </c>
      <c r="N2175">
        <v>17676</v>
      </c>
      <c r="O2175">
        <v>18528</v>
      </c>
      <c r="P2175">
        <v>0.95</v>
      </c>
      <c r="Q2175">
        <v>50</v>
      </c>
      <c r="R2175">
        <v>174</v>
      </c>
      <c r="S2175" t="s">
        <v>3</v>
      </c>
      <c r="T2175">
        <v>20229.98</v>
      </c>
      <c r="U2175" t="s">
        <v>2880</v>
      </c>
      <c r="V2175" t="s">
        <v>2880</v>
      </c>
      <c r="W2175">
        <v>0.25</v>
      </c>
    </row>
    <row r="2176" spans="1:23">
      <c r="A2176" t="str">
        <f>"600720"</f>
        <v>600720</v>
      </c>
      <c r="B2176" t="s">
        <v>5468</v>
      </c>
      <c r="C2176">
        <v>7.03</v>
      </c>
      <c r="D2176">
        <v>7.06</v>
      </c>
      <c r="E2176">
        <v>6.98</v>
      </c>
      <c r="F2176">
        <v>7.05</v>
      </c>
      <c r="G2176">
        <v>140088</v>
      </c>
      <c r="H2176">
        <v>98436928</v>
      </c>
      <c r="I2176">
        <v>0.97</v>
      </c>
      <c r="J2176" t="s">
        <v>258</v>
      </c>
      <c r="K2176" t="s">
        <v>483</v>
      </c>
      <c r="L2176">
        <v>0.43</v>
      </c>
      <c r="M2176">
        <v>7.03</v>
      </c>
      <c r="N2176">
        <v>58726</v>
      </c>
      <c r="O2176">
        <v>81362</v>
      </c>
      <c r="P2176">
        <v>0.72</v>
      </c>
      <c r="Q2176">
        <v>1200</v>
      </c>
      <c r="R2176">
        <v>5959</v>
      </c>
      <c r="S2176" t="s">
        <v>3</v>
      </c>
      <c r="T2176">
        <v>77616.27</v>
      </c>
      <c r="U2176" t="s">
        <v>516</v>
      </c>
      <c r="V2176" t="s">
        <v>5469</v>
      </c>
      <c r="W2176">
        <v>0.42</v>
      </c>
    </row>
    <row r="2177" spans="1:23">
      <c r="A2177" t="str">
        <f>"600721"</f>
        <v>600721</v>
      </c>
      <c r="B2177" t="s">
        <v>5470</v>
      </c>
      <c r="C2177">
        <v>9.36</v>
      </c>
      <c r="D2177">
        <v>9.4499999999999993</v>
      </c>
      <c r="E2177">
        <v>9.17</v>
      </c>
      <c r="F2177">
        <v>9.31</v>
      </c>
      <c r="G2177">
        <v>34181</v>
      </c>
      <c r="H2177">
        <v>31681584</v>
      </c>
      <c r="I2177">
        <v>0.87</v>
      </c>
      <c r="J2177" t="s">
        <v>856</v>
      </c>
      <c r="K2177" t="s">
        <v>241</v>
      </c>
      <c r="L2177">
        <v>-0.75</v>
      </c>
      <c r="M2177">
        <v>9.27</v>
      </c>
      <c r="N2177">
        <v>21736</v>
      </c>
      <c r="O2177">
        <v>12444</v>
      </c>
      <c r="P2177">
        <v>1.75</v>
      </c>
      <c r="Q2177">
        <v>15</v>
      </c>
      <c r="R2177">
        <v>88</v>
      </c>
      <c r="S2177" t="s">
        <v>3</v>
      </c>
      <c r="T2177">
        <v>11995.84</v>
      </c>
      <c r="U2177" t="s">
        <v>5471</v>
      </c>
      <c r="V2177" t="s">
        <v>3794</v>
      </c>
      <c r="W2177">
        <v>-0.75</v>
      </c>
    </row>
    <row r="2178" spans="1:23">
      <c r="A2178" t="str">
        <f>"600722"</f>
        <v>600722</v>
      </c>
      <c r="B2178" t="s">
        <v>5472</v>
      </c>
      <c r="C2178">
        <v>5.12</v>
      </c>
      <c r="D2178">
        <v>5.16</v>
      </c>
      <c r="E2178">
        <v>5.01</v>
      </c>
      <c r="F2178">
        <v>5.0599999999999996</v>
      </c>
      <c r="G2178">
        <v>126017</v>
      </c>
      <c r="H2178">
        <v>63889756</v>
      </c>
      <c r="I2178">
        <v>1.43</v>
      </c>
      <c r="J2178" t="s">
        <v>376</v>
      </c>
      <c r="K2178" t="s">
        <v>238</v>
      </c>
      <c r="L2178">
        <v>-1.17</v>
      </c>
      <c r="M2178">
        <v>5.07</v>
      </c>
      <c r="N2178">
        <v>79901</v>
      </c>
      <c r="O2178">
        <v>46115</v>
      </c>
      <c r="P2178">
        <v>1.73</v>
      </c>
      <c r="Q2178">
        <v>194</v>
      </c>
      <c r="R2178">
        <v>363</v>
      </c>
      <c r="S2178" t="s">
        <v>3</v>
      </c>
      <c r="T2178">
        <v>42142</v>
      </c>
      <c r="U2178" t="s">
        <v>5473</v>
      </c>
      <c r="V2178" t="s">
        <v>5474</v>
      </c>
      <c r="W2178">
        <v>-1.18</v>
      </c>
    </row>
    <row r="2179" spans="1:23">
      <c r="A2179" t="str">
        <f>"600723"</f>
        <v>600723</v>
      </c>
      <c r="B2179" t="s">
        <v>5475</v>
      </c>
      <c r="C2179">
        <v>6.78</v>
      </c>
      <c r="D2179">
        <v>6.89</v>
      </c>
      <c r="E2179">
        <v>6.77</v>
      </c>
      <c r="F2179">
        <v>6.79</v>
      </c>
      <c r="G2179">
        <v>87029</v>
      </c>
      <c r="H2179">
        <v>59414448</v>
      </c>
      <c r="I2179">
        <v>0.97</v>
      </c>
      <c r="J2179" t="s">
        <v>297</v>
      </c>
      <c r="K2179" t="s">
        <v>34</v>
      </c>
      <c r="L2179">
        <v>0.15</v>
      </c>
      <c r="M2179">
        <v>6.83</v>
      </c>
      <c r="N2179">
        <v>50722</v>
      </c>
      <c r="O2179">
        <v>36306</v>
      </c>
      <c r="P2179">
        <v>1.4</v>
      </c>
      <c r="Q2179">
        <v>95</v>
      </c>
      <c r="R2179">
        <v>78</v>
      </c>
      <c r="S2179" t="s">
        <v>3</v>
      </c>
      <c r="T2179">
        <v>65722.45</v>
      </c>
      <c r="U2179" t="s">
        <v>5476</v>
      </c>
      <c r="V2179" t="s">
        <v>5477</v>
      </c>
      <c r="W2179">
        <v>0.14000000000000001</v>
      </c>
    </row>
    <row r="2180" spans="1:23">
      <c r="A2180" t="str">
        <f>"600724"</f>
        <v>600724</v>
      </c>
      <c r="B2180" t="s">
        <v>5478</v>
      </c>
      <c r="C2180">
        <v>4.83</v>
      </c>
      <c r="D2180">
        <v>4.9400000000000004</v>
      </c>
      <c r="E2180">
        <v>4.8099999999999996</v>
      </c>
      <c r="F2180">
        <v>4.9000000000000004</v>
      </c>
      <c r="G2180">
        <v>109246</v>
      </c>
      <c r="H2180">
        <v>53410972</v>
      </c>
      <c r="I2180">
        <v>1.1000000000000001</v>
      </c>
      <c r="J2180" t="s">
        <v>15</v>
      </c>
      <c r="K2180" t="s">
        <v>229</v>
      </c>
      <c r="L2180">
        <v>2.08</v>
      </c>
      <c r="M2180">
        <v>4.8899999999999997</v>
      </c>
      <c r="N2180">
        <v>47279</v>
      </c>
      <c r="O2180">
        <v>61966</v>
      </c>
      <c r="P2180">
        <v>0.76</v>
      </c>
      <c r="Q2180">
        <v>301</v>
      </c>
      <c r="R2180">
        <v>364</v>
      </c>
      <c r="S2180" t="s">
        <v>3</v>
      </c>
      <c r="T2180">
        <v>144494.26999999999</v>
      </c>
      <c r="U2180" t="s">
        <v>5479</v>
      </c>
      <c r="V2180" t="s">
        <v>5480</v>
      </c>
      <c r="W2180">
        <v>2.08</v>
      </c>
    </row>
    <row r="2181" spans="1:23">
      <c r="A2181" t="str">
        <f>"600725"</f>
        <v>600725</v>
      </c>
      <c r="B2181" t="s">
        <v>5481</v>
      </c>
      <c r="C2181">
        <v>4.18</v>
      </c>
      <c r="D2181">
        <v>4.2</v>
      </c>
      <c r="E2181">
        <v>4.13</v>
      </c>
      <c r="F2181">
        <v>4.18</v>
      </c>
      <c r="G2181">
        <v>97213</v>
      </c>
      <c r="H2181">
        <v>40508948</v>
      </c>
      <c r="I2181">
        <v>0.69</v>
      </c>
      <c r="J2181" t="s">
        <v>856</v>
      </c>
      <c r="K2181" t="s">
        <v>445</v>
      </c>
      <c r="L2181">
        <v>0</v>
      </c>
      <c r="M2181">
        <v>4.17</v>
      </c>
      <c r="N2181">
        <v>47884</v>
      </c>
      <c r="O2181">
        <v>49328</v>
      </c>
      <c r="P2181">
        <v>0.97</v>
      </c>
      <c r="Q2181">
        <v>535</v>
      </c>
      <c r="R2181">
        <v>4565</v>
      </c>
      <c r="S2181" t="s">
        <v>3</v>
      </c>
      <c r="T2181">
        <v>61623.5</v>
      </c>
      <c r="U2181" t="s">
        <v>5482</v>
      </c>
      <c r="V2181" t="s">
        <v>5482</v>
      </c>
      <c r="W2181">
        <v>0</v>
      </c>
    </row>
    <row r="2182" spans="1:23">
      <c r="A2182" t="str">
        <f>"600726"</f>
        <v>600726</v>
      </c>
      <c r="B2182" t="s">
        <v>5483</v>
      </c>
      <c r="C2182">
        <v>4.01</v>
      </c>
      <c r="D2182">
        <v>4.03</v>
      </c>
      <c r="E2182">
        <v>3.95</v>
      </c>
      <c r="F2182">
        <v>3.99</v>
      </c>
      <c r="G2182">
        <v>133395</v>
      </c>
      <c r="H2182">
        <v>53125932</v>
      </c>
      <c r="I2182">
        <v>0.57999999999999996</v>
      </c>
      <c r="J2182" t="s">
        <v>87</v>
      </c>
      <c r="K2182" t="s">
        <v>565</v>
      </c>
      <c r="L2182">
        <v>-0.5</v>
      </c>
      <c r="M2182">
        <v>3.98</v>
      </c>
      <c r="N2182">
        <v>81447</v>
      </c>
      <c r="O2182">
        <v>51947</v>
      </c>
      <c r="P2182">
        <v>1.57</v>
      </c>
      <c r="Q2182">
        <v>1830</v>
      </c>
      <c r="R2182">
        <v>1740</v>
      </c>
      <c r="S2182" t="s">
        <v>3</v>
      </c>
      <c r="T2182">
        <v>72058.039999999994</v>
      </c>
      <c r="U2182" t="s">
        <v>5484</v>
      </c>
      <c r="V2182" t="s">
        <v>4795</v>
      </c>
      <c r="W2182">
        <v>-0.5</v>
      </c>
    </row>
    <row r="2183" spans="1:23">
      <c r="A2183" t="str">
        <f>"600727"</f>
        <v>600727</v>
      </c>
      <c r="B2183" t="s">
        <v>5485</v>
      </c>
      <c r="C2183" t="s">
        <v>3</v>
      </c>
      <c r="D2183" t="s">
        <v>3</v>
      </c>
      <c r="E2183" t="s">
        <v>3</v>
      </c>
      <c r="F2183">
        <v>5.23</v>
      </c>
      <c r="G2183">
        <v>0</v>
      </c>
      <c r="H2183">
        <v>0</v>
      </c>
      <c r="I2183">
        <v>0</v>
      </c>
      <c r="J2183" t="s">
        <v>224</v>
      </c>
      <c r="K2183" t="s">
        <v>250</v>
      </c>
      <c r="L2183">
        <v>0</v>
      </c>
      <c r="M2183">
        <v>5.23</v>
      </c>
      <c r="N2183">
        <v>0</v>
      </c>
      <c r="O2183">
        <v>0</v>
      </c>
      <c r="P2183" t="s">
        <v>3</v>
      </c>
      <c r="Q2183">
        <v>0</v>
      </c>
      <c r="R2183">
        <v>0</v>
      </c>
      <c r="S2183" t="s">
        <v>3</v>
      </c>
      <c r="T2183">
        <v>35092.660000000003</v>
      </c>
      <c r="U2183" t="s">
        <v>5486</v>
      </c>
      <c r="V2183" t="s">
        <v>5487</v>
      </c>
      <c r="W2183">
        <v>0</v>
      </c>
    </row>
    <row r="2184" spans="1:23">
      <c r="A2184" t="str">
        <f>"600728"</f>
        <v>600728</v>
      </c>
      <c r="B2184" t="s">
        <v>5488</v>
      </c>
      <c r="C2184">
        <v>14.35</v>
      </c>
      <c r="D2184">
        <v>14.58</v>
      </c>
      <c r="E2184">
        <v>14.23</v>
      </c>
      <c r="F2184">
        <v>14.37</v>
      </c>
      <c r="G2184">
        <v>95240</v>
      </c>
      <c r="H2184">
        <v>136966176</v>
      </c>
      <c r="I2184">
        <v>0.72</v>
      </c>
      <c r="J2184" t="s">
        <v>758</v>
      </c>
      <c r="K2184" t="s">
        <v>211</v>
      </c>
      <c r="L2184">
        <v>-7.0000000000000007E-2</v>
      </c>
      <c r="M2184">
        <v>14.38</v>
      </c>
      <c r="N2184">
        <v>48138</v>
      </c>
      <c r="O2184">
        <v>47101</v>
      </c>
      <c r="P2184">
        <v>1.02</v>
      </c>
      <c r="Q2184">
        <v>56</v>
      </c>
      <c r="R2184">
        <v>284</v>
      </c>
      <c r="S2184" t="s">
        <v>3</v>
      </c>
      <c r="T2184">
        <v>36280.03</v>
      </c>
      <c r="U2184" t="s">
        <v>5489</v>
      </c>
      <c r="V2184" t="s">
        <v>5490</v>
      </c>
      <c r="W2184">
        <v>-7.0000000000000007E-2</v>
      </c>
    </row>
    <row r="2185" spans="1:23">
      <c r="A2185" t="str">
        <f>"600729"</f>
        <v>600729</v>
      </c>
      <c r="B2185" t="s">
        <v>5491</v>
      </c>
      <c r="C2185">
        <v>21.26</v>
      </c>
      <c r="D2185">
        <v>21.42</v>
      </c>
      <c r="E2185">
        <v>20.95</v>
      </c>
      <c r="F2185">
        <v>21.31</v>
      </c>
      <c r="G2185">
        <v>49325</v>
      </c>
      <c r="H2185">
        <v>104562256</v>
      </c>
      <c r="I2185">
        <v>1.01</v>
      </c>
      <c r="J2185" t="s">
        <v>297</v>
      </c>
      <c r="K2185" t="s">
        <v>386</v>
      </c>
      <c r="L2185">
        <v>0.38</v>
      </c>
      <c r="M2185">
        <v>21.2</v>
      </c>
      <c r="N2185">
        <v>25349</v>
      </c>
      <c r="O2185">
        <v>23975</v>
      </c>
      <c r="P2185">
        <v>1.06</v>
      </c>
      <c r="Q2185">
        <v>92</v>
      </c>
      <c r="R2185">
        <v>131</v>
      </c>
      <c r="S2185" t="s">
        <v>3</v>
      </c>
      <c r="T2185">
        <v>37231.14</v>
      </c>
      <c r="U2185" t="s">
        <v>5492</v>
      </c>
      <c r="V2185" t="s">
        <v>1841</v>
      </c>
      <c r="W2185">
        <v>0.37</v>
      </c>
    </row>
    <row r="2186" spans="1:23">
      <c r="A2186" t="str">
        <f>"600730"</f>
        <v>600730</v>
      </c>
      <c r="B2186" t="s">
        <v>5493</v>
      </c>
      <c r="C2186">
        <v>11.33</v>
      </c>
      <c r="D2186">
        <v>11.39</v>
      </c>
      <c r="E2186">
        <v>11.11</v>
      </c>
      <c r="F2186">
        <v>11.22</v>
      </c>
      <c r="G2186">
        <v>96224</v>
      </c>
      <c r="H2186">
        <v>107719400</v>
      </c>
      <c r="I2186">
        <v>0.87</v>
      </c>
      <c r="J2186" t="s">
        <v>26</v>
      </c>
      <c r="K2186" t="s">
        <v>34</v>
      </c>
      <c r="L2186">
        <v>-0.8</v>
      </c>
      <c r="M2186">
        <v>11.19</v>
      </c>
      <c r="N2186">
        <v>54411</v>
      </c>
      <c r="O2186">
        <v>41812</v>
      </c>
      <c r="P2186">
        <v>1.3</v>
      </c>
      <c r="Q2186">
        <v>332</v>
      </c>
      <c r="R2186">
        <v>65</v>
      </c>
      <c r="S2186" t="s">
        <v>3</v>
      </c>
      <c r="T2186">
        <v>29332.799999999999</v>
      </c>
      <c r="U2186" t="s">
        <v>5494</v>
      </c>
      <c r="V2186" t="s">
        <v>5494</v>
      </c>
      <c r="W2186">
        <v>-0.8</v>
      </c>
    </row>
    <row r="2187" spans="1:23">
      <c r="A2187" t="str">
        <f>"600731"</f>
        <v>600731</v>
      </c>
      <c r="B2187" t="s">
        <v>5495</v>
      </c>
      <c r="C2187">
        <v>8</v>
      </c>
      <c r="D2187">
        <v>8.0399999999999991</v>
      </c>
      <c r="E2187">
        <v>7.91</v>
      </c>
      <c r="F2187">
        <v>8.01</v>
      </c>
      <c r="G2187">
        <v>41016</v>
      </c>
      <c r="H2187">
        <v>32724484</v>
      </c>
      <c r="I2187">
        <v>1.38</v>
      </c>
      <c r="J2187" t="s">
        <v>224</v>
      </c>
      <c r="K2187" t="s">
        <v>234</v>
      </c>
      <c r="L2187">
        <v>0.13</v>
      </c>
      <c r="M2187">
        <v>7.98</v>
      </c>
      <c r="N2187">
        <v>23193</v>
      </c>
      <c r="O2187">
        <v>17822</v>
      </c>
      <c r="P2187">
        <v>1.3</v>
      </c>
      <c r="Q2187">
        <v>102</v>
      </c>
      <c r="R2187">
        <v>751</v>
      </c>
      <c r="S2187" t="s">
        <v>3</v>
      </c>
      <c r="T2187">
        <v>25557.66</v>
      </c>
      <c r="U2187" t="s">
        <v>5496</v>
      </c>
      <c r="V2187" t="s">
        <v>787</v>
      </c>
      <c r="W2187">
        <v>0.12</v>
      </c>
    </row>
    <row r="2188" spans="1:23">
      <c r="A2188" t="str">
        <f>"600732"</f>
        <v>600732</v>
      </c>
      <c r="B2188" t="s">
        <v>5497</v>
      </c>
      <c r="C2188">
        <v>6.63</v>
      </c>
      <c r="D2188">
        <v>6.87</v>
      </c>
      <c r="E2188">
        <v>6.55</v>
      </c>
      <c r="F2188">
        <v>6.81</v>
      </c>
      <c r="G2188">
        <v>148013</v>
      </c>
      <c r="H2188">
        <v>99499608</v>
      </c>
      <c r="I2188">
        <v>0.96</v>
      </c>
      <c r="J2188" t="s">
        <v>15</v>
      </c>
      <c r="K2188" t="s">
        <v>727</v>
      </c>
      <c r="L2188">
        <v>1.95</v>
      </c>
      <c r="M2188">
        <v>6.72</v>
      </c>
      <c r="N2188">
        <v>68574</v>
      </c>
      <c r="O2188">
        <v>79439</v>
      </c>
      <c r="P2188">
        <v>0.86</v>
      </c>
      <c r="Q2188">
        <v>13</v>
      </c>
      <c r="R2188">
        <v>1594</v>
      </c>
      <c r="S2188" t="s">
        <v>3</v>
      </c>
      <c r="T2188">
        <v>44638.3</v>
      </c>
      <c r="U2188" t="s">
        <v>1400</v>
      </c>
      <c r="V2188" t="s">
        <v>1400</v>
      </c>
      <c r="W2188">
        <v>1.94</v>
      </c>
    </row>
    <row r="2189" spans="1:23">
      <c r="A2189" t="str">
        <f>"600733"</f>
        <v>600733</v>
      </c>
      <c r="B2189" t="s">
        <v>5498</v>
      </c>
      <c r="C2189">
        <v>30.35</v>
      </c>
      <c r="D2189">
        <v>30.36</v>
      </c>
      <c r="E2189">
        <v>29.82</v>
      </c>
      <c r="F2189">
        <v>30.05</v>
      </c>
      <c r="G2189">
        <v>10320</v>
      </c>
      <c r="H2189">
        <v>30892752</v>
      </c>
      <c r="I2189">
        <v>0.86</v>
      </c>
      <c r="J2189" t="s">
        <v>15</v>
      </c>
      <c r="K2189" t="s">
        <v>225</v>
      </c>
      <c r="L2189">
        <v>-1.0900000000000001</v>
      </c>
      <c r="M2189">
        <v>29.94</v>
      </c>
      <c r="N2189">
        <v>6935</v>
      </c>
      <c r="O2189">
        <v>3384</v>
      </c>
      <c r="P2189">
        <v>2.0499999999999998</v>
      </c>
      <c r="Q2189">
        <v>101</v>
      </c>
      <c r="R2189">
        <v>20</v>
      </c>
      <c r="S2189" t="s">
        <v>3</v>
      </c>
      <c r="T2189">
        <v>7560</v>
      </c>
      <c r="U2189" t="s">
        <v>5499</v>
      </c>
      <c r="V2189" t="s">
        <v>5500</v>
      </c>
      <c r="W2189">
        <v>-1.0900000000000001</v>
      </c>
    </row>
    <row r="2190" spans="1:23">
      <c r="A2190" t="str">
        <f>"600734"</f>
        <v>600734</v>
      </c>
      <c r="B2190" t="s">
        <v>5501</v>
      </c>
      <c r="C2190">
        <v>5.1100000000000003</v>
      </c>
      <c r="D2190">
        <v>5.22</v>
      </c>
      <c r="E2190">
        <v>5.0999999999999996</v>
      </c>
      <c r="F2190">
        <v>5.18</v>
      </c>
      <c r="G2190">
        <v>60543</v>
      </c>
      <c r="H2190">
        <v>31307048</v>
      </c>
      <c r="I2190">
        <v>0.93</v>
      </c>
      <c r="J2190" t="s">
        <v>66</v>
      </c>
      <c r="K2190" t="s">
        <v>414</v>
      </c>
      <c r="L2190">
        <v>1.37</v>
      </c>
      <c r="M2190">
        <v>5.17</v>
      </c>
      <c r="N2190">
        <v>28513</v>
      </c>
      <c r="O2190">
        <v>32030</v>
      </c>
      <c r="P2190">
        <v>0.89</v>
      </c>
      <c r="Q2190">
        <v>527</v>
      </c>
      <c r="R2190">
        <v>91</v>
      </c>
      <c r="S2190" t="s">
        <v>3</v>
      </c>
      <c r="T2190">
        <v>35110.83</v>
      </c>
      <c r="U2190" t="s">
        <v>436</v>
      </c>
      <c r="V2190" t="s">
        <v>2287</v>
      </c>
      <c r="W2190">
        <v>1.37</v>
      </c>
    </row>
    <row r="2191" spans="1:23">
      <c r="A2191" t="str">
        <f>"600735"</f>
        <v>600735</v>
      </c>
      <c r="B2191" t="s">
        <v>5502</v>
      </c>
      <c r="C2191">
        <v>10.31</v>
      </c>
      <c r="D2191">
        <v>10.58</v>
      </c>
      <c r="E2191">
        <v>10.28</v>
      </c>
      <c r="F2191">
        <v>10.39</v>
      </c>
      <c r="G2191">
        <v>70081</v>
      </c>
      <c r="H2191">
        <v>72966936</v>
      </c>
      <c r="I2191">
        <v>1.1399999999999999</v>
      </c>
      <c r="J2191" t="s">
        <v>55</v>
      </c>
      <c r="K2191" t="s">
        <v>250</v>
      </c>
      <c r="L2191">
        <v>0.78</v>
      </c>
      <c r="M2191">
        <v>10.41</v>
      </c>
      <c r="N2191">
        <v>33395</v>
      </c>
      <c r="O2191">
        <v>36686</v>
      </c>
      <c r="P2191">
        <v>0.91</v>
      </c>
      <c r="Q2191">
        <v>68</v>
      </c>
      <c r="R2191">
        <v>377</v>
      </c>
      <c r="S2191" t="s">
        <v>3</v>
      </c>
      <c r="T2191">
        <v>20899.75</v>
      </c>
      <c r="U2191" t="s">
        <v>5503</v>
      </c>
      <c r="V2191" t="s">
        <v>1059</v>
      </c>
      <c r="W2191">
        <v>0.77</v>
      </c>
    </row>
    <row r="2192" spans="1:23">
      <c r="A2192" t="str">
        <f>"600736"</f>
        <v>600736</v>
      </c>
      <c r="B2192" t="s">
        <v>5504</v>
      </c>
      <c r="C2192">
        <v>4.18</v>
      </c>
      <c r="D2192">
        <v>4.18</v>
      </c>
      <c r="E2192">
        <v>4.12</v>
      </c>
      <c r="F2192">
        <v>4.16</v>
      </c>
      <c r="G2192">
        <v>117727</v>
      </c>
      <c r="H2192">
        <v>48827572</v>
      </c>
      <c r="I2192">
        <v>0.72</v>
      </c>
      <c r="J2192" t="s">
        <v>663</v>
      </c>
      <c r="K2192" t="s">
        <v>244</v>
      </c>
      <c r="L2192">
        <v>-0.48</v>
      </c>
      <c r="M2192">
        <v>4.1500000000000004</v>
      </c>
      <c r="N2192">
        <v>63922</v>
      </c>
      <c r="O2192">
        <v>53804</v>
      </c>
      <c r="P2192">
        <v>1.19</v>
      </c>
      <c r="Q2192">
        <v>2592</v>
      </c>
      <c r="R2192">
        <v>140</v>
      </c>
      <c r="S2192" t="s">
        <v>3</v>
      </c>
      <c r="T2192">
        <v>105788.15</v>
      </c>
      <c r="U2192" t="s">
        <v>5505</v>
      </c>
      <c r="V2192" t="s">
        <v>5505</v>
      </c>
      <c r="W2192">
        <v>-0.48</v>
      </c>
    </row>
    <row r="2193" spans="1:23">
      <c r="A2193" t="str">
        <f>"600737"</f>
        <v>600737</v>
      </c>
      <c r="B2193" t="s">
        <v>5506</v>
      </c>
      <c r="C2193">
        <v>5.94</v>
      </c>
      <c r="D2193">
        <v>6.06</v>
      </c>
      <c r="E2193">
        <v>5.92</v>
      </c>
      <c r="F2193">
        <v>6</v>
      </c>
      <c r="G2193">
        <v>183011</v>
      </c>
      <c r="H2193">
        <v>109595088</v>
      </c>
      <c r="I2193">
        <v>0.76</v>
      </c>
      <c r="J2193" t="s">
        <v>421</v>
      </c>
      <c r="K2193" t="s">
        <v>241</v>
      </c>
      <c r="L2193">
        <v>0.84</v>
      </c>
      <c r="M2193">
        <v>5.99</v>
      </c>
      <c r="N2193">
        <v>88564</v>
      </c>
      <c r="O2193">
        <v>94447</v>
      </c>
      <c r="P2193">
        <v>0.94</v>
      </c>
      <c r="Q2193">
        <v>432</v>
      </c>
      <c r="R2193">
        <v>4155</v>
      </c>
      <c r="S2193" t="s">
        <v>3</v>
      </c>
      <c r="T2193">
        <v>132266.34</v>
      </c>
      <c r="U2193" t="s">
        <v>5507</v>
      </c>
      <c r="V2193" t="s">
        <v>5508</v>
      </c>
      <c r="W2193">
        <v>0.84</v>
      </c>
    </row>
    <row r="2194" spans="1:23">
      <c r="A2194" t="str">
        <f>"600738"</f>
        <v>600738</v>
      </c>
      <c r="B2194" t="s">
        <v>5509</v>
      </c>
      <c r="C2194">
        <v>6.45</v>
      </c>
      <c r="D2194">
        <v>6.55</v>
      </c>
      <c r="E2194">
        <v>6.39</v>
      </c>
      <c r="F2194">
        <v>6.53</v>
      </c>
      <c r="G2194">
        <v>105393</v>
      </c>
      <c r="H2194">
        <v>68371688</v>
      </c>
      <c r="I2194">
        <v>1.41</v>
      </c>
      <c r="J2194" t="s">
        <v>297</v>
      </c>
      <c r="K2194" t="s">
        <v>483</v>
      </c>
      <c r="L2194">
        <v>1.4</v>
      </c>
      <c r="M2194">
        <v>6.49</v>
      </c>
      <c r="N2194">
        <v>51635</v>
      </c>
      <c r="O2194">
        <v>53758</v>
      </c>
      <c r="P2194">
        <v>0.96</v>
      </c>
      <c r="Q2194">
        <v>923</v>
      </c>
      <c r="R2194">
        <v>671</v>
      </c>
      <c r="S2194" t="s">
        <v>3</v>
      </c>
      <c r="T2194">
        <v>26210.720000000001</v>
      </c>
      <c r="U2194" t="s">
        <v>5510</v>
      </c>
      <c r="V2194" t="s">
        <v>5511</v>
      </c>
      <c r="W2194">
        <v>1.39</v>
      </c>
    </row>
    <row r="2195" spans="1:23">
      <c r="A2195" t="str">
        <f>"600739"</f>
        <v>600739</v>
      </c>
      <c r="B2195" t="s">
        <v>5512</v>
      </c>
      <c r="C2195">
        <v>17.510000000000002</v>
      </c>
      <c r="D2195">
        <v>17.55</v>
      </c>
      <c r="E2195">
        <v>16.690000000000001</v>
      </c>
      <c r="F2195">
        <v>16.79</v>
      </c>
      <c r="G2195">
        <v>1172436</v>
      </c>
      <c r="H2195">
        <v>1991803776</v>
      </c>
      <c r="I2195">
        <v>4.72</v>
      </c>
      <c r="J2195" t="s">
        <v>173</v>
      </c>
      <c r="K2195" t="s">
        <v>162</v>
      </c>
      <c r="L2195">
        <v>4.3499999999999996</v>
      </c>
      <c r="M2195">
        <v>16.989999999999998</v>
      </c>
      <c r="N2195">
        <v>609578</v>
      </c>
      <c r="O2195">
        <v>562857</v>
      </c>
      <c r="P2195">
        <v>1.08</v>
      </c>
      <c r="Q2195">
        <v>298</v>
      </c>
      <c r="R2195">
        <v>754</v>
      </c>
      <c r="S2195" t="s">
        <v>3</v>
      </c>
      <c r="T2195">
        <v>136470.98000000001</v>
      </c>
      <c r="U2195" t="s">
        <v>5513</v>
      </c>
      <c r="V2195" t="s">
        <v>5514</v>
      </c>
      <c r="W2195">
        <v>4.3499999999999996</v>
      </c>
    </row>
    <row r="2196" spans="1:23">
      <c r="A2196" t="str">
        <f>"600740"</f>
        <v>600740</v>
      </c>
      <c r="B2196" t="s">
        <v>5515</v>
      </c>
      <c r="C2196" t="s">
        <v>3</v>
      </c>
      <c r="D2196" t="s">
        <v>3</v>
      </c>
      <c r="E2196" t="s">
        <v>3</v>
      </c>
      <c r="F2196">
        <v>5.81</v>
      </c>
      <c r="G2196">
        <v>0</v>
      </c>
      <c r="H2196">
        <v>0</v>
      </c>
      <c r="I2196">
        <v>0</v>
      </c>
      <c r="J2196" t="s">
        <v>856</v>
      </c>
      <c r="K2196" t="s">
        <v>742</v>
      </c>
      <c r="L2196">
        <v>0</v>
      </c>
      <c r="M2196">
        <v>5.81</v>
      </c>
      <c r="N2196">
        <v>0</v>
      </c>
      <c r="O2196">
        <v>0</v>
      </c>
      <c r="P2196" t="s">
        <v>3</v>
      </c>
      <c r="Q2196">
        <v>0</v>
      </c>
      <c r="R2196">
        <v>0</v>
      </c>
      <c r="S2196" t="s">
        <v>3</v>
      </c>
      <c r="T2196">
        <v>65683.27</v>
      </c>
      <c r="U2196" t="s">
        <v>3834</v>
      </c>
      <c r="V2196" t="s">
        <v>5516</v>
      </c>
      <c r="W2196">
        <v>0</v>
      </c>
    </row>
    <row r="2197" spans="1:23">
      <c r="A2197" t="str">
        <f>"600741"</f>
        <v>600741</v>
      </c>
      <c r="B2197" t="s">
        <v>5517</v>
      </c>
      <c r="C2197">
        <v>12.5</v>
      </c>
      <c r="D2197">
        <v>13.03</v>
      </c>
      <c r="E2197">
        <v>12.49</v>
      </c>
      <c r="F2197">
        <v>12.86</v>
      </c>
      <c r="G2197">
        <v>268676</v>
      </c>
      <c r="H2197">
        <v>344683488</v>
      </c>
      <c r="I2197">
        <v>0.97</v>
      </c>
      <c r="J2197" t="s">
        <v>98</v>
      </c>
      <c r="K2197" t="s">
        <v>727</v>
      </c>
      <c r="L2197">
        <v>2.96</v>
      </c>
      <c r="M2197">
        <v>12.83</v>
      </c>
      <c r="N2197">
        <v>101425</v>
      </c>
      <c r="O2197">
        <v>167251</v>
      </c>
      <c r="P2197">
        <v>0.61</v>
      </c>
      <c r="Q2197">
        <v>10</v>
      </c>
      <c r="R2197">
        <v>322</v>
      </c>
      <c r="S2197" t="s">
        <v>3</v>
      </c>
      <c r="T2197">
        <v>258320.02</v>
      </c>
      <c r="U2197" t="s">
        <v>5518</v>
      </c>
      <c r="V2197" t="s">
        <v>5518</v>
      </c>
      <c r="W2197">
        <v>2.96</v>
      </c>
    </row>
    <row r="2198" spans="1:23">
      <c r="A2198" t="str">
        <f>"600742"</f>
        <v>600742</v>
      </c>
      <c r="B2198" t="s">
        <v>5519</v>
      </c>
      <c r="C2198">
        <v>27.55</v>
      </c>
      <c r="D2198">
        <v>29</v>
      </c>
      <c r="E2198">
        <v>27.15</v>
      </c>
      <c r="F2198">
        <v>28.55</v>
      </c>
      <c r="G2198">
        <v>118663</v>
      </c>
      <c r="H2198">
        <v>334974336</v>
      </c>
      <c r="I2198">
        <v>1.95</v>
      </c>
      <c r="J2198" t="s">
        <v>98</v>
      </c>
      <c r="K2198" t="s">
        <v>99</v>
      </c>
      <c r="L2198">
        <v>4.12</v>
      </c>
      <c r="M2198">
        <v>28.23</v>
      </c>
      <c r="N2198">
        <v>56049</v>
      </c>
      <c r="O2198">
        <v>62613</v>
      </c>
      <c r="P2198">
        <v>0.9</v>
      </c>
      <c r="Q2198">
        <v>4</v>
      </c>
      <c r="R2198">
        <v>21</v>
      </c>
      <c r="S2198" t="s">
        <v>3</v>
      </c>
      <c r="T2198">
        <v>21152.33</v>
      </c>
      <c r="U2198" t="s">
        <v>5520</v>
      </c>
      <c r="V2198" t="s">
        <v>5520</v>
      </c>
      <c r="W2198">
        <v>4.12</v>
      </c>
    </row>
    <row r="2199" spans="1:23">
      <c r="A2199" t="str">
        <f>"600743"</f>
        <v>600743</v>
      </c>
      <c r="B2199" t="s">
        <v>5521</v>
      </c>
      <c r="C2199">
        <v>3.29</v>
      </c>
      <c r="D2199">
        <v>3.31</v>
      </c>
      <c r="E2199">
        <v>3.26</v>
      </c>
      <c r="F2199">
        <v>3.28</v>
      </c>
      <c r="G2199">
        <v>111205</v>
      </c>
      <c r="H2199">
        <v>36526368</v>
      </c>
      <c r="I2199">
        <v>0.54</v>
      </c>
      <c r="J2199" t="s">
        <v>15</v>
      </c>
      <c r="K2199" t="s">
        <v>34</v>
      </c>
      <c r="L2199">
        <v>-0.61</v>
      </c>
      <c r="M2199">
        <v>3.28</v>
      </c>
      <c r="N2199">
        <v>60188</v>
      </c>
      <c r="O2199">
        <v>51017</v>
      </c>
      <c r="P2199">
        <v>1.18</v>
      </c>
      <c r="Q2199">
        <v>635</v>
      </c>
      <c r="R2199">
        <v>1849</v>
      </c>
      <c r="S2199" t="s">
        <v>3</v>
      </c>
      <c r="T2199">
        <v>181766.09</v>
      </c>
      <c r="U2199" t="s">
        <v>5522</v>
      </c>
      <c r="V2199" t="s">
        <v>5522</v>
      </c>
      <c r="W2199">
        <v>-0.61</v>
      </c>
    </row>
    <row r="2200" spans="1:23">
      <c r="A2200" t="str">
        <f>"600744"</f>
        <v>600744</v>
      </c>
      <c r="B2200" t="s">
        <v>5523</v>
      </c>
      <c r="C2200" t="s">
        <v>3</v>
      </c>
      <c r="D2200" t="s">
        <v>3</v>
      </c>
      <c r="E2200" t="s">
        <v>3</v>
      </c>
      <c r="F2200">
        <v>3.03</v>
      </c>
      <c r="G2200">
        <v>0</v>
      </c>
      <c r="H2200">
        <v>0</v>
      </c>
      <c r="I2200">
        <v>0</v>
      </c>
      <c r="J2200" t="s">
        <v>87</v>
      </c>
      <c r="K2200" t="s">
        <v>234</v>
      </c>
      <c r="L2200">
        <v>0</v>
      </c>
      <c r="M2200">
        <v>3.03</v>
      </c>
      <c r="N2200">
        <v>0</v>
      </c>
      <c r="O2200">
        <v>0</v>
      </c>
      <c r="P2200" t="s">
        <v>3</v>
      </c>
      <c r="Q2200">
        <v>0</v>
      </c>
      <c r="R2200">
        <v>0</v>
      </c>
      <c r="S2200" t="s">
        <v>3</v>
      </c>
      <c r="T2200">
        <v>47438.44</v>
      </c>
      <c r="U2200" t="s">
        <v>4124</v>
      </c>
      <c r="V2200" t="s">
        <v>3924</v>
      </c>
      <c r="W2200">
        <v>0</v>
      </c>
    </row>
    <row r="2201" spans="1:23">
      <c r="A2201" t="str">
        <f>"600745"</f>
        <v>600745</v>
      </c>
      <c r="B2201" t="s">
        <v>5524</v>
      </c>
      <c r="C2201">
        <v>13.32</v>
      </c>
      <c r="D2201">
        <v>13.39</v>
      </c>
      <c r="E2201">
        <v>13</v>
      </c>
      <c r="F2201">
        <v>13.23</v>
      </c>
      <c r="G2201">
        <v>25120</v>
      </c>
      <c r="H2201">
        <v>33124546</v>
      </c>
      <c r="I2201">
        <v>0.68</v>
      </c>
      <c r="J2201" t="s">
        <v>15</v>
      </c>
      <c r="K2201" t="s">
        <v>317</v>
      </c>
      <c r="L2201">
        <v>-1.19</v>
      </c>
      <c r="M2201">
        <v>13.19</v>
      </c>
      <c r="N2201">
        <v>13640</v>
      </c>
      <c r="O2201">
        <v>11479</v>
      </c>
      <c r="P2201">
        <v>1.19</v>
      </c>
      <c r="Q2201">
        <v>84</v>
      </c>
      <c r="R2201">
        <v>181</v>
      </c>
      <c r="S2201" t="s">
        <v>3</v>
      </c>
      <c r="T2201">
        <v>32737.49</v>
      </c>
      <c r="U2201" t="s">
        <v>1594</v>
      </c>
      <c r="V2201" t="s">
        <v>1594</v>
      </c>
      <c r="W2201">
        <v>-1.2</v>
      </c>
    </row>
    <row r="2202" spans="1:23">
      <c r="A2202" t="str">
        <f>"600746"</f>
        <v>600746</v>
      </c>
      <c r="B2202" t="s">
        <v>5525</v>
      </c>
      <c r="C2202">
        <v>8.31</v>
      </c>
      <c r="D2202">
        <v>8.31</v>
      </c>
      <c r="E2202">
        <v>8.16</v>
      </c>
      <c r="F2202">
        <v>8.26</v>
      </c>
      <c r="G2202">
        <v>60846</v>
      </c>
      <c r="H2202">
        <v>50011824</v>
      </c>
      <c r="I2202">
        <v>0.88</v>
      </c>
      <c r="J2202" t="s">
        <v>376</v>
      </c>
      <c r="K2202" t="s">
        <v>244</v>
      </c>
      <c r="L2202">
        <v>-0.6</v>
      </c>
      <c r="M2202">
        <v>8.2200000000000006</v>
      </c>
      <c r="N2202">
        <v>30848</v>
      </c>
      <c r="O2202">
        <v>29997</v>
      </c>
      <c r="P2202">
        <v>1.03</v>
      </c>
      <c r="Q2202">
        <v>457</v>
      </c>
      <c r="R2202">
        <v>50</v>
      </c>
      <c r="S2202" t="s">
        <v>3</v>
      </c>
      <c r="T2202">
        <v>30466.080000000002</v>
      </c>
      <c r="U2202" t="s">
        <v>2669</v>
      </c>
      <c r="V2202" t="s">
        <v>1098</v>
      </c>
      <c r="W2202">
        <v>-0.61</v>
      </c>
    </row>
    <row r="2203" spans="1:23">
      <c r="A2203" t="str">
        <f>"600747"</f>
        <v>600747</v>
      </c>
      <c r="B2203" t="s">
        <v>5526</v>
      </c>
      <c r="C2203">
        <v>6.21</v>
      </c>
      <c r="D2203">
        <v>6.3</v>
      </c>
      <c r="E2203">
        <v>6.2</v>
      </c>
      <c r="F2203">
        <v>6.27</v>
      </c>
      <c r="G2203">
        <v>185694</v>
      </c>
      <c r="H2203">
        <v>115994744</v>
      </c>
      <c r="I2203">
        <v>0.72</v>
      </c>
      <c r="J2203" t="s">
        <v>62</v>
      </c>
      <c r="K2203" t="s">
        <v>162</v>
      </c>
      <c r="L2203">
        <v>0.48</v>
      </c>
      <c r="M2203">
        <v>6.25</v>
      </c>
      <c r="N2203">
        <v>98709</v>
      </c>
      <c r="O2203">
        <v>86984</v>
      </c>
      <c r="P2203">
        <v>1.1299999999999999</v>
      </c>
      <c r="Q2203">
        <v>1242</v>
      </c>
      <c r="R2203">
        <v>1524</v>
      </c>
      <c r="S2203" t="s">
        <v>3</v>
      </c>
      <c r="T2203">
        <v>106432.84</v>
      </c>
      <c r="U2203" t="s">
        <v>5527</v>
      </c>
      <c r="V2203" t="s">
        <v>5528</v>
      </c>
      <c r="W2203">
        <v>0.48</v>
      </c>
    </row>
    <row r="2204" spans="1:23">
      <c r="A2204" t="str">
        <f>"600748"</f>
        <v>600748</v>
      </c>
      <c r="B2204" t="s">
        <v>5529</v>
      </c>
      <c r="C2204">
        <v>8.31</v>
      </c>
      <c r="D2204">
        <v>8.36</v>
      </c>
      <c r="E2204">
        <v>8.23</v>
      </c>
      <c r="F2204">
        <v>8.34</v>
      </c>
      <c r="G2204">
        <v>89928</v>
      </c>
      <c r="H2204">
        <v>74491528</v>
      </c>
      <c r="I2204">
        <v>0.93</v>
      </c>
      <c r="J2204" t="s">
        <v>7</v>
      </c>
      <c r="K2204" t="s">
        <v>727</v>
      </c>
      <c r="L2204">
        <v>0.36</v>
      </c>
      <c r="M2204">
        <v>8.2799999999999994</v>
      </c>
      <c r="N2204">
        <v>49269</v>
      </c>
      <c r="O2204">
        <v>40658</v>
      </c>
      <c r="P2204">
        <v>1.21</v>
      </c>
      <c r="Q2204">
        <v>2</v>
      </c>
      <c r="R2204">
        <v>110</v>
      </c>
      <c r="S2204" t="s">
        <v>3</v>
      </c>
      <c r="T2204">
        <v>108337.09</v>
      </c>
      <c r="U2204" t="s">
        <v>5530</v>
      </c>
      <c r="V2204" t="s">
        <v>5530</v>
      </c>
      <c r="W2204">
        <v>0.36</v>
      </c>
    </row>
    <row r="2205" spans="1:23">
      <c r="A2205" t="str">
        <f>"600749"</f>
        <v>600749</v>
      </c>
      <c r="B2205" t="s">
        <v>5531</v>
      </c>
      <c r="C2205">
        <v>11.11</v>
      </c>
      <c r="D2205">
        <v>11.57</v>
      </c>
      <c r="E2205">
        <v>11.06</v>
      </c>
      <c r="F2205">
        <v>11.51</v>
      </c>
      <c r="G2205">
        <v>136004</v>
      </c>
      <c r="H2205">
        <v>154768496</v>
      </c>
      <c r="I2205">
        <v>1.67</v>
      </c>
      <c r="J2205" t="s">
        <v>185</v>
      </c>
      <c r="K2205" t="s">
        <v>905</v>
      </c>
      <c r="L2205">
        <v>3.69</v>
      </c>
      <c r="M2205">
        <v>11.38</v>
      </c>
      <c r="N2205">
        <v>60834</v>
      </c>
      <c r="O2205">
        <v>75170</v>
      </c>
      <c r="P2205">
        <v>0.81</v>
      </c>
      <c r="Q2205">
        <v>126</v>
      </c>
      <c r="R2205">
        <v>773</v>
      </c>
      <c r="S2205" t="s">
        <v>3</v>
      </c>
      <c r="T2205">
        <v>18913.78</v>
      </c>
      <c r="U2205" t="s">
        <v>5532</v>
      </c>
      <c r="V2205" t="s">
        <v>5532</v>
      </c>
      <c r="W2205">
        <v>3.69</v>
      </c>
    </row>
    <row r="2206" spans="1:23">
      <c r="A2206" t="str">
        <f>"600750"</f>
        <v>600750</v>
      </c>
      <c r="B2206" t="s">
        <v>5533</v>
      </c>
      <c r="C2206">
        <v>17.82</v>
      </c>
      <c r="D2206">
        <v>18.22</v>
      </c>
      <c r="E2206">
        <v>17.75</v>
      </c>
      <c r="F2206">
        <v>18.079999999999998</v>
      </c>
      <c r="G2206">
        <v>56434</v>
      </c>
      <c r="H2206">
        <v>101667688</v>
      </c>
      <c r="I2206">
        <v>1.91</v>
      </c>
      <c r="J2206" t="s">
        <v>321</v>
      </c>
      <c r="K2206" t="s">
        <v>265</v>
      </c>
      <c r="L2206">
        <v>2.09</v>
      </c>
      <c r="M2206">
        <v>18.02</v>
      </c>
      <c r="N2206">
        <v>24070</v>
      </c>
      <c r="O2206">
        <v>32363</v>
      </c>
      <c r="P2206">
        <v>0.74</v>
      </c>
      <c r="Q2206">
        <v>80</v>
      </c>
      <c r="R2206">
        <v>36</v>
      </c>
      <c r="S2206" t="s">
        <v>3</v>
      </c>
      <c r="T2206">
        <v>30000</v>
      </c>
      <c r="U2206" t="s">
        <v>5534</v>
      </c>
      <c r="V2206" t="s">
        <v>5534</v>
      </c>
      <c r="W2206">
        <v>2.08</v>
      </c>
    </row>
    <row r="2207" spans="1:23">
      <c r="A2207" t="str">
        <f>"600751"</f>
        <v>600751</v>
      </c>
      <c r="B2207" t="s">
        <v>5535</v>
      </c>
      <c r="C2207">
        <v>8.5</v>
      </c>
      <c r="D2207">
        <v>8.99</v>
      </c>
      <c r="E2207">
        <v>8.41</v>
      </c>
      <c r="F2207">
        <v>8.9499999999999993</v>
      </c>
      <c r="G2207">
        <v>1066563</v>
      </c>
      <c r="H2207">
        <v>932589824</v>
      </c>
      <c r="I2207">
        <v>2.3199999999999998</v>
      </c>
      <c r="J2207" t="s">
        <v>2226</v>
      </c>
      <c r="K2207" t="s">
        <v>442</v>
      </c>
      <c r="L2207">
        <v>8.8800000000000008</v>
      </c>
      <c r="M2207">
        <v>8.74</v>
      </c>
      <c r="N2207">
        <v>477447</v>
      </c>
      <c r="O2207">
        <v>589116</v>
      </c>
      <c r="P2207">
        <v>0.81</v>
      </c>
      <c r="Q2207">
        <v>229</v>
      </c>
      <c r="R2207">
        <v>989</v>
      </c>
      <c r="S2207" t="s">
        <v>3</v>
      </c>
      <c r="T2207">
        <v>29832.5</v>
      </c>
      <c r="U2207" t="s">
        <v>5536</v>
      </c>
      <c r="V2207" t="s">
        <v>5537</v>
      </c>
      <c r="W2207">
        <v>8.8800000000000008</v>
      </c>
    </row>
    <row r="2208" spans="1:23">
      <c r="A2208" t="str">
        <f>"600753"</f>
        <v>600753</v>
      </c>
      <c r="B2208" t="s">
        <v>5538</v>
      </c>
      <c r="C2208">
        <v>14.89</v>
      </c>
      <c r="D2208">
        <v>14.99</v>
      </c>
      <c r="E2208">
        <v>14.58</v>
      </c>
      <c r="F2208">
        <v>14.93</v>
      </c>
      <c r="G2208">
        <v>36845</v>
      </c>
      <c r="H2208">
        <v>54375952</v>
      </c>
      <c r="I2208">
        <v>0.95</v>
      </c>
      <c r="J2208" t="s">
        <v>564</v>
      </c>
      <c r="K2208" t="s">
        <v>254</v>
      </c>
      <c r="L2208">
        <v>0.13</v>
      </c>
      <c r="M2208">
        <v>14.76</v>
      </c>
      <c r="N2208">
        <v>21568</v>
      </c>
      <c r="O2208">
        <v>15277</v>
      </c>
      <c r="P2208">
        <v>1.41</v>
      </c>
      <c r="Q2208">
        <v>130</v>
      </c>
      <c r="R2208">
        <v>353</v>
      </c>
      <c r="S2208" t="s">
        <v>3</v>
      </c>
      <c r="T2208">
        <v>12800</v>
      </c>
      <c r="U2208" t="s">
        <v>1886</v>
      </c>
      <c r="V2208" t="s">
        <v>1886</v>
      </c>
      <c r="W2208">
        <v>0.13</v>
      </c>
    </row>
    <row r="2209" spans="1:23">
      <c r="A2209" t="str">
        <f>"600754"</f>
        <v>600754</v>
      </c>
      <c r="B2209" t="s">
        <v>5539</v>
      </c>
      <c r="C2209">
        <v>20.71</v>
      </c>
      <c r="D2209">
        <v>20.95</v>
      </c>
      <c r="E2209">
        <v>20.48</v>
      </c>
      <c r="F2209">
        <v>20.5</v>
      </c>
      <c r="G2209">
        <v>13931</v>
      </c>
      <c r="H2209">
        <v>28803064</v>
      </c>
      <c r="I2209">
        <v>0.87</v>
      </c>
      <c r="J2209" t="s">
        <v>22</v>
      </c>
      <c r="K2209" t="s">
        <v>727</v>
      </c>
      <c r="L2209">
        <v>-1.1599999999999999</v>
      </c>
      <c r="M2209">
        <v>20.68</v>
      </c>
      <c r="N2209">
        <v>9557</v>
      </c>
      <c r="O2209">
        <v>4373</v>
      </c>
      <c r="P2209">
        <v>2.19</v>
      </c>
      <c r="Q2209">
        <v>44</v>
      </c>
      <c r="R2209">
        <v>47</v>
      </c>
      <c r="S2209" t="s">
        <v>3</v>
      </c>
      <c r="T2209">
        <v>44724.07</v>
      </c>
      <c r="U2209" t="s">
        <v>5540</v>
      </c>
      <c r="V2209" t="s">
        <v>5541</v>
      </c>
      <c r="W2209">
        <v>-1.1599999999999999</v>
      </c>
    </row>
    <row r="2210" spans="1:23">
      <c r="A2210" t="str">
        <f>"600755"</f>
        <v>600755</v>
      </c>
      <c r="B2210" t="s">
        <v>5542</v>
      </c>
      <c r="C2210">
        <v>5.48</v>
      </c>
      <c r="D2210">
        <v>5.73</v>
      </c>
      <c r="E2210">
        <v>5.44</v>
      </c>
      <c r="F2210">
        <v>5.71</v>
      </c>
      <c r="G2210">
        <v>785767</v>
      </c>
      <c r="H2210">
        <v>438829056</v>
      </c>
      <c r="I2210">
        <v>2.02</v>
      </c>
      <c r="J2210" t="s">
        <v>173</v>
      </c>
      <c r="K2210" t="s">
        <v>414</v>
      </c>
      <c r="L2210">
        <v>4.96</v>
      </c>
      <c r="M2210">
        <v>5.58</v>
      </c>
      <c r="N2210">
        <v>332026</v>
      </c>
      <c r="O2210">
        <v>453741</v>
      </c>
      <c r="P2210">
        <v>0.73</v>
      </c>
      <c r="Q2210">
        <v>383</v>
      </c>
      <c r="R2210">
        <v>5</v>
      </c>
      <c r="S2210" t="s">
        <v>3</v>
      </c>
      <c r="T2210">
        <v>133083.59</v>
      </c>
      <c r="U2210" t="s">
        <v>5543</v>
      </c>
      <c r="V2210" t="s">
        <v>5544</v>
      </c>
      <c r="W2210">
        <v>4.96</v>
      </c>
    </row>
    <row r="2211" spans="1:23">
      <c r="A2211" t="str">
        <f>"600756"</f>
        <v>600756</v>
      </c>
      <c r="B2211" t="s">
        <v>5545</v>
      </c>
      <c r="C2211">
        <v>27</v>
      </c>
      <c r="D2211">
        <v>27.28</v>
      </c>
      <c r="E2211">
        <v>26.86</v>
      </c>
      <c r="F2211">
        <v>27.03</v>
      </c>
      <c r="G2211">
        <v>115678</v>
      </c>
      <c r="H2211">
        <v>312479872</v>
      </c>
      <c r="I2211">
        <v>0.44</v>
      </c>
      <c r="J2211" t="s">
        <v>758</v>
      </c>
      <c r="K2211" t="s">
        <v>250</v>
      </c>
      <c r="L2211">
        <v>-0.3</v>
      </c>
      <c r="M2211">
        <v>27.01</v>
      </c>
      <c r="N2211">
        <v>66473</v>
      </c>
      <c r="O2211">
        <v>49204</v>
      </c>
      <c r="P2211">
        <v>1.35</v>
      </c>
      <c r="Q2211">
        <v>202</v>
      </c>
      <c r="R2211">
        <v>78</v>
      </c>
      <c r="S2211" t="s">
        <v>3</v>
      </c>
      <c r="T2211">
        <v>27874.73</v>
      </c>
      <c r="U2211" t="s">
        <v>1541</v>
      </c>
      <c r="V2211" t="s">
        <v>1541</v>
      </c>
      <c r="W2211">
        <v>-0.3</v>
      </c>
    </row>
    <row r="2212" spans="1:23">
      <c r="A2212" t="str">
        <f>"600757"</f>
        <v>600757</v>
      </c>
      <c r="B2212" t="s">
        <v>5546</v>
      </c>
      <c r="C2212" t="s">
        <v>3</v>
      </c>
      <c r="D2212" t="s">
        <v>3</v>
      </c>
      <c r="E2212" t="s">
        <v>3</v>
      </c>
      <c r="F2212">
        <v>8.85</v>
      </c>
      <c r="G2212">
        <v>0</v>
      </c>
      <c r="H2212">
        <v>0</v>
      </c>
      <c r="I2212">
        <v>0</v>
      </c>
      <c r="J2212" t="s">
        <v>360</v>
      </c>
      <c r="K2212" t="s">
        <v>317</v>
      </c>
      <c r="L2212">
        <v>0</v>
      </c>
      <c r="M2212">
        <v>8.85</v>
      </c>
      <c r="N2212">
        <v>0</v>
      </c>
      <c r="O2212">
        <v>0</v>
      </c>
      <c r="P2212" t="s">
        <v>3</v>
      </c>
      <c r="Q2212">
        <v>0</v>
      </c>
      <c r="R2212">
        <v>0</v>
      </c>
      <c r="S2212" t="s">
        <v>3</v>
      </c>
      <c r="T2212">
        <v>52410.6</v>
      </c>
      <c r="U2212" t="s">
        <v>3405</v>
      </c>
      <c r="V2212" t="s">
        <v>5547</v>
      </c>
      <c r="W2212">
        <v>0</v>
      </c>
    </row>
    <row r="2213" spans="1:23">
      <c r="A2213" t="str">
        <f>"600758"</f>
        <v>600758</v>
      </c>
      <c r="B2213" t="s">
        <v>5548</v>
      </c>
      <c r="C2213">
        <v>8.52</v>
      </c>
      <c r="D2213">
        <v>8.6300000000000008</v>
      </c>
      <c r="E2213">
        <v>8.4</v>
      </c>
      <c r="F2213">
        <v>8.61</v>
      </c>
      <c r="G2213">
        <v>38437</v>
      </c>
      <c r="H2213">
        <v>32754036</v>
      </c>
      <c r="I2213">
        <v>1</v>
      </c>
      <c r="J2213" t="s">
        <v>581</v>
      </c>
      <c r="K2213" t="s">
        <v>162</v>
      </c>
      <c r="L2213">
        <v>1.65</v>
      </c>
      <c r="M2213">
        <v>8.52</v>
      </c>
      <c r="N2213">
        <v>15884</v>
      </c>
      <c r="O2213">
        <v>22552</v>
      </c>
      <c r="P2213">
        <v>0.7</v>
      </c>
      <c r="Q2213">
        <v>65</v>
      </c>
      <c r="R2213">
        <v>602</v>
      </c>
      <c r="S2213" t="s">
        <v>3</v>
      </c>
      <c r="T2213">
        <v>11505.03</v>
      </c>
      <c r="U2213" t="s">
        <v>3531</v>
      </c>
      <c r="V2213" t="s">
        <v>5549</v>
      </c>
      <c r="W2213">
        <v>1.65</v>
      </c>
    </row>
    <row r="2214" spans="1:23">
      <c r="A2214" t="str">
        <f>"600759"</f>
        <v>600759</v>
      </c>
      <c r="B2214" t="s">
        <v>5550</v>
      </c>
      <c r="C2214">
        <v>12.01</v>
      </c>
      <c r="D2214">
        <v>12.26</v>
      </c>
      <c r="E2214">
        <v>11.87</v>
      </c>
      <c r="F2214">
        <v>12.07</v>
      </c>
      <c r="G2214">
        <v>125032</v>
      </c>
      <c r="H2214">
        <v>150491504</v>
      </c>
      <c r="I2214">
        <v>0.71</v>
      </c>
      <c r="J2214" t="s">
        <v>1924</v>
      </c>
      <c r="K2214" t="s">
        <v>356</v>
      </c>
      <c r="L2214">
        <v>0.5</v>
      </c>
      <c r="M2214">
        <v>12.04</v>
      </c>
      <c r="N2214">
        <v>71563</v>
      </c>
      <c r="O2214">
        <v>53469</v>
      </c>
      <c r="P2214">
        <v>1.34</v>
      </c>
      <c r="Q2214">
        <v>43</v>
      </c>
      <c r="R2214">
        <v>1239</v>
      </c>
      <c r="S2214" t="s">
        <v>3</v>
      </c>
      <c r="T2214">
        <v>121602.25</v>
      </c>
      <c r="U2214" t="s">
        <v>5551</v>
      </c>
      <c r="V2214" t="s">
        <v>5552</v>
      </c>
      <c r="W2214">
        <v>0.5</v>
      </c>
    </row>
    <row r="2215" spans="1:23">
      <c r="A2215" t="str">
        <f>"600760"</f>
        <v>600760</v>
      </c>
      <c r="B2215" t="s">
        <v>5553</v>
      </c>
      <c r="C2215">
        <v>9.77</v>
      </c>
      <c r="D2215">
        <v>10.050000000000001</v>
      </c>
      <c r="E2215">
        <v>9.65</v>
      </c>
      <c r="F2215">
        <v>9.75</v>
      </c>
      <c r="G2215">
        <v>265488</v>
      </c>
      <c r="H2215">
        <v>261451744</v>
      </c>
      <c r="I2215">
        <v>0.89</v>
      </c>
      <c r="J2215" t="s">
        <v>476</v>
      </c>
      <c r="K2215" t="s">
        <v>250</v>
      </c>
      <c r="L2215">
        <v>-0.2</v>
      </c>
      <c r="M2215">
        <v>9.85</v>
      </c>
      <c r="N2215">
        <v>143023</v>
      </c>
      <c r="O2215">
        <v>122464</v>
      </c>
      <c r="P2215">
        <v>1.17</v>
      </c>
      <c r="Q2215">
        <v>285</v>
      </c>
      <c r="R2215">
        <v>364</v>
      </c>
      <c r="S2215" t="s">
        <v>3</v>
      </c>
      <c r="T2215">
        <v>34494.51</v>
      </c>
      <c r="U2215" t="s">
        <v>5554</v>
      </c>
      <c r="V2215" t="s">
        <v>5554</v>
      </c>
      <c r="W2215">
        <v>-0.21</v>
      </c>
    </row>
    <row r="2216" spans="1:23">
      <c r="A2216" t="str">
        <f>"600761"</f>
        <v>600761</v>
      </c>
      <c r="B2216" t="s">
        <v>5555</v>
      </c>
      <c r="C2216">
        <v>11.24</v>
      </c>
      <c r="D2216">
        <v>11.34</v>
      </c>
      <c r="E2216">
        <v>11.19</v>
      </c>
      <c r="F2216">
        <v>11.3</v>
      </c>
      <c r="G2216">
        <v>95079</v>
      </c>
      <c r="H2216">
        <v>107003312</v>
      </c>
      <c r="I2216">
        <v>1.04</v>
      </c>
      <c r="J2216" t="s">
        <v>233</v>
      </c>
      <c r="K2216" t="s">
        <v>220</v>
      </c>
      <c r="L2216">
        <v>0.62</v>
      </c>
      <c r="M2216">
        <v>11.25</v>
      </c>
      <c r="N2216">
        <v>43447</v>
      </c>
      <c r="O2216">
        <v>51631</v>
      </c>
      <c r="P2216">
        <v>0.84</v>
      </c>
      <c r="Q2216">
        <v>372</v>
      </c>
      <c r="R2216">
        <v>3</v>
      </c>
      <c r="S2216" t="s">
        <v>3</v>
      </c>
      <c r="T2216">
        <v>61681.73</v>
      </c>
      <c r="U2216" t="s">
        <v>5556</v>
      </c>
      <c r="V2216" t="s">
        <v>5556</v>
      </c>
      <c r="W2216">
        <v>0.62</v>
      </c>
    </row>
    <row r="2217" spans="1:23">
      <c r="A2217" t="str">
        <f>"600763"</f>
        <v>600763</v>
      </c>
      <c r="B2217" t="s">
        <v>5557</v>
      </c>
      <c r="C2217">
        <v>46.1</v>
      </c>
      <c r="D2217">
        <v>46.7</v>
      </c>
      <c r="E2217">
        <v>45.9</v>
      </c>
      <c r="F2217">
        <v>46.65</v>
      </c>
      <c r="G2217">
        <v>7271</v>
      </c>
      <c r="H2217">
        <v>33521070</v>
      </c>
      <c r="I2217">
        <v>1.17</v>
      </c>
      <c r="J2217" t="s">
        <v>1971</v>
      </c>
      <c r="K2217" t="s">
        <v>229</v>
      </c>
      <c r="L2217">
        <v>0.65</v>
      </c>
      <c r="M2217">
        <v>46.1</v>
      </c>
      <c r="N2217">
        <v>4774</v>
      </c>
      <c r="O2217">
        <v>2496</v>
      </c>
      <c r="P2217">
        <v>1.91</v>
      </c>
      <c r="Q2217">
        <v>1</v>
      </c>
      <c r="R2217">
        <v>5</v>
      </c>
      <c r="S2217" t="s">
        <v>3</v>
      </c>
      <c r="T2217">
        <v>16032</v>
      </c>
      <c r="U2217" t="s">
        <v>4368</v>
      </c>
      <c r="V2217" t="s">
        <v>4368</v>
      </c>
      <c r="W2217">
        <v>0.64</v>
      </c>
    </row>
    <row r="2218" spans="1:23">
      <c r="A2218" t="str">
        <f>"600764"</f>
        <v>600764</v>
      </c>
      <c r="B2218" t="s">
        <v>5558</v>
      </c>
      <c r="C2218" t="s">
        <v>3</v>
      </c>
      <c r="D2218" t="s">
        <v>3</v>
      </c>
      <c r="E2218" t="s">
        <v>3</v>
      </c>
      <c r="F2218">
        <v>7.59</v>
      </c>
      <c r="G2218">
        <v>0</v>
      </c>
      <c r="H2218">
        <v>0</v>
      </c>
      <c r="I2218">
        <v>0</v>
      </c>
      <c r="J2218" t="s">
        <v>112</v>
      </c>
      <c r="K2218" t="s">
        <v>34</v>
      </c>
      <c r="L2218">
        <v>0</v>
      </c>
      <c r="M2218">
        <v>7.59</v>
      </c>
      <c r="N2218">
        <v>0</v>
      </c>
      <c r="O2218">
        <v>0</v>
      </c>
      <c r="P2218" t="s">
        <v>3</v>
      </c>
      <c r="Q2218">
        <v>0</v>
      </c>
      <c r="R2218">
        <v>0</v>
      </c>
      <c r="S2218" t="s">
        <v>3</v>
      </c>
      <c r="T2218">
        <v>32972.69</v>
      </c>
      <c r="U2218" t="s">
        <v>3794</v>
      </c>
      <c r="V2218" t="s">
        <v>3794</v>
      </c>
      <c r="W2218">
        <v>0</v>
      </c>
    </row>
    <row r="2219" spans="1:23">
      <c r="A2219" t="str">
        <f>"600765"</f>
        <v>600765</v>
      </c>
      <c r="B2219" t="s">
        <v>5559</v>
      </c>
      <c r="C2219">
        <v>18.48</v>
      </c>
      <c r="D2219">
        <v>20.170000000000002</v>
      </c>
      <c r="E2219">
        <v>18.48</v>
      </c>
      <c r="F2219">
        <v>20.170000000000002</v>
      </c>
      <c r="G2219">
        <v>454175</v>
      </c>
      <c r="H2219">
        <v>890834624</v>
      </c>
      <c r="I2219">
        <v>1.34</v>
      </c>
      <c r="J2219" t="s">
        <v>398</v>
      </c>
      <c r="K2219" t="s">
        <v>452</v>
      </c>
      <c r="L2219">
        <v>9.98</v>
      </c>
      <c r="M2219">
        <v>19.61</v>
      </c>
      <c r="N2219">
        <v>167808</v>
      </c>
      <c r="O2219">
        <v>286366</v>
      </c>
      <c r="P2219">
        <v>0.59</v>
      </c>
      <c r="Q2219">
        <v>3855</v>
      </c>
      <c r="R2219">
        <v>0</v>
      </c>
      <c r="S2219" t="s">
        <v>3</v>
      </c>
      <c r="T2219">
        <v>77800.320000000007</v>
      </c>
      <c r="U2219" t="s">
        <v>5560</v>
      </c>
      <c r="V2219" t="s">
        <v>5560</v>
      </c>
      <c r="W2219">
        <v>9.9700000000000006</v>
      </c>
    </row>
    <row r="2220" spans="1:23">
      <c r="A2220" t="str">
        <f>"600766"</f>
        <v>600766</v>
      </c>
      <c r="B2220" t="s">
        <v>5561</v>
      </c>
      <c r="C2220">
        <v>11.15</v>
      </c>
      <c r="D2220">
        <v>11.23</v>
      </c>
      <c r="E2220">
        <v>11</v>
      </c>
      <c r="F2220">
        <v>11.09</v>
      </c>
      <c r="G2220">
        <v>123232</v>
      </c>
      <c r="H2220">
        <v>136729312</v>
      </c>
      <c r="I2220">
        <v>1.41</v>
      </c>
      <c r="J2220" t="s">
        <v>1783</v>
      </c>
      <c r="K2220" t="s">
        <v>250</v>
      </c>
      <c r="L2220">
        <v>0.64</v>
      </c>
      <c r="M2220">
        <v>11.1</v>
      </c>
      <c r="N2220">
        <v>66228</v>
      </c>
      <c r="O2220">
        <v>57004</v>
      </c>
      <c r="P2220">
        <v>1.1599999999999999</v>
      </c>
      <c r="Q2220">
        <v>429</v>
      </c>
      <c r="R2220">
        <v>77</v>
      </c>
      <c r="S2220" t="s">
        <v>3</v>
      </c>
      <c r="T2220">
        <v>22359.8</v>
      </c>
      <c r="U2220" t="s">
        <v>5562</v>
      </c>
      <c r="V2220" t="s">
        <v>5563</v>
      </c>
      <c r="W2220">
        <v>0.63</v>
      </c>
    </row>
    <row r="2221" spans="1:23">
      <c r="A2221" t="str">
        <f>"600767"</f>
        <v>600767</v>
      </c>
      <c r="B2221" t="s">
        <v>5564</v>
      </c>
      <c r="C2221">
        <v>9.91</v>
      </c>
      <c r="D2221">
        <v>10.7</v>
      </c>
      <c r="E2221">
        <v>9.6300000000000008</v>
      </c>
      <c r="F2221">
        <v>10.61</v>
      </c>
      <c r="G2221">
        <v>809242</v>
      </c>
      <c r="H2221">
        <v>807342784</v>
      </c>
      <c r="I2221">
        <v>3.52</v>
      </c>
      <c r="J2221" t="s">
        <v>7</v>
      </c>
      <c r="K2221" t="s">
        <v>727</v>
      </c>
      <c r="L2221">
        <v>8.93</v>
      </c>
      <c r="M2221">
        <v>9.98</v>
      </c>
      <c r="N2221">
        <v>389471</v>
      </c>
      <c r="O2221">
        <v>419771</v>
      </c>
      <c r="P2221">
        <v>0.93</v>
      </c>
      <c r="Q2221">
        <v>2231</v>
      </c>
      <c r="R2221">
        <v>2209</v>
      </c>
      <c r="S2221" t="s">
        <v>3</v>
      </c>
      <c r="T2221">
        <v>34091.01</v>
      </c>
      <c r="U2221" t="s">
        <v>5565</v>
      </c>
      <c r="V2221" t="s">
        <v>4810</v>
      </c>
      <c r="W2221">
        <v>8.93</v>
      </c>
    </row>
    <row r="2222" spans="1:23">
      <c r="A2222" t="str">
        <f>"600768"</f>
        <v>600768</v>
      </c>
      <c r="B2222" t="s">
        <v>5566</v>
      </c>
      <c r="C2222">
        <v>13</v>
      </c>
      <c r="D2222">
        <v>13.01</v>
      </c>
      <c r="E2222">
        <v>12.68</v>
      </c>
      <c r="F2222">
        <v>12.74</v>
      </c>
      <c r="G2222">
        <v>32407</v>
      </c>
      <c r="H2222">
        <v>41498208</v>
      </c>
      <c r="I2222">
        <v>1.26</v>
      </c>
      <c r="J2222" t="s">
        <v>632</v>
      </c>
      <c r="K2222" t="s">
        <v>229</v>
      </c>
      <c r="L2222">
        <v>-2.23</v>
      </c>
      <c r="M2222">
        <v>12.81</v>
      </c>
      <c r="N2222">
        <v>21368</v>
      </c>
      <c r="O2222">
        <v>11038</v>
      </c>
      <c r="P2222">
        <v>1.94</v>
      </c>
      <c r="Q2222">
        <v>58</v>
      </c>
      <c r="R2222">
        <v>54</v>
      </c>
      <c r="S2222" t="s">
        <v>3</v>
      </c>
      <c r="T2222">
        <v>13374.71</v>
      </c>
      <c r="U2222" t="s">
        <v>5567</v>
      </c>
      <c r="V2222" t="s">
        <v>5567</v>
      </c>
      <c r="W2222">
        <v>-2.23</v>
      </c>
    </row>
    <row r="2223" spans="1:23">
      <c r="A2223" t="str">
        <f>"600769"</f>
        <v>600769</v>
      </c>
      <c r="B2223" t="s">
        <v>5568</v>
      </c>
      <c r="C2223">
        <v>7.39</v>
      </c>
      <c r="D2223">
        <v>7.53</v>
      </c>
      <c r="E2223">
        <v>7.29</v>
      </c>
      <c r="F2223">
        <v>7.35</v>
      </c>
      <c r="G2223">
        <v>61939</v>
      </c>
      <c r="H2223">
        <v>45766108</v>
      </c>
      <c r="I2223">
        <v>1.07</v>
      </c>
      <c r="J2223" t="s">
        <v>87</v>
      </c>
      <c r="K2223" t="s">
        <v>317</v>
      </c>
      <c r="L2223">
        <v>0</v>
      </c>
      <c r="M2223">
        <v>7.39</v>
      </c>
      <c r="N2223">
        <v>32899</v>
      </c>
      <c r="O2223">
        <v>29039</v>
      </c>
      <c r="P2223">
        <v>1.1299999999999999</v>
      </c>
      <c r="Q2223">
        <v>33</v>
      </c>
      <c r="R2223">
        <v>228</v>
      </c>
      <c r="S2223" t="s">
        <v>3</v>
      </c>
      <c r="T2223">
        <v>37497.71</v>
      </c>
      <c r="U2223" t="s">
        <v>3058</v>
      </c>
      <c r="V2223" t="s">
        <v>3058</v>
      </c>
      <c r="W2223">
        <v>0</v>
      </c>
    </row>
    <row r="2224" spans="1:23">
      <c r="A2224" t="str">
        <f>"600770"</f>
        <v>600770</v>
      </c>
      <c r="B2224" t="s">
        <v>5569</v>
      </c>
      <c r="C2224">
        <v>9.81</v>
      </c>
      <c r="D2224">
        <v>10.58</v>
      </c>
      <c r="E2224">
        <v>9.7799999999999994</v>
      </c>
      <c r="F2224">
        <v>10.37</v>
      </c>
      <c r="G2224">
        <v>650219</v>
      </c>
      <c r="H2224">
        <v>663803648</v>
      </c>
      <c r="I2224">
        <v>3.01</v>
      </c>
      <c r="J2224" t="s">
        <v>26</v>
      </c>
      <c r="K2224" t="s">
        <v>244</v>
      </c>
      <c r="L2224">
        <v>5.82</v>
      </c>
      <c r="M2224">
        <v>10.210000000000001</v>
      </c>
      <c r="N2224">
        <v>275961</v>
      </c>
      <c r="O2224">
        <v>374258</v>
      </c>
      <c r="P2224">
        <v>0.74</v>
      </c>
      <c r="Q2224">
        <v>206</v>
      </c>
      <c r="R2224">
        <v>1363</v>
      </c>
      <c r="S2224" t="s">
        <v>3</v>
      </c>
      <c r="T2224">
        <v>110460</v>
      </c>
      <c r="U2224" t="s">
        <v>5570</v>
      </c>
      <c r="V2224" t="s">
        <v>2169</v>
      </c>
      <c r="W2224">
        <v>5.81</v>
      </c>
    </row>
    <row r="2225" spans="1:23">
      <c r="A2225" t="str">
        <f>"600771"</f>
        <v>600771</v>
      </c>
      <c r="B2225" t="s">
        <v>5571</v>
      </c>
      <c r="C2225">
        <v>24.58</v>
      </c>
      <c r="D2225">
        <v>24.6</v>
      </c>
      <c r="E2225">
        <v>23.7</v>
      </c>
      <c r="F2225">
        <v>23.91</v>
      </c>
      <c r="G2225">
        <v>42419</v>
      </c>
      <c r="H2225">
        <v>102099824</v>
      </c>
      <c r="I2225">
        <v>1.44</v>
      </c>
      <c r="J2225" t="s">
        <v>219</v>
      </c>
      <c r="K2225" t="s">
        <v>613</v>
      </c>
      <c r="L2225">
        <v>-2.41</v>
      </c>
      <c r="M2225">
        <v>24.07</v>
      </c>
      <c r="N2225">
        <v>26610</v>
      </c>
      <c r="O2225">
        <v>15808</v>
      </c>
      <c r="P2225">
        <v>1.68</v>
      </c>
      <c r="Q2225">
        <v>43</v>
      </c>
      <c r="R2225">
        <v>6</v>
      </c>
      <c r="S2225" t="s">
        <v>3</v>
      </c>
      <c r="T2225">
        <v>18976.009999999998</v>
      </c>
      <c r="U2225" t="s">
        <v>5572</v>
      </c>
      <c r="V2225" t="s">
        <v>1799</v>
      </c>
      <c r="W2225">
        <v>-2.41</v>
      </c>
    </row>
    <row r="2226" spans="1:23">
      <c r="A2226" t="str">
        <f>"600773"</f>
        <v>600773</v>
      </c>
      <c r="B2226" t="s">
        <v>5573</v>
      </c>
      <c r="C2226">
        <v>12.17</v>
      </c>
      <c r="D2226">
        <v>12.4</v>
      </c>
      <c r="E2226">
        <v>12.08</v>
      </c>
      <c r="F2226">
        <v>12.16</v>
      </c>
      <c r="G2226">
        <v>127247</v>
      </c>
      <c r="H2226">
        <v>155257728</v>
      </c>
      <c r="I2226">
        <v>1.1599999999999999</v>
      </c>
      <c r="J2226" t="s">
        <v>15</v>
      </c>
      <c r="K2226" t="s">
        <v>905</v>
      </c>
      <c r="L2226">
        <v>-0.16</v>
      </c>
      <c r="M2226">
        <v>12.2</v>
      </c>
      <c r="N2226">
        <v>76807</v>
      </c>
      <c r="O2226">
        <v>50440</v>
      </c>
      <c r="P2226">
        <v>1.52</v>
      </c>
      <c r="Q2226">
        <v>4</v>
      </c>
      <c r="R2226">
        <v>198</v>
      </c>
      <c r="S2226" t="s">
        <v>3</v>
      </c>
      <c r="T2226">
        <v>53963.89</v>
      </c>
      <c r="U2226" t="s">
        <v>5574</v>
      </c>
      <c r="V2226" t="s">
        <v>5575</v>
      </c>
      <c r="W2226">
        <v>-0.17</v>
      </c>
    </row>
    <row r="2227" spans="1:23">
      <c r="A2227" t="str">
        <f>"600774"</f>
        <v>600774</v>
      </c>
      <c r="B2227" t="s">
        <v>5576</v>
      </c>
      <c r="C2227">
        <v>10.48</v>
      </c>
      <c r="D2227">
        <v>10.78</v>
      </c>
      <c r="E2227">
        <v>10.39</v>
      </c>
      <c r="F2227">
        <v>10.74</v>
      </c>
      <c r="G2227">
        <v>22386</v>
      </c>
      <c r="H2227">
        <v>23709772</v>
      </c>
      <c r="I2227">
        <v>1.61</v>
      </c>
      <c r="J2227" t="s">
        <v>297</v>
      </c>
      <c r="K2227" t="s">
        <v>317</v>
      </c>
      <c r="L2227">
        <v>2.78</v>
      </c>
      <c r="M2227">
        <v>10.59</v>
      </c>
      <c r="N2227">
        <v>8331</v>
      </c>
      <c r="O2227">
        <v>14054</v>
      </c>
      <c r="P2227">
        <v>0.59</v>
      </c>
      <c r="Q2227">
        <v>166</v>
      </c>
      <c r="R2227">
        <v>247</v>
      </c>
      <c r="S2227" t="s">
        <v>3</v>
      </c>
      <c r="T2227">
        <v>17289.150000000001</v>
      </c>
      <c r="U2227" t="s">
        <v>680</v>
      </c>
      <c r="V2227" t="s">
        <v>1068</v>
      </c>
      <c r="W2227">
        <v>2.77</v>
      </c>
    </row>
    <row r="2228" spans="1:23">
      <c r="A2228" t="str">
        <f>"600775"</f>
        <v>600775</v>
      </c>
      <c r="B2228" t="s">
        <v>5577</v>
      </c>
      <c r="C2228">
        <v>10.77</v>
      </c>
      <c r="D2228">
        <v>11.17</v>
      </c>
      <c r="E2228">
        <v>10.39</v>
      </c>
      <c r="F2228">
        <v>10.67</v>
      </c>
      <c r="G2228">
        <v>384118</v>
      </c>
      <c r="H2228">
        <v>413044064</v>
      </c>
      <c r="I2228">
        <v>1.0900000000000001</v>
      </c>
      <c r="J2228" t="s">
        <v>112</v>
      </c>
      <c r="K2228" t="s">
        <v>244</v>
      </c>
      <c r="L2228">
        <v>-0.19</v>
      </c>
      <c r="M2228">
        <v>10.75</v>
      </c>
      <c r="N2228">
        <v>223641</v>
      </c>
      <c r="O2228">
        <v>160477</v>
      </c>
      <c r="P2228">
        <v>1.39</v>
      </c>
      <c r="Q2228">
        <v>28</v>
      </c>
      <c r="R2228">
        <v>399</v>
      </c>
      <c r="S2228" t="s">
        <v>3</v>
      </c>
      <c r="T2228">
        <v>63262.28</v>
      </c>
      <c r="U2228" t="s">
        <v>5578</v>
      </c>
      <c r="V2228" t="s">
        <v>5579</v>
      </c>
      <c r="W2228">
        <v>-0.19</v>
      </c>
    </row>
    <row r="2229" spans="1:23">
      <c r="A2229" t="str">
        <f>"600776"</f>
        <v>600776</v>
      </c>
      <c r="B2229" t="s">
        <v>5580</v>
      </c>
      <c r="C2229">
        <v>10.220000000000001</v>
      </c>
      <c r="D2229">
        <v>10.39</v>
      </c>
      <c r="E2229">
        <v>10.199999999999999</v>
      </c>
      <c r="F2229">
        <v>10.31</v>
      </c>
      <c r="G2229">
        <v>121877</v>
      </c>
      <c r="H2229">
        <v>125654000</v>
      </c>
      <c r="I2229">
        <v>0.79</v>
      </c>
      <c r="J2229" t="s">
        <v>112</v>
      </c>
      <c r="K2229" t="s">
        <v>229</v>
      </c>
      <c r="L2229">
        <v>1.38</v>
      </c>
      <c r="M2229">
        <v>10.31</v>
      </c>
      <c r="N2229">
        <v>55508</v>
      </c>
      <c r="O2229">
        <v>66369</v>
      </c>
      <c r="P2229">
        <v>0.84</v>
      </c>
      <c r="Q2229">
        <v>342</v>
      </c>
      <c r="R2229">
        <v>958</v>
      </c>
      <c r="S2229" t="s">
        <v>3</v>
      </c>
      <c r="T2229">
        <v>95600</v>
      </c>
      <c r="U2229" t="s">
        <v>5581</v>
      </c>
      <c r="V2229" t="s">
        <v>5582</v>
      </c>
      <c r="W2229">
        <v>1.37</v>
      </c>
    </row>
    <row r="2230" spans="1:23">
      <c r="A2230" t="str">
        <f>"600777"</f>
        <v>600777</v>
      </c>
      <c r="B2230" t="s">
        <v>5583</v>
      </c>
      <c r="C2230">
        <v>10.039999999999999</v>
      </c>
      <c r="D2230">
        <v>10.24</v>
      </c>
      <c r="E2230">
        <v>9.93</v>
      </c>
      <c r="F2230">
        <v>10.18</v>
      </c>
      <c r="G2230">
        <v>136447</v>
      </c>
      <c r="H2230">
        <v>137397808</v>
      </c>
      <c r="I2230">
        <v>1.17</v>
      </c>
      <c r="J2230" t="s">
        <v>26</v>
      </c>
      <c r="K2230" t="s">
        <v>250</v>
      </c>
      <c r="L2230">
        <v>1.39</v>
      </c>
      <c r="M2230">
        <v>10.07</v>
      </c>
      <c r="N2230">
        <v>73903</v>
      </c>
      <c r="O2230">
        <v>62543</v>
      </c>
      <c r="P2230">
        <v>1.18</v>
      </c>
      <c r="Q2230">
        <v>176</v>
      </c>
      <c r="R2230">
        <v>697</v>
      </c>
      <c r="S2230" t="s">
        <v>3</v>
      </c>
      <c r="T2230">
        <v>62530.53</v>
      </c>
      <c r="U2230" t="s">
        <v>5584</v>
      </c>
      <c r="V2230" t="s">
        <v>5585</v>
      </c>
      <c r="W2230">
        <v>1.39</v>
      </c>
    </row>
    <row r="2231" spans="1:23">
      <c r="A2231" t="str">
        <f>"600778"</f>
        <v>600778</v>
      </c>
      <c r="B2231" t="s">
        <v>5586</v>
      </c>
      <c r="C2231">
        <v>8.3800000000000008</v>
      </c>
      <c r="D2231">
        <v>8.57</v>
      </c>
      <c r="E2231">
        <v>8.33</v>
      </c>
      <c r="F2231">
        <v>8.5</v>
      </c>
      <c r="G2231">
        <v>73826</v>
      </c>
      <c r="H2231">
        <v>62416740</v>
      </c>
      <c r="I2231">
        <v>1.29</v>
      </c>
      <c r="J2231" t="s">
        <v>297</v>
      </c>
      <c r="K2231" t="s">
        <v>241</v>
      </c>
      <c r="L2231">
        <v>1.55</v>
      </c>
      <c r="M2231">
        <v>8.4499999999999993</v>
      </c>
      <c r="N2231">
        <v>34043</v>
      </c>
      <c r="O2231">
        <v>39782</v>
      </c>
      <c r="P2231">
        <v>0.86</v>
      </c>
      <c r="Q2231">
        <v>118</v>
      </c>
      <c r="R2231">
        <v>49</v>
      </c>
      <c r="S2231" t="s">
        <v>3</v>
      </c>
      <c r="T2231">
        <v>31031.279999999999</v>
      </c>
      <c r="U2231" t="s">
        <v>1029</v>
      </c>
      <c r="V2231" t="s">
        <v>5587</v>
      </c>
      <c r="W2231">
        <v>1.55</v>
      </c>
    </row>
    <row r="2232" spans="1:23">
      <c r="A2232" t="str">
        <f>"600779"</f>
        <v>600779</v>
      </c>
      <c r="B2232" t="s">
        <v>5588</v>
      </c>
      <c r="C2232">
        <v>8.73</v>
      </c>
      <c r="D2232">
        <v>8.7899999999999991</v>
      </c>
      <c r="E2232">
        <v>8.6</v>
      </c>
      <c r="F2232">
        <v>8.65</v>
      </c>
      <c r="G2232">
        <v>77121</v>
      </c>
      <c r="H2232">
        <v>66696228</v>
      </c>
      <c r="I2232">
        <v>0.62</v>
      </c>
      <c r="J2232" t="s">
        <v>531</v>
      </c>
      <c r="K2232" t="s">
        <v>225</v>
      </c>
      <c r="L2232">
        <v>-1.1399999999999999</v>
      </c>
      <c r="M2232">
        <v>8.65</v>
      </c>
      <c r="N2232">
        <v>47322</v>
      </c>
      <c r="O2232">
        <v>29798</v>
      </c>
      <c r="P2232">
        <v>1.59</v>
      </c>
      <c r="Q2232">
        <v>171</v>
      </c>
      <c r="R2232">
        <v>16</v>
      </c>
      <c r="S2232" t="s">
        <v>3</v>
      </c>
      <c r="T2232">
        <v>29532.34</v>
      </c>
      <c r="U2232" t="s">
        <v>3322</v>
      </c>
      <c r="V2232" t="s">
        <v>5002</v>
      </c>
      <c r="W2232">
        <v>-1.1499999999999999</v>
      </c>
    </row>
    <row r="2233" spans="1:23">
      <c r="A2233" t="str">
        <f>"600780"</f>
        <v>600780</v>
      </c>
      <c r="B2233" t="s">
        <v>5589</v>
      </c>
      <c r="C2233">
        <v>5.15</v>
      </c>
      <c r="D2233">
        <v>5.34</v>
      </c>
      <c r="E2233">
        <v>5.14</v>
      </c>
      <c r="F2233">
        <v>5.28</v>
      </c>
      <c r="G2233">
        <v>177545</v>
      </c>
      <c r="H2233">
        <v>93240440</v>
      </c>
      <c r="I2233">
        <v>1.58</v>
      </c>
      <c r="J2233" t="s">
        <v>87</v>
      </c>
      <c r="K2233" t="s">
        <v>742</v>
      </c>
      <c r="L2233">
        <v>1.93</v>
      </c>
      <c r="M2233">
        <v>5.25</v>
      </c>
      <c r="N2233">
        <v>71276</v>
      </c>
      <c r="O2233">
        <v>106269</v>
      </c>
      <c r="P2233">
        <v>0.67</v>
      </c>
      <c r="Q2233">
        <v>827</v>
      </c>
      <c r="R2233">
        <v>2006</v>
      </c>
      <c r="S2233" t="s">
        <v>3</v>
      </c>
      <c r="T2233">
        <v>114650.25</v>
      </c>
      <c r="U2233" t="s">
        <v>5590</v>
      </c>
      <c r="V2233" t="s">
        <v>5590</v>
      </c>
      <c r="W2233">
        <v>1.93</v>
      </c>
    </row>
    <row r="2234" spans="1:23">
      <c r="A2234" t="str">
        <f>"600781"</f>
        <v>600781</v>
      </c>
      <c r="B2234" t="s">
        <v>5591</v>
      </c>
      <c r="C2234">
        <v>18.38</v>
      </c>
      <c r="D2234">
        <v>18.78</v>
      </c>
      <c r="E2234">
        <v>18</v>
      </c>
      <c r="F2234">
        <v>18.14</v>
      </c>
      <c r="G2234">
        <v>44647</v>
      </c>
      <c r="H2234">
        <v>81887792</v>
      </c>
      <c r="I2234">
        <v>1.01</v>
      </c>
      <c r="J2234" t="s">
        <v>321</v>
      </c>
      <c r="K2234" t="s">
        <v>254</v>
      </c>
      <c r="L2234">
        <v>-0.82</v>
      </c>
      <c r="M2234">
        <v>18.34</v>
      </c>
      <c r="N2234">
        <v>25995</v>
      </c>
      <c r="O2234">
        <v>18652</v>
      </c>
      <c r="P2234">
        <v>1.39</v>
      </c>
      <c r="Q2234">
        <v>29</v>
      </c>
      <c r="R2234">
        <v>11</v>
      </c>
      <c r="S2234" t="s">
        <v>3</v>
      </c>
      <c r="T2234">
        <v>17759.28</v>
      </c>
      <c r="U2234" t="s">
        <v>2617</v>
      </c>
      <c r="V2234" t="s">
        <v>2617</v>
      </c>
      <c r="W2234">
        <v>-0.82</v>
      </c>
    </row>
    <row r="2235" spans="1:23">
      <c r="A2235" t="str">
        <f>"600782"</f>
        <v>600782</v>
      </c>
      <c r="B2235" t="s">
        <v>5592</v>
      </c>
      <c r="C2235">
        <v>3.49</v>
      </c>
      <c r="D2235">
        <v>3.62</v>
      </c>
      <c r="E2235">
        <v>3.46</v>
      </c>
      <c r="F2235">
        <v>3.62</v>
      </c>
      <c r="G2235">
        <v>131170</v>
      </c>
      <c r="H2235">
        <v>46843928</v>
      </c>
      <c r="I2235">
        <v>2.4700000000000002</v>
      </c>
      <c r="J2235" t="s">
        <v>838</v>
      </c>
      <c r="K2235" t="s">
        <v>265</v>
      </c>
      <c r="L2235">
        <v>3.72</v>
      </c>
      <c r="M2235">
        <v>3.57</v>
      </c>
      <c r="N2235">
        <v>55289</v>
      </c>
      <c r="O2235">
        <v>75880</v>
      </c>
      <c r="P2235">
        <v>0.73</v>
      </c>
      <c r="Q2235">
        <v>1085</v>
      </c>
      <c r="R2235">
        <v>740</v>
      </c>
      <c r="S2235" t="s">
        <v>3</v>
      </c>
      <c r="T2235">
        <v>139344.81</v>
      </c>
      <c r="U2235" t="s">
        <v>5593</v>
      </c>
      <c r="V2235" t="s">
        <v>5593</v>
      </c>
      <c r="W2235">
        <v>3.72</v>
      </c>
    </row>
    <row r="2236" spans="1:23">
      <c r="A2236" t="str">
        <f>"600783"</f>
        <v>600783</v>
      </c>
      <c r="B2236" t="s">
        <v>5594</v>
      </c>
      <c r="C2236">
        <v>17.53</v>
      </c>
      <c r="D2236">
        <v>17.600000000000001</v>
      </c>
      <c r="E2236">
        <v>17.2</v>
      </c>
      <c r="F2236">
        <v>17.29</v>
      </c>
      <c r="G2236">
        <v>75715</v>
      </c>
      <c r="H2236">
        <v>131176360</v>
      </c>
      <c r="I2236">
        <v>1.24</v>
      </c>
      <c r="J2236" t="s">
        <v>380</v>
      </c>
      <c r="K2236" t="s">
        <v>250</v>
      </c>
      <c r="L2236">
        <v>-1.37</v>
      </c>
      <c r="M2236">
        <v>17.32</v>
      </c>
      <c r="N2236">
        <v>44749</v>
      </c>
      <c r="O2236">
        <v>30966</v>
      </c>
      <c r="P2236">
        <v>1.45</v>
      </c>
      <c r="Q2236">
        <v>180</v>
      </c>
      <c r="R2236">
        <v>288</v>
      </c>
      <c r="S2236" t="s">
        <v>3</v>
      </c>
      <c r="T2236">
        <v>74435.92</v>
      </c>
      <c r="U2236" t="s">
        <v>5595</v>
      </c>
      <c r="V2236" t="s">
        <v>5595</v>
      </c>
      <c r="W2236">
        <v>-1.37</v>
      </c>
    </row>
    <row r="2237" spans="1:23">
      <c r="A2237" t="str">
        <f>"600784"</f>
        <v>600784</v>
      </c>
      <c r="B2237" t="s">
        <v>5596</v>
      </c>
      <c r="C2237">
        <v>5.8</v>
      </c>
      <c r="D2237">
        <v>5.86</v>
      </c>
      <c r="E2237">
        <v>5.76</v>
      </c>
      <c r="F2237">
        <v>5.8</v>
      </c>
      <c r="G2237">
        <v>99309</v>
      </c>
      <c r="H2237">
        <v>57699652</v>
      </c>
      <c r="I2237">
        <v>0.93</v>
      </c>
      <c r="J2237" t="s">
        <v>279</v>
      </c>
      <c r="K2237" t="s">
        <v>250</v>
      </c>
      <c r="L2237">
        <v>0</v>
      </c>
      <c r="M2237">
        <v>5.81</v>
      </c>
      <c r="N2237">
        <v>55633</v>
      </c>
      <c r="O2237">
        <v>43675</v>
      </c>
      <c r="P2237">
        <v>1.27</v>
      </c>
      <c r="Q2237">
        <v>27</v>
      </c>
      <c r="R2237">
        <v>1386</v>
      </c>
      <c r="S2237" t="s">
        <v>3</v>
      </c>
      <c r="T2237">
        <v>49661.37</v>
      </c>
      <c r="U2237" t="s">
        <v>2082</v>
      </c>
      <c r="V2237" t="s">
        <v>924</v>
      </c>
      <c r="W2237">
        <v>0</v>
      </c>
    </row>
    <row r="2238" spans="1:23">
      <c r="A2238" t="str">
        <f>"600785"</f>
        <v>600785</v>
      </c>
      <c r="B2238" t="s">
        <v>5597</v>
      </c>
      <c r="C2238">
        <v>12.45</v>
      </c>
      <c r="D2238">
        <v>12.9</v>
      </c>
      <c r="E2238">
        <v>12.4</v>
      </c>
      <c r="F2238">
        <v>12.89</v>
      </c>
      <c r="G2238">
        <v>74007</v>
      </c>
      <c r="H2238">
        <v>94427192</v>
      </c>
      <c r="I2238">
        <v>1.2</v>
      </c>
      <c r="J2238" t="s">
        <v>297</v>
      </c>
      <c r="K2238" t="s">
        <v>496</v>
      </c>
      <c r="L2238">
        <v>3.7</v>
      </c>
      <c r="M2238">
        <v>12.76</v>
      </c>
      <c r="N2238">
        <v>33667</v>
      </c>
      <c r="O2238">
        <v>40340</v>
      </c>
      <c r="P2238">
        <v>0.83</v>
      </c>
      <c r="Q2238">
        <v>116</v>
      </c>
      <c r="R2238">
        <v>7</v>
      </c>
      <c r="S2238" t="s">
        <v>3</v>
      </c>
      <c r="T2238">
        <v>20743.13</v>
      </c>
      <c r="U2238" t="s">
        <v>3178</v>
      </c>
      <c r="V2238" t="s">
        <v>799</v>
      </c>
      <c r="W2238">
        <v>3.7</v>
      </c>
    </row>
    <row r="2239" spans="1:23">
      <c r="A2239" t="str">
        <f>"600787"</f>
        <v>600787</v>
      </c>
      <c r="B2239" t="s">
        <v>5598</v>
      </c>
      <c r="C2239">
        <v>8.49</v>
      </c>
      <c r="D2239">
        <v>9.2200000000000006</v>
      </c>
      <c r="E2239">
        <v>8.49</v>
      </c>
      <c r="F2239">
        <v>9.0500000000000007</v>
      </c>
      <c r="G2239">
        <v>976977</v>
      </c>
      <c r="H2239">
        <v>871332416</v>
      </c>
      <c r="I2239">
        <v>1.54</v>
      </c>
      <c r="J2239" t="s">
        <v>1859</v>
      </c>
      <c r="K2239" t="s">
        <v>442</v>
      </c>
      <c r="L2239">
        <v>6.85</v>
      </c>
      <c r="M2239">
        <v>8.92</v>
      </c>
      <c r="N2239">
        <v>453916</v>
      </c>
      <c r="O2239">
        <v>523060</v>
      </c>
      <c r="P2239">
        <v>0.87</v>
      </c>
      <c r="Q2239">
        <v>1714</v>
      </c>
      <c r="R2239">
        <v>1515</v>
      </c>
      <c r="S2239" t="s">
        <v>3</v>
      </c>
      <c r="T2239">
        <v>168020.56</v>
      </c>
      <c r="U2239" t="s">
        <v>5599</v>
      </c>
      <c r="V2239" t="s">
        <v>5600</v>
      </c>
      <c r="W2239">
        <v>6.84</v>
      </c>
    </row>
    <row r="2240" spans="1:23">
      <c r="A2240" t="str">
        <f>"600789"</f>
        <v>600789</v>
      </c>
      <c r="B2240" t="s">
        <v>5601</v>
      </c>
      <c r="C2240">
        <v>6.6</v>
      </c>
      <c r="D2240">
        <v>6.72</v>
      </c>
      <c r="E2240">
        <v>6.53</v>
      </c>
      <c r="F2240">
        <v>6.68</v>
      </c>
      <c r="G2240">
        <v>263048</v>
      </c>
      <c r="H2240">
        <v>174864384</v>
      </c>
      <c r="I2240">
        <v>1.2</v>
      </c>
      <c r="J2240" t="s">
        <v>219</v>
      </c>
      <c r="K2240" t="s">
        <v>250</v>
      </c>
      <c r="L2240">
        <v>0.91</v>
      </c>
      <c r="M2240">
        <v>6.65</v>
      </c>
      <c r="N2240">
        <v>119428</v>
      </c>
      <c r="O2240">
        <v>143620</v>
      </c>
      <c r="P2240">
        <v>0.83</v>
      </c>
      <c r="Q2240">
        <v>548</v>
      </c>
      <c r="R2240">
        <v>2075</v>
      </c>
      <c r="S2240" t="s">
        <v>3</v>
      </c>
      <c r="T2240">
        <v>58157.55</v>
      </c>
      <c r="U2240" t="s">
        <v>5602</v>
      </c>
      <c r="V2240" t="s">
        <v>5602</v>
      </c>
      <c r="W2240">
        <v>0.9</v>
      </c>
    </row>
    <row r="2241" spans="1:23">
      <c r="A2241" t="str">
        <f>"600790"</f>
        <v>600790</v>
      </c>
      <c r="B2241" t="s">
        <v>5603</v>
      </c>
      <c r="C2241">
        <v>8.1</v>
      </c>
      <c r="D2241">
        <v>8.24</v>
      </c>
      <c r="E2241">
        <v>7.96</v>
      </c>
      <c r="F2241">
        <v>8.23</v>
      </c>
      <c r="G2241">
        <v>305018</v>
      </c>
      <c r="H2241">
        <v>247072384</v>
      </c>
      <c r="I2241">
        <v>1.8</v>
      </c>
      <c r="J2241" t="s">
        <v>2289</v>
      </c>
      <c r="K2241" t="s">
        <v>229</v>
      </c>
      <c r="L2241">
        <v>1.6</v>
      </c>
      <c r="M2241">
        <v>8.1</v>
      </c>
      <c r="N2241">
        <v>151435</v>
      </c>
      <c r="O2241">
        <v>153582</v>
      </c>
      <c r="P2241">
        <v>0.99</v>
      </c>
      <c r="Q2241">
        <v>782</v>
      </c>
      <c r="R2241">
        <v>42</v>
      </c>
      <c r="S2241" t="s">
        <v>3</v>
      </c>
      <c r="T2241">
        <v>61877.62</v>
      </c>
      <c r="U2241" t="s">
        <v>5604</v>
      </c>
      <c r="V2241" t="s">
        <v>1717</v>
      </c>
      <c r="W2241">
        <v>1.6</v>
      </c>
    </row>
    <row r="2242" spans="1:23">
      <c r="A2242" t="str">
        <f>"600791"</f>
        <v>600791</v>
      </c>
      <c r="B2242" t="s">
        <v>5605</v>
      </c>
      <c r="C2242">
        <v>5.18</v>
      </c>
      <c r="D2242">
        <v>5.26</v>
      </c>
      <c r="E2242">
        <v>5.15</v>
      </c>
      <c r="F2242">
        <v>5.25</v>
      </c>
      <c r="G2242">
        <v>61599</v>
      </c>
      <c r="H2242">
        <v>32059030</v>
      </c>
      <c r="I2242">
        <v>0.88</v>
      </c>
      <c r="J2242" t="s">
        <v>7</v>
      </c>
      <c r="K2242" t="s">
        <v>34</v>
      </c>
      <c r="L2242">
        <v>1.35</v>
      </c>
      <c r="M2242">
        <v>5.2</v>
      </c>
      <c r="N2242">
        <v>28850</v>
      </c>
      <c r="O2242">
        <v>32749</v>
      </c>
      <c r="P2242">
        <v>0.88</v>
      </c>
      <c r="Q2242">
        <v>809</v>
      </c>
      <c r="R2242">
        <v>279</v>
      </c>
      <c r="S2242" t="s">
        <v>3</v>
      </c>
      <c r="T2242">
        <v>45231.37</v>
      </c>
      <c r="U2242" t="s">
        <v>5451</v>
      </c>
      <c r="V2242" t="s">
        <v>4072</v>
      </c>
      <c r="W2242">
        <v>1.35</v>
      </c>
    </row>
    <row r="2243" spans="1:23">
      <c r="A2243" t="str">
        <f>"600792"</f>
        <v>600792</v>
      </c>
      <c r="B2243" t="s">
        <v>5606</v>
      </c>
      <c r="C2243">
        <v>11.14</v>
      </c>
      <c r="D2243">
        <v>11.49</v>
      </c>
      <c r="E2243">
        <v>11.1</v>
      </c>
      <c r="F2243">
        <v>11.38</v>
      </c>
      <c r="G2243">
        <v>51262</v>
      </c>
      <c r="H2243">
        <v>57965224</v>
      </c>
      <c r="I2243">
        <v>1.03</v>
      </c>
      <c r="J2243" t="s">
        <v>856</v>
      </c>
      <c r="K2243" t="s">
        <v>445</v>
      </c>
      <c r="L2243">
        <v>1.43</v>
      </c>
      <c r="M2243">
        <v>11.31</v>
      </c>
      <c r="N2243">
        <v>25922</v>
      </c>
      <c r="O2243">
        <v>25340</v>
      </c>
      <c r="P2243">
        <v>1.02</v>
      </c>
      <c r="Q2243">
        <v>53</v>
      </c>
      <c r="R2243">
        <v>64</v>
      </c>
      <c r="S2243" t="s">
        <v>3</v>
      </c>
      <c r="T2243">
        <v>12622.5</v>
      </c>
      <c r="U2243" t="s">
        <v>4385</v>
      </c>
      <c r="V2243" t="s">
        <v>5607</v>
      </c>
      <c r="W2243">
        <v>1.42</v>
      </c>
    </row>
    <row r="2244" spans="1:23">
      <c r="A2244" t="str">
        <f>"600793"</f>
        <v>600793</v>
      </c>
      <c r="B2244" t="s">
        <v>5608</v>
      </c>
      <c r="C2244">
        <v>13.33</v>
      </c>
      <c r="D2244">
        <v>13.52</v>
      </c>
      <c r="E2244">
        <v>13.22</v>
      </c>
      <c r="F2244">
        <v>13.43</v>
      </c>
      <c r="G2244">
        <v>5623</v>
      </c>
      <c r="H2244">
        <v>7517955</v>
      </c>
      <c r="I2244">
        <v>0.4</v>
      </c>
      <c r="J2244" t="s">
        <v>343</v>
      </c>
      <c r="K2244" t="s">
        <v>225</v>
      </c>
      <c r="L2244">
        <v>-7.0000000000000007E-2</v>
      </c>
      <c r="M2244">
        <v>13.37</v>
      </c>
      <c r="N2244">
        <v>3185</v>
      </c>
      <c r="O2244">
        <v>2437</v>
      </c>
      <c r="P2244">
        <v>1.31</v>
      </c>
      <c r="Q2244">
        <v>1</v>
      </c>
      <c r="R2244">
        <v>4</v>
      </c>
      <c r="S2244" t="s">
        <v>3</v>
      </c>
      <c r="T2244">
        <v>10530</v>
      </c>
      <c r="U2244" t="s">
        <v>4042</v>
      </c>
      <c r="V2244" t="s">
        <v>4042</v>
      </c>
      <c r="W2244">
        <v>-0.08</v>
      </c>
    </row>
    <row r="2245" spans="1:23">
      <c r="A2245" t="str">
        <f>"600794"</f>
        <v>600794</v>
      </c>
      <c r="B2245" t="s">
        <v>5609</v>
      </c>
      <c r="C2245">
        <v>10.8</v>
      </c>
      <c r="D2245">
        <v>10.92</v>
      </c>
      <c r="E2245">
        <v>10.61</v>
      </c>
      <c r="F2245">
        <v>10.84</v>
      </c>
      <c r="G2245">
        <v>67610</v>
      </c>
      <c r="H2245">
        <v>73103176</v>
      </c>
      <c r="I2245">
        <v>0.95</v>
      </c>
      <c r="J2245" t="s">
        <v>1859</v>
      </c>
      <c r="K2245" t="s">
        <v>445</v>
      </c>
      <c r="L2245">
        <v>0.56000000000000005</v>
      </c>
      <c r="M2245">
        <v>10.81</v>
      </c>
      <c r="N2245">
        <v>31654</v>
      </c>
      <c r="O2245">
        <v>35955</v>
      </c>
      <c r="P2245">
        <v>0.88</v>
      </c>
      <c r="Q2245">
        <v>64</v>
      </c>
      <c r="R2245">
        <v>236</v>
      </c>
      <c r="S2245" t="s">
        <v>3</v>
      </c>
      <c r="T2245">
        <v>46055.19</v>
      </c>
      <c r="U2245" t="s">
        <v>5423</v>
      </c>
      <c r="V2245" t="s">
        <v>5610</v>
      </c>
      <c r="W2245">
        <v>0.55000000000000004</v>
      </c>
    </row>
    <row r="2246" spans="1:23">
      <c r="A2246" t="str">
        <f>"600795"</f>
        <v>600795</v>
      </c>
      <c r="B2246" t="s">
        <v>5611</v>
      </c>
      <c r="C2246">
        <v>2.39</v>
      </c>
      <c r="D2246">
        <v>2.4300000000000002</v>
      </c>
      <c r="E2246">
        <v>2.38</v>
      </c>
      <c r="F2246">
        <v>2.4</v>
      </c>
      <c r="G2246">
        <v>973303</v>
      </c>
      <c r="H2246">
        <v>233948912</v>
      </c>
      <c r="I2246">
        <v>0.76</v>
      </c>
      <c r="J2246" t="s">
        <v>87</v>
      </c>
      <c r="K2246" t="s">
        <v>162</v>
      </c>
      <c r="L2246">
        <v>0.42</v>
      </c>
      <c r="M2246">
        <v>2.4</v>
      </c>
      <c r="N2246">
        <v>499299</v>
      </c>
      <c r="O2246">
        <v>474004</v>
      </c>
      <c r="P2246">
        <v>1.05</v>
      </c>
      <c r="Q2246">
        <v>5639</v>
      </c>
      <c r="R2246">
        <v>89004</v>
      </c>
      <c r="S2246" t="s">
        <v>3</v>
      </c>
      <c r="T2246">
        <v>1539511.13</v>
      </c>
      <c r="U2246" t="s">
        <v>5612</v>
      </c>
      <c r="V2246" t="s">
        <v>5613</v>
      </c>
      <c r="W2246">
        <v>0.41</v>
      </c>
    </row>
    <row r="2247" spans="1:23">
      <c r="A2247" t="str">
        <f>"600796"</f>
        <v>600796</v>
      </c>
      <c r="B2247" t="s">
        <v>5614</v>
      </c>
      <c r="C2247">
        <v>6.7</v>
      </c>
      <c r="D2247">
        <v>6.99</v>
      </c>
      <c r="E2247">
        <v>6.61</v>
      </c>
      <c r="F2247">
        <v>6.92</v>
      </c>
      <c r="G2247">
        <v>95360</v>
      </c>
      <c r="H2247">
        <v>65085280</v>
      </c>
      <c r="I2247">
        <v>1.29</v>
      </c>
      <c r="J2247" t="s">
        <v>224</v>
      </c>
      <c r="K2247" t="s">
        <v>229</v>
      </c>
      <c r="L2247">
        <v>3.28</v>
      </c>
      <c r="M2247">
        <v>6.83</v>
      </c>
      <c r="N2247">
        <v>42533</v>
      </c>
      <c r="O2247">
        <v>52826</v>
      </c>
      <c r="P2247">
        <v>0.81</v>
      </c>
      <c r="Q2247">
        <v>101</v>
      </c>
      <c r="R2247">
        <v>430</v>
      </c>
      <c r="S2247" t="s">
        <v>3</v>
      </c>
      <c r="T2247">
        <v>30140.21</v>
      </c>
      <c r="U2247" t="s">
        <v>5615</v>
      </c>
      <c r="V2247" t="s">
        <v>5615</v>
      </c>
      <c r="W2247">
        <v>3.28</v>
      </c>
    </row>
    <row r="2248" spans="1:23">
      <c r="A2248" t="str">
        <f>"600797"</f>
        <v>600797</v>
      </c>
      <c r="B2248" t="s">
        <v>5616</v>
      </c>
      <c r="C2248">
        <v>7.89</v>
      </c>
      <c r="D2248">
        <v>8.15</v>
      </c>
      <c r="E2248">
        <v>7.79</v>
      </c>
      <c r="F2248">
        <v>8.08</v>
      </c>
      <c r="G2248">
        <v>470291</v>
      </c>
      <c r="H2248">
        <v>375528480</v>
      </c>
      <c r="I2248">
        <v>1.35</v>
      </c>
      <c r="J2248" t="s">
        <v>758</v>
      </c>
      <c r="K2248" t="s">
        <v>229</v>
      </c>
      <c r="L2248">
        <v>2.67</v>
      </c>
      <c r="M2248">
        <v>7.99</v>
      </c>
      <c r="N2248">
        <v>237900</v>
      </c>
      <c r="O2248">
        <v>232390</v>
      </c>
      <c r="P2248">
        <v>1.02</v>
      </c>
      <c r="Q2248">
        <v>732</v>
      </c>
      <c r="R2248">
        <v>202</v>
      </c>
      <c r="S2248" t="s">
        <v>3</v>
      </c>
      <c r="T2248">
        <v>82171.199999999997</v>
      </c>
      <c r="U2248" t="s">
        <v>5617</v>
      </c>
      <c r="V2248" t="s">
        <v>5617</v>
      </c>
      <c r="W2248">
        <v>2.66</v>
      </c>
    </row>
    <row r="2249" spans="1:23">
      <c r="A2249" t="str">
        <f>"600798"</f>
        <v>600798</v>
      </c>
      <c r="B2249" t="s">
        <v>5618</v>
      </c>
      <c r="C2249">
        <v>4.42</v>
      </c>
      <c r="D2249">
        <v>4.54</v>
      </c>
      <c r="E2249">
        <v>4.33</v>
      </c>
      <c r="F2249">
        <v>4.37</v>
      </c>
      <c r="G2249">
        <v>346294</v>
      </c>
      <c r="H2249">
        <v>153171920</v>
      </c>
      <c r="I2249">
        <v>0.89</v>
      </c>
      <c r="J2249" t="s">
        <v>2226</v>
      </c>
      <c r="K2249" t="s">
        <v>229</v>
      </c>
      <c r="L2249">
        <v>-0.68</v>
      </c>
      <c r="M2249">
        <v>4.42</v>
      </c>
      <c r="N2249">
        <v>201188</v>
      </c>
      <c r="O2249">
        <v>145106</v>
      </c>
      <c r="P2249">
        <v>1.39</v>
      </c>
      <c r="Q2249">
        <v>132</v>
      </c>
      <c r="R2249">
        <v>1841</v>
      </c>
      <c r="S2249" t="s">
        <v>3</v>
      </c>
      <c r="T2249">
        <v>87117.45</v>
      </c>
      <c r="U2249" t="s">
        <v>501</v>
      </c>
      <c r="V2249" t="s">
        <v>501</v>
      </c>
      <c r="W2249">
        <v>-0.69</v>
      </c>
    </row>
    <row r="2250" spans="1:23">
      <c r="A2250" t="str">
        <f>"600800"</f>
        <v>600800</v>
      </c>
      <c r="B2250" t="s">
        <v>5619</v>
      </c>
      <c r="C2250">
        <v>6.24</v>
      </c>
      <c r="D2250">
        <v>6.3</v>
      </c>
      <c r="E2250">
        <v>6.16</v>
      </c>
      <c r="F2250">
        <v>6.24</v>
      </c>
      <c r="G2250">
        <v>171554</v>
      </c>
      <c r="H2250">
        <v>106421664</v>
      </c>
      <c r="I2250">
        <v>0.76</v>
      </c>
      <c r="J2250" t="s">
        <v>26</v>
      </c>
      <c r="K2250" t="s">
        <v>442</v>
      </c>
      <c r="L2250">
        <v>0.32</v>
      </c>
      <c r="M2250">
        <v>6.2</v>
      </c>
      <c r="N2250">
        <v>100520</v>
      </c>
      <c r="O2250">
        <v>71033</v>
      </c>
      <c r="P2250">
        <v>1.42</v>
      </c>
      <c r="Q2250">
        <v>10</v>
      </c>
      <c r="R2250">
        <v>2887</v>
      </c>
      <c r="S2250" t="s">
        <v>3</v>
      </c>
      <c r="T2250">
        <v>61031.1</v>
      </c>
      <c r="U2250" t="s">
        <v>5620</v>
      </c>
      <c r="V2250" t="s">
        <v>3958</v>
      </c>
      <c r="W2250">
        <v>0.32</v>
      </c>
    </row>
    <row r="2251" spans="1:23">
      <c r="A2251" t="str">
        <f>"600801"</f>
        <v>600801</v>
      </c>
      <c r="B2251" t="s">
        <v>5621</v>
      </c>
      <c r="C2251">
        <v>7.81</v>
      </c>
      <c r="D2251">
        <v>7.89</v>
      </c>
      <c r="E2251">
        <v>7.66</v>
      </c>
      <c r="F2251">
        <v>7.7</v>
      </c>
      <c r="G2251">
        <v>377202</v>
      </c>
      <c r="H2251">
        <v>292534400</v>
      </c>
      <c r="I2251">
        <v>2.62</v>
      </c>
      <c r="J2251" t="s">
        <v>258</v>
      </c>
      <c r="K2251" t="s">
        <v>317</v>
      </c>
      <c r="L2251">
        <v>1.18</v>
      </c>
      <c r="M2251">
        <v>7.76</v>
      </c>
      <c r="N2251">
        <v>205573</v>
      </c>
      <c r="O2251">
        <v>171628</v>
      </c>
      <c r="P2251">
        <v>1.2</v>
      </c>
      <c r="Q2251">
        <v>524</v>
      </c>
      <c r="R2251">
        <v>1291</v>
      </c>
      <c r="S2251" t="s">
        <v>3</v>
      </c>
      <c r="T2251">
        <v>88993.9</v>
      </c>
      <c r="U2251" t="s">
        <v>5622</v>
      </c>
      <c r="V2251" t="s">
        <v>5623</v>
      </c>
      <c r="W2251">
        <v>1.18</v>
      </c>
    </row>
    <row r="2252" spans="1:23">
      <c r="A2252" t="str">
        <f>"600802"</f>
        <v>600802</v>
      </c>
      <c r="B2252" t="s">
        <v>5624</v>
      </c>
      <c r="C2252">
        <v>7.13</v>
      </c>
      <c r="D2252">
        <v>7.14</v>
      </c>
      <c r="E2252">
        <v>7.05</v>
      </c>
      <c r="F2252">
        <v>7.12</v>
      </c>
      <c r="G2252">
        <v>106465</v>
      </c>
      <c r="H2252">
        <v>75488624</v>
      </c>
      <c r="I2252">
        <v>0.83</v>
      </c>
      <c r="J2252" t="s">
        <v>258</v>
      </c>
      <c r="K2252" t="s">
        <v>414</v>
      </c>
      <c r="L2252">
        <v>-0.28000000000000003</v>
      </c>
      <c r="M2252">
        <v>7.09</v>
      </c>
      <c r="N2252">
        <v>59817</v>
      </c>
      <c r="O2252">
        <v>46648</v>
      </c>
      <c r="P2252">
        <v>1.28</v>
      </c>
      <c r="Q2252">
        <v>155</v>
      </c>
      <c r="R2252">
        <v>367</v>
      </c>
      <c r="S2252" t="s">
        <v>3</v>
      </c>
      <c r="T2252">
        <v>38187.370000000003</v>
      </c>
      <c r="U2252" t="s">
        <v>3567</v>
      </c>
      <c r="V2252" t="s">
        <v>3567</v>
      </c>
      <c r="W2252">
        <v>-0.28000000000000003</v>
      </c>
    </row>
    <row r="2253" spans="1:23">
      <c r="A2253" t="str">
        <f>"600803"</f>
        <v>600803</v>
      </c>
      <c r="B2253" t="s">
        <v>5625</v>
      </c>
      <c r="C2253">
        <v>13.14</v>
      </c>
      <c r="D2253">
        <v>13.36</v>
      </c>
      <c r="E2253">
        <v>13.03</v>
      </c>
      <c r="F2253">
        <v>13.32</v>
      </c>
      <c r="G2253">
        <v>46794</v>
      </c>
      <c r="H2253">
        <v>61515052</v>
      </c>
      <c r="I2253">
        <v>1.08</v>
      </c>
      <c r="J2253" t="s">
        <v>224</v>
      </c>
      <c r="K2253" t="s">
        <v>238</v>
      </c>
      <c r="L2253">
        <v>1.1399999999999999</v>
      </c>
      <c r="M2253">
        <v>13.15</v>
      </c>
      <c r="N2253">
        <v>21214</v>
      </c>
      <c r="O2253">
        <v>25580</v>
      </c>
      <c r="P2253">
        <v>0.83</v>
      </c>
      <c r="Q2253">
        <v>83</v>
      </c>
      <c r="R2253">
        <v>215</v>
      </c>
      <c r="S2253" t="s">
        <v>3</v>
      </c>
      <c r="T2253">
        <v>35281.870000000003</v>
      </c>
      <c r="U2253" t="s">
        <v>5626</v>
      </c>
      <c r="V2253" t="s">
        <v>5627</v>
      </c>
      <c r="W2253">
        <v>1.1299999999999999</v>
      </c>
    </row>
    <row r="2254" spans="1:23">
      <c r="A2254" t="str">
        <f>"600804"</f>
        <v>600804</v>
      </c>
      <c r="B2254" t="s">
        <v>5628</v>
      </c>
      <c r="C2254">
        <v>15.74</v>
      </c>
      <c r="D2254">
        <v>15.77</v>
      </c>
      <c r="E2254">
        <v>15.46</v>
      </c>
      <c r="F2254">
        <v>15.55</v>
      </c>
      <c r="G2254">
        <v>408297</v>
      </c>
      <c r="H2254">
        <v>634694016</v>
      </c>
      <c r="I2254">
        <v>1.0900000000000001</v>
      </c>
      <c r="J2254" t="s">
        <v>1620</v>
      </c>
      <c r="K2254" t="s">
        <v>225</v>
      </c>
      <c r="L2254">
        <v>-0.89</v>
      </c>
      <c r="M2254">
        <v>15.54</v>
      </c>
      <c r="N2254">
        <v>223285</v>
      </c>
      <c r="O2254">
        <v>185011</v>
      </c>
      <c r="P2254">
        <v>1.21</v>
      </c>
      <c r="Q2254">
        <v>331</v>
      </c>
      <c r="R2254">
        <v>765</v>
      </c>
      <c r="S2254" t="s">
        <v>3</v>
      </c>
      <c r="T2254">
        <v>134194.16</v>
      </c>
      <c r="U2254" t="s">
        <v>5629</v>
      </c>
      <c r="V2254" t="s">
        <v>5630</v>
      </c>
      <c r="W2254">
        <v>-0.9</v>
      </c>
    </row>
    <row r="2255" spans="1:23">
      <c r="A2255" t="str">
        <f>"600805"</f>
        <v>600805</v>
      </c>
      <c r="B2255" t="s">
        <v>5631</v>
      </c>
      <c r="C2255">
        <v>10.44</v>
      </c>
      <c r="D2255">
        <v>10.54</v>
      </c>
      <c r="E2255">
        <v>10.37</v>
      </c>
      <c r="F2255">
        <v>10.4</v>
      </c>
      <c r="G2255">
        <v>396432</v>
      </c>
      <c r="H2255">
        <v>413735488</v>
      </c>
      <c r="I2255">
        <v>1.89</v>
      </c>
      <c r="J2255" t="s">
        <v>26</v>
      </c>
      <c r="K2255" t="s">
        <v>244</v>
      </c>
      <c r="L2255">
        <v>-0.19</v>
      </c>
      <c r="M2255">
        <v>10.44</v>
      </c>
      <c r="N2255">
        <v>209695</v>
      </c>
      <c r="O2255">
        <v>186737</v>
      </c>
      <c r="P2255">
        <v>1.1200000000000001</v>
      </c>
      <c r="Q2255">
        <v>1545</v>
      </c>
      <c r="R2255">
        <v>553</v>
      </c>
      <c r="S2255" t="s">
        <v>3</v>
      </c>
      <c r="T2255">
        <v>84920.21</v>
      </c>
      <c r="U2255" t="s">
        <v>5632</v>
      </c>
      <c r="V2255" t="s">
        <v>5633</v>
      </c>
      <c r="W2255">
        <v>-0.2</v>
      </c>
    </row>
    <row r="2256" spans="1:23">
      <c r="A2256" t="str">
        <f>"600806"</f>
        <v>600806</v>
      </c>
      <c r="B2256" t="s">
        <v>5634</v>
      </c>
      <c r="C2256">
        <v>5.35</v>
      </c>
      <c r="D2256">
        <v>5.35</v>
      </c>
      <c r="E2256">
        <v>5.2</v>
      </c>
      <c r="F2256">
        <v>5.32</v>
      </c>
      <c r="G2256">
        <v>104436</v>
      </c>
      <c r="H2256">
        <v>55246896</v>
      </c>
      <c r="I2256">
        <v>0.78</v>
      </c>
      <c r="J2256" t="s">
        <v>283</v>
      </c>
      <c r="K2256" t="s">
        <v>445</v>
      </c>
      <c r="L2256">
        <v>-0.19</v>
      </c>
      <c r="M2256">
        <v>5.29</v>
      </c>
      <c r="N2256">
        <v>56498</v>
      </c>
      <c r="O2256">
        <v>47937</v>
      </c>
      <c r="P2256">
        <v>1.18</v>
      </c>
      <c r="Q2256">
        <v>290</v>
      </c>
      <c r="R2256">
        <v>228</v>
      </c>
      <c r="S2256" t="s">
        <v>3</v>
      </c>
      <c r="T2256">
        <v>39018.620000000003</v>
      </c>
      <c r="U2256" t="s">
        <v>1536</v>
      </c>
      <c r="V2256" t="s">
        <v>1536</v>
      </c>
      <c r="W2256">
        <v>-0.19</v>
      </c>
    </row>
    <row r="2257" spans="1:23">
      <c r="A2257" t="str">
        <f>"600807"</f>
        <v>600807</v>
      </c>
      <c r="B2257" t="s">
        <v>5635</v>
      </c>
      <c r="C2257" t="s">
        <v>3</v>
      </c>
      <c r="D2257" t="s">
        <v>3</v>
      </c>
      <c r="E2257" t="s">
        <v>3</v>
      </c>
      <c r="F2257">
        <v>10.15</v>
      </c>
      <c r="G2257">
        <v>0</v>
      </c>
      <c r="H2257">
        <v>0</v>
      </c>
      <c r="I2257">
        <v>0</v>
      </c>
      <c r="J2257" t="s">
        <v>15</v>
      </c>
      <c r="K2257" t="s">
        <v>250</v>
      </c>
      <c r="L2257">
        <v>0</v>
      </c>
      <c r="M2257">
        <v>10.15</v>
      </c>
      <c r="N2257">
        <v>0</v>
      </c>
      <c r="O2257">
        <v>0</v>
      </c>
      <c r="P2257" t="s">
        <v>3</v>
      </c>
      <c r="Q2257">
        <v>0</v>
      </c>
      <c r="R2257">
        <v>0</v>
      </c>
      <c r="S2257" t="s">
        <v>3</v>
      </c>
      <c r="T2257">
        <v>30788.75</v>
      </c>
      <c r="U2257" t="s">
        <v>2327</v>
      </c>
      <c r="V2257" t="s">
        <v>5636</v>
      </c>
      <c r="W2257">
        <v>0</v>
      </c>
    </row>
    <row r="2258" spans="1:23">
      <c r="A2258" t="str">
        <f>"600808"</f>
        <v>600808</v>
      </c>
      <c r="B2258" t="s">
        <v>5637</v>
      </c>
      <c r="C2258">
        <v>1.79</v>
      </c>
      <c r="D2258">
        <v>1.82</v>
      </c>
      <c r="E2258">
        <v>1.78</v>
      </c>
      <c r="F2258">
        <v>1.81</v>
      </c>
      <c r="G2258">
        <v>400536</v>
      </c>
      <c r="H2258">
        <v>72214816</v>
      </c>
      <c r="I2258">
        <v>1.58</v>
      </c>
      <c r="J2258" t="s">
        <v>279</v>
      </c>
      <c r="K2258" t="s">
        <v>220</v>
      </c>
      <c r="L2258">
        <v>1.1200000000000001</v>
      </c>
      <c r="M2258">
        <v>1.8</v>
      </c>
      <c r="N2258">
        <v>160002</v>
      </c>
      <c r="O2258">
        <v>240533</v>
      </c>
      <c r="P2258">
        <v>0.67</v>
      </c>
      <c r="Q2258">
        <v>23171</v>
      </c>
      <c r="R2258">
        <v>23989</v>
      </c>
      <c r="S2258" t="s">
        <v>3</v>
      </c>
      <c r="T2258">
        <v>596775.13</v>
      </c>
      <c r="U2258" t="s">
        <v>5638</v>
      </c>
      <c r="V2258" t="s">
        <v>5638</v>
      </c>
      <c r="W2258">
        <v>1.1100000000000001</v>
      </c>
    </row>
    <row r="2259" spans="1:23">
      <c r="A2259" t="str">
        <f>"600809"</f>
        <v>600809</v>
      </c>
      <c r="B2259" t="s">
        <v>5639</v>
      </c>
      <c r="C2259">
        <v>17.09</v>
      </c>
      <c r="D2259">
        <v>17.100000000000001</v>
      </c>
      <c r="E2259">
        <v>16.7</v>
      </c>
      <c r="F2259">
        <v>16.88</v>
      </c>
      <c r="G2259">
        <v>67127</v>
      </c>
      <c r="H2259">
        <v>112970928</v>
      </c>
      <c r="I2259">
        <v>0.6</v>
      </c>
      <c r="J2259" t="s">
        <v>531</v>
      </c>
      <c r="K2259" t="s">
        <v>742</v>
      </c>
      <c r="L2259">
        <v>-1.23</v>
      </c>
      <c r="M2259">
        <v>16.829999999999998</v>
      </c>
      <c r="N2259">
        <v>38177</v>
      </c>
      <c r="O2259">
        <v>28949</v>
      </c>
      <c r="P2259">
        <v>1.32</v>
      </c>
      <c r="Q2259">
        <v>191</v>
      </c>
      <c r="R2259">
        <v>326</v>
      </c>
      <c r="S2259" t="s">
        <v>3</v>
      </c>
      <c r="T2259">
        <v>86584.82</v>
      </c>
      <c r="U2259" t="s">
        <v>5640</v>
      </c>
      <c r="V2259" t="s">
        <v>5640</v>
      </c>
      <c r="W2259">
        <v>-1.23</v>
      </c>
    </row>
    <row r="2260" spans="1:23">
      <c r="A2260" t="str">
        <f>"600810"</f>
        <v>600810</v>
      </c>
      <c r="B2260" t="s">
        <v>5641</v>
      </c>
      <c r="C2260">
        <v>6.48</v>
      </c>
      <c r="D2260">
        <v>6.78</v>
      </c>
      <c r="E2260">
        <v>6.4</v>
      </c>
      <c r="F2260">
        <v>6.71</v>
      </c>
      <c r="G2260">
        <v>103267</v>
      </c>
      <c r="H2260">
        <v>68554600</v>
      </c>
      <c r="I2260">
        <v>1.9</v>
      </c>
      <c r="J2260" t="s">
        <v>310</v>
      </c>
      <c r="K2260" t="s">
        <v>254</v>
      </c>
      <c r="L2260">
        <v>3.87</v>
      </c>
      <c r="M2260">
        <v>6.64</v>
      </c>
      <c r="N2260">
        <v>48250</v>
      </c>
      <c r="O2260">
        <v>55016</v>
      </c>
      <c r="P2260">
        <v>0.88</v>
      </c>
      <c r="Q2260">
        <v>237</v>
      </c>
      <c r="R2260">
        <v>490</v>
      </c>
      <c r="S2260" t="s">
        <v>3</v>
      </c>
      <c r="T2260">
        <v>44228</v>
      </c>
      <c r="U2260" t="s">
        <v>5642</v>
      </c>
      <c r="V2260" t="s">
        <v>5642</v>
      </c>
      <c r="W2260">
        <v>3.87</v>
      </c>
    </row>
    <row r="2261" spans="1:23">
      <c r="A2261" t="str">
        <f>"600811"</f>
        <v>600811</v>
      </c>
      <c r="B2261" t="s">
        <v>5643</v>
      </c>
      <c r="C2261">
        <v>6.06</v>
      </c>
      <c r="D2261">
        <v>6.08</v>
      </c>
      <c r="E2261">
        <v>6</v>
      </c>
      <c r="F2261">
        <v>6.03</v>
      </c>
      <c r="G2261">
        <v>225733</v>
      </c>
      <c r="H2261">
        <v>136301024</v>
      </c>
      <c r="I2261">
        <v>1.0900000000000001</v>
      </c>
      <c r="J2261" t="s">
        <v>26</v>
      </c>
      <c r="K2261" t="s">
        <v>565</v>
      </c>
      <c r="L2261">
        <v>-0.5</v>
      </c>
      <c r="M2261">
        <v>6.04</v>
      </c>
      <c r="N2261">
        <v>127411</v>
      </c>
      <c r="O2261">
        <v>98321</v>
      </c>
      <c r="P2261">
        <v>1.3</v>
      </c>
      <c r="Q2261">
        <v>1065</v>
      </c>
      <c r="R2261">
        <v>1494</v>
      </c>
      <c r="S2261" t="s">
        <v>3</v>
      </c>
      <c r="T2261">
        <v>166680.53</v>
      </c>
      <c r="U2261" t="s">
        <v>5644</v>
      </c>
      <c r="V2261" t="s">
        <v>5644</v>
      </c>
      <c r="W2261">
        <v>-0.5</v>
      </c>
    </row>
    <row r="2262" spans="1:23">
      <c r="A2262" t="str">
        <f>"600812"</f>
        <v>600812</v>
      </c>
      <c r="B2262" t="s">
        <v>5645</v>
      </c>
      <c r="C2262">
        <v>5.67</v>
      </c>
      <c r="D2262">
        <v>5.84</v>
      </c>
      <c r="E2262">
        <v>5.61</v>
      </c>
      <c r="F2262">
        <v>5.75</v>
      </c>
      <c r="G2262">
        <v>269239</v>
      </c>
      <c r="H2262">
        <v>154375264</v>
      </c>
      <c r="I2262">
        <v>1.26</v>
      </c>
      <c r="J2262" t="s">
        <v>219</v>
      </c>
      <c r="K2262" t="s">
        <v>238</v>
      </c>
      <c r="L2262">
        <v>2.31</v>
      </c>
      <c r="M2262">
        <v>5.73</v>
      </c>
      <c r="N2262">
        <v>129641</v>
      </c>
      <c r="O2262">
        <v>139597</v>
      </c>
      <c r="P2262">
        <v>0.93</v>
      </c>
      <c r="Q2262">
        <v>906</v>
      </c>
      <c r="R2262">
        <v>904</v>
      </c>
      <c r="S2262" t="s">
        <v>3</v>
      </c>
      <c r="T2262">
        <v>102857.75</v>
      </c>
      <c r="U2262" t="s">
        <v>921</v>
      </c>
      <c r="V2262" t="s">
        <v>5646</v>
      </c>
      <c r="W2262">
        <v>2.31</v>
      </c>
    </row>
    <row r="2263" spans="1:23">
      <c r="A2263" t="str">
        <f>"600814"</f>
        <v>600814</v>
      </c>
      <c r="B2263" t="s">
        <v>5647</v>
      </c>
      <c r="C2263">
        <v>7.69</v>
      </c>
      <c r="D2263">
        <v>7.75</v>
      </c>
      <c r="E2263">
        <v>7.61</v>
      </c>
      <c r="F2263">
        <v>7.7</v>
      </c>
      <c r="G2263">
        <v>43832</v>
      </c>
      <c r="H2263">
        <v>33571920</v>
      </c>
      <c r="I2263">
        <v>1.0900000000000001</v>
      </c>
      <c r="J2263" t="s">
        <v>297</v>
      </c>
      <c r="K2263" t="s">
        <v>229</v>
      </c>
      <c r="L2263">
        <v>0</v>
      </c>
      <c r="M2263">
        <v>7.66</v>
      </c>
      <c r="N2263">
        <v>22985</v>
      </c>
      <c r="O2263">
        <v>20847</v>
      </c>
      <c r="P2263">
        <v>1.1000000000000001</v>
      </c>
      <c r="Q2263">
        <v>276</v>
      </c>
      <c r="R2263">
        <v>1</v>
      </c>
      <c r="S2263" t="s">
        <v>3</v>
      </c>
      <c r="T2263">
        <v>31038.3</v>
      </c>
      <c r="U2263" t="s">
        <v>5648</v>
      </c>
      <c r="V2263" t="s">
        <v>5648</v>
      </c>
      <c r="W2263">
        <v>0</v>
      </c>
    </row>
    <row r="2264" spans="1:23">
      <c r="A2264" t="str">
        <f>"600815"</f>
        <v>600815</v>
      </c>
      <c r="B2264" t="s">
        <v>5649</v>
      </c>
      <c r="C2264">
        <v>5.01</v>
      </c>
      <c r="D2264">
        <v>5.4</v>
      </c>
      <c r="E2264">
        <v>5.01</v>
      </c>
      <c r="F2264">
        <v>5.3</v>
      </c>
      <c r="G2264">
        <v>270876</v>
      </c>
      <c r="H2264">
        <v>142902944</v>
      </c>
      <c r="I2264">
        <v>1.32</v>
      </c>
      <c r="J2264" t="s">
        <v>233</v>
      </c>
      <c r="K2264" t="s">
        <v>414</v>
      </c>
      <c r="L2264">
        <v>5.37</v>
      </c>
      <c r="M2264">
        <v>5.28</v>
      </c>
      <c r="N2264">
        <v>135633</v>
      </c>
      <c r="O2264">
        <v>135242</v>
      </c>
      <c r="P2264">
        <v>1</v>
      </c>
      <c r="Q2264">
        <v>453</v>
      </c>
      <c r="R2264">
        <v>439</v>
      </c>
      <c r="S2264" t="s">
        <v>3</v>
      </c>
      <c r="T2264">
        <v>93970.96</v>
      </c>
      <c r="U2264" t="s">
        <v>5650</v>
      </c>
      <c r="V2264" t="s">
        <v>5651</v>
      </c>
      <c r="W2264">
        <v>5.36</v>
      </c>
    </row>
    <row r="2265" spans="1:23">
      <c r="A2265" t="str">
        <f>"600816"</f>
        <v>600816</v>
      </c>
      <c r="B2265" t="s">
        <v>5652</v>
      </c>
      <c r="C2265">
        <v>18.7</v>
      </c>
      <c r="D2265">
        <v>18.86</v>
      </c>
      <c r="E2265">
        <v>18.39</v>
      </c>
      <c r="F2265">
        <v>18.45</v>
      </c>
      <c r="G2265">
        <v>67672</v>
      </c>
      <c r="H2265">
        <v>125593736</v>
      </c>
      <c r="I2265">
        <v>0.75</v>
      </c>
      <c r="J2265" t="s">
        <v>293</v>
      </c>
      <c r="K2265" t="s">
        <v>727</v>
      </c>
      <c r="L2265">
        <v>-1.07</v>
      </c>
      <c r="M2265">
        <v>18.559999999999999</v>
      </c>
      <c r="N2265">
        <v>38650</v>
      </c>
      <c r="O2265">
        <v>29022</v>
      </c>
      <c r="P2265">
        <v>1.33</v>
      </c>
      <c r="Q2265">
        <v>176</v>
      </c>
      <c r="R2265">
        <v>68</v>
      </c>
      <c r="S2265" t="s">
        <v>3</v>
      </c>
      <c r="T2265">
        <v>45384.98</v>
      </c>
      <c r="U2265" t="s">
        <v>5653</v>
      </c>
      <c r="V2265" t="s">
        <v>5654</v>
      </c>
      <c r="W2265">
        <v>-1.08</v>
      </c>
    </row>
    <row r="2266" spans="1:23">
      <c r="A2266" t="str">
        <f>"600817"</f>
        <v>600817</v>
      </c>
      <c r="B2266" t="s">
        <v>5655</v>
      </c>
      <c r="C2266">
        <v>12.52</v>
      </c>
      <c r="D2266">
        <v>12.83</v>
      </c>
      <c r="E2266">
        <v>12.4</v>
      </c>
      <c r="F2266">
        <v>12.78</v>
      </c>
      <c r="G2266">
        <v>19199</v>
      </c>
      <c r="H2266">
        <v>24284840</v>
      </c>
      <c r="I2266">
        <v>1.1399999999999999</v>
      </c>
      <c r="J2266" t="s">
        <v>1581</v>
      </c>
      <c r="K2266" t="s">
        <v>727</v>
      </c>
      <c r="L2266">
        <v>2.2400000000000002</v>
      </c>
      <c r="M2266">
        <v>12.65</v>
      </c>
      <c r="N2266">
        <v>9518</v>
      </c>
      <c r="O2266">
        <v>9681</v>
      </c>
      <c r="P2266">
        <v>0.98</v>
      </c>
      <c r="Q2266">
        <v>25</v>
      </c>
      <c r="R2266">
        <v>94</v>
      </c>
      <c r="S2266" t="s">
        <v>3</v>
      </c>
      <c r="T2266">
        <v>14791.49</v>
      </c>
      <c r="U2266" t="s">
        <v>4153</v>
      </c>
      <c r="V2266" t="s">
        <v>5656</v>
      </c>
      <c r="W2266">
        <v>2.2400000000000002</v>
      </c>
    </row>
    <row r="2267" spans="1:23">
      <c r="A2267" t="str">
        <f>"600818"</f>
        <v>600818</v>
      </c>
      <c r="B2267" t="s">
        <v>5657</v>
      </c>
      <c r="C2267">
        <v>18.12</v>
      </c>
      <c r="D2267">
        <v>18.38</v>
      </c>
      <c r="E2267">
        <v>17.850000000000001</v>
      </c>
      <c r="F2267">
        <v>17.989999999999998</v>
      </c>
      <c r="G2267">
        <v>44248</v>
      </c>
      <c r="H2267">
        <v>80111736</v>
      </c>
      <c r="I2267">
        <v>0.74</v>
      </c>
      <c r="J2267" t="s">
        <v>51</v>
      </c>
      <c r="K2267" t="s">
        <v>727</v>
      </c>
      <c r="L2267">
        <v>-0.72</v>
      </c>
      <c r="M2267">
        <v>18.11</v>
      </c>
      <c r="N2267">
        <v>27075</v>
      </c>
      <c r="O2267">
        <v>17173</v>
      </c>
      <c r="P2267">
        <v>1.58</v>
      </c>
      <c r="Q2267">
        <v>58</v>
      </c>
      <c r="R2267">
        <v>78</v>
      </c>
      <c r="S2267" t="s">
        <v>3</v>
      </c>
      <c r="T2267">
        <v>23795.78</v>
      </c>
      <c r="U2267" t="s">
        <v>5658</v>
      </c>
      <c r="V2267" t="s">
        <v>2636</v>
      </c>
      <c r="W2267">
        <v>-0.72</v>
      </c>
    </row>
    <row r="2268" spans="1:23">
      <c r="A2268" t="str">
        <f>"600819"</f>
        <v>600819</v>
      </c>
      <c r="B2268" t="s">
        <v>5659</v>
      </c>
      <c r="C2268" t="s">
        <v>3</v>
      </c>
      <c r="D2268" t="s">
        <v>3</v>
      </c>
      <c r="E2268" t="s">
        <v>3</v>
      </c>
      <c r="F2268">
        <v>9.24</v>
      </c>
      <c r="G2268">
        <v>0</v>
      </c>
      <c r="H2268">
        <v>0</v>
      </c>
      <c r="I2268">
        <v>0</v>
      </c>
      <c r="J2268" t="s">
        <v>41</v>
      </c>
      <c r="K2268" t="s">
        <v>727</v>
      </c>
      <c r="L2268">
        <v>0</v>
      </c>
      <c r="M2268">
        <v>9.24</v>
      </c>
      <c r="N2268">
        <v>0</v>
      </c>
      <c r="O2268">
        <v>0</v>
      </c>
      <c r="P2268" t="s">
        <v>3</v>
      </c>
      <c r="Q2268">
        <v>0</v>
      </c>
      <c r="R2268">
        <v>0</v>
      </c>
      <c r="S2268" t="s">
        <v>3</v>
      </c>
      <c r="T2268">
        <v>54375.01</v>
      </c>
      <c r="U2268" t="s">
        <v>5660</v>
      </c>
      <c r="V2268" t="s">
        <v>5661</v>
      </c>
      <c r="W2268">
        <v>0</v>
      </c>
    </row>
    <row r="2269" spans="1:23">
      <c r="A2269" t="str">
        <f>"600820"</f>
        <v>600820</v>
      </c>
      <c r="B2269" t="s">
        <v>5662</v>
      </c>
      <c r="C2269">
        <v>6.03</v>
      </c>
      <c r="D2269">
        <v>6.06</v>
      </c>
      <c r="E2269">
        <v>5.9</v>
      </c>
      <c r="F2269">
        <v>5.98</v>
      </c>
      <c r="G2269">
        <v>565479</v>
      </c>
      <c r="H2269">
        <v>337343104</v>
      </c>
      <c r="I2269">
        <v>0.48</v>
      </c>
      <c r="J2269" t="s">
        <v>33</v>
      </c>
      <c r="K2269" t="s">
        <v>727</v>
      </c>
      <c r="L2269">
        <v>-0.83</v>
      </c>
      <c r="M2269">
        <v>5.97</v>
      </c>
      <c r="N2269">
        <v>288498</v>
      </c>
      <c r="O2269">
        <v>276980</v>
      </c>
      <c r="P2269">
        <v>1.04</v>
      </c>
      <c r="Q2269">
        <v>4182</v>
      </c>
      <c r="R2269">
        <v>419</v>
      </c>
      <c r="S2269" t="s">
        <v>3</v>
      </c>
      <c r="T2269">
        <v>198011.7</v>
      </c>
      <c r="U2269" t="s">
        <v>5663</v>
      </c>
      <c r="V2269" t="s">
        <v>5664</v>
      </c>
      <c r="W2269">
        <v>-0.83</v>
      </c>
    </row>
    <row r="2270" spans="1:23">
      <c r="A2270" t="str">
        <f>"600821"</f>
        <v>600821</v>
      </c>
      <c r="B2270" t="s">
        <v>5665</v>
      </c>
      <c r="C2270">
        <v>5.38</v>
      </c>
      <c r="D2270">
        <v>5.47</v>
      </c>
      <c r="E2270">
        <v>5.35</v>
      </c>
      <c r="F2270">
        <v>5.46</v>
      </c>
      <c r="G2270">
        <v>91940</v>
      </c>
      <c r="H2270">
        <v>49809188</v>
      </c>
      <c r="I2270">
        <v>0.88</v>
      </c>
      <c r="J2270" t="s">
        <v>297</v>
      </c>
      <c r="K2270" t="s">
        <v>442</v>
      </c>
      <c r="L2270">
        <v>1.68</v>
      </c>
      <c r="M2270">
        <v>5.42</v>
      </c>
      <c r="N2270">
        <v>38788</v>
      </c>
      <c r="O2270">
        <v>53151</v>
      </c>
      <c r="P2270">
        <v>0.73</v>
      </c>
      <c r="Q2270">
        <v>481</v>
      </c>
      <c r="R2270">
        <v>338</v>
      </c>
      <c r="S2270" t="s">
        <v>3</v>
      </c>
      <c r="T2270">
        <v>41626.82</v>
      </c>
      <c r="U2270" t="s">
        <v>5666</v>
      </c>
      <c r="V2270" t="s">
        <v>5666</v>
      </c>
      <c r="W2270">
        <v>1.67</v>
      </c>
    </row>
    <row r="2271" spans="1:23">
      <c r="A2271" t="str">
        <f>"600822"</f>
        <v>600822</v>
      </c>
      <c r="B2271" t="s">
        <v>5667</v>
      </c>
      <c r="C2271">
        <v>11.18</v>
      </c>
      <c r="D2271">
        <v>11.7</v>
      </c>
      <c r="E2271">
        <v>11.15</v>
      </c>
      <c r="F2271">
        <v>11.64</v>
      </c>
      <c r="G2271">
        <v>166811</v>
      </c>
      <c r="H2271">
        <v>191365264</v>
      </c>
      <c r="I2271">
        <v>1.0900000000000001</v>
      </c>
      <c r="J2271" t="s">
        <v>173</v>
      </c>
      <c r="K2271" t="s">
        <v>727</v>
      </c>
      <c r="L2271">
        <v>2.56</v>
      </c>
      <c r="M2271">
        <v>11.47</v>
      </c>
      <c r="N2271">
        <v>79630</v>
      </c>
      <c r="O2271">
        <v>87181</v>
      </c>
      <c r="P2271">
        <v>0.91</v>
      </c>
      <c r="Q2271">
        <v>989</v>
      </c>
      <c r="R2271">
        <v>18</v>
      </c>
      <c r="S2271" t="s">
        <v>3</v>
      </c>
      <c r="T2271">
        <v>39614.78</v>
      </c>
      <c r="U2271" t="s">
        <v>5668</v>
      </c>
      <c r="V2271" t="s">
        <v>1218</v>
      </c>
      <c r="W2271">
        <v>2.5499999999999998</v>
      </c>
    </row>
    <row r="2272" spans="1:23">
      <c r="A2272" t="str">
        <f>"600823"</f>
        <v>600823</v>
      </c>
      <c r="B2272" t="s">
        <v>5669</v>
      </c>
      <c r="C2272">
        <v>9.98</v>
      </c>
      <c r="D2272">
        <v>10.039999999999999</v>
      </c>
      <c r="E2272">
        <v>9.89</v>
      </c>
      <c r="F2272">
        <v>9.9600000000000009</v>
      </c>
      <c r="G2272">
        <v>100692</v>
      </c>
      <c r="H2272">
        <v>100052160</v>
      </c>
      <c r="I2272">
        <v>1.21</v>
      </c>
      <c r="J2272" t="s">
        <v>7</v>
      </c>
      <c r="K2272" t="s">
        <v>727</v>
      </c>
      <c r="L2272">
        <v>-0.2</v>
      </c>
      <c r="M2272">
        <v>9.94</v>
      </c>
      <c r="N2272">
        <v>61509</v>
      </c>
      <c r="O2272">
        <v>39182</v>
      </c>
      <c r="P2272">
        <v>1.57</v>
      </c>
      <c r="Q2272">
        <v>800</v>
      </c>
      <c r="R2272">
        <v>0</v>
      </c>
      <c r="S2272" t="s">
        <v>3</v>
      </c>
      <c r="T2272">
        <v>117059.53</v>
      </c>
      <c r="U2272" t="s">
        <v>5670</v>
      </c>
      <c r="V2272" t="s">
        <v>5670</v>
      </c>
      <c r="W2272">
        <v>-0.2</v>
      </c>
    </row>
    <row r="2273" spans="1:23">
      <c r="A2273" t="str">
        <f>"600824"</f>
        <v>600824</v>
      </c>
      <c r="B2273" t="s">
        <v>5671</v>
      </c>
      <c r="C2273">
        <v>6.22</v>
      </c>
      <c r="D2273">
        <v>6.22</v>
      </c>
      <c r="E2273">
        <v>6.11</v>
      </c>
      <c r="F2273">
        <v>6.16</v>
      </c>
      <c r="G2273">
        <v>109904</v>
      </c>
      <c r="H2273">
        <v>67716896</v>
      </c>
      <c r="I2273">
        <v>1.02</v>
      </c>
      <c r="J2273" t="s">
        <v>297</v>
      </c>
      <c r="K2273" t="s">
        <v>727</v>
      </c>
      <c r="L2273">
        <v>-0.96</v>
      </c>
      <c r="M2273">
        <v>6.16</v>
      </c>
      <c r="N2273">
        <v>66507</v>
      </c>
      <c r="O2273">
        <v>43396</v>
      </c>
      <c r="P2273">
        <v>1.53</v>
      </c>
      <c r="Q2273">
        <v>1192</v>
      </c>
      <c r="R2273">
        <v>946</v>
      </c>
      <c r="S2273" t="s">
        <v>3</v>
      </c>
      <c r="T2273">
        <v>87835.59</v>
      </c>
      <c r="U2273" t="s">
        <v>5672</v>
      </c>
      <c r="V2273" t="s">
        <v>5672</v>
      </c>
      <c r="W2273">
        <v>-0.97</v>
      </c>
    </row>
    <row r="2274" spans="1:23">
      <c r="A2274" t="str">
        <f>"600825"</f>
        <v>600825</v>
      </c>
      <c r="B2274" t="s">
        <v>5673</v>
      </c>
      <c r="C2274">
        <v>11.16</v>
      </c>
      <c r="D2274">
        <v>11.46</v>
      </c>
      <c r="E2274">
        <v>10.95</v>
      </c>
      <c r="F2274">
        <v>11.45</v>
      </c>
      <c r="G2274">
        <v>393610</v>
      </c>
      <c r="H2274">
        <v>442867296</v>
      </c>
      <c r="I2274">
        <v>0.66</v>
      </c>
      <c r="J2274" t="s">
        <v>360</v>
      </c>
      <c r="K2274" t="s">
        <v>727</v>
      </c>
      <c r="L2274">
        <v>2.3199999999999998</v>
      </c>
      <c r="M2274">
        <v>11.25</v>
      </c>
      <c r="N2274">
        <v>195010</v>
      </c>
      <c r="O2274">
        <v>198599</v>
      </c>
      <c r="P2274">
        <v>0.98</v>
      </c>
      <c r="Q2274">
        <v>120</v>
      </c>
      <c r="R2274">
        <v>641</v>
      </c>
      <c r="S2274" t="s">
        <v>3</v>
      </c>
      <c r="T2274">
        <v>104488.78</v>
      </c>
      <c r="U2274" t="s">
        <v>1200</v>
      </c>
      <c r="V2274" t="s">
        <v>1200</v>
      </c>
      <c r="W2274">
        <v>2.3199999999999998</v>
      </c>
    </row>
    <row r="2275" spans="1:23">
      <c r="A2275" t="str">
        <f>"600826"</f>
        <v>600826</v>
      </c>
      <c r="B2275" t="s">
        <v>5674</v>
      </c>
      <c r="C2275">
        <v>18.920000000000002</v>
      </c>
      <c r="D2275">
        <v>18.98</v>
      </c>
      <c r="E2275">
        <v>18.329999999999998</v>
      </c>
      <c r="F2275">
        <v>18.79</v>
      </c>
      <c r="G2275">
        <v>34609</v>
      </c>
      <c r="H2275">
        <v>64983404</v>
      </c>
      <c r="I2275">
        <v>0.9</v>
      </c>
      <c r="J2275" t="s">
        <v>173</v>
      </c>
      <c r="K2275" t="s">
        <v>727</v>
      </c>
      <c r="L2275">
        <v>-0.11</v>
      </c>
      <c r="M2275">
        <v>18.78</v>
      </c>
      <c r="N2275">
        <v>19456</v>
      </c>
      <c r="O2275">
        <v>15153</v>
      </c>
      <c r="P2275">
        <v>1.28</v>
      </c>
      <c r="Q2275">
        <v>30</v>
      </c>
      <c r="R2275">
        <v>172</v>
      </c>
      <c r="S2275" t="s">
        <v>3</v>
      </c>
      <c r="T2275">
        <v>42064.23</v>
      </c>
      <c r="U2275" t="s">
        <v>2812</v>
      </c>
      <c r="V2275" t="s">
        <v>2812</v>
      </c>
      <c r="W2275">
        <v>-0.11</v>
      </c>
    </row>
    <row r="2276" spans="1:23">
      <c r="A2276" t="str">
        <f>"600827"</f>
        <v>600827</v>
      </c>
      <c r="B2276" t="s">
        <v>5675</v>
      </c>
      <c r="C2276" t="s">
        <v>3</v>
      </c>
      <c r="D2276" t="s">
        <v>3</v>
      </c>
      <c r="E2276" t="s">
        <v>3</v>
      </c>
      <c r="F2276">
        <v>12.56</v>
      </c>
      <c r="G2276">
        <v>0</v>
      </c>
      <c r="H2276">
        <v>0</v>
      </c>
      <c r="I2276">
        <v>0</v>
      </c>
      <c r="J2276" t="s">
        <v>920</v>
      </c>
      <c r="K2276" t="s">
        <v>727</v>
      </c>
      <c r="L2276">
        <v>0</v>
      </c>
      <c r="M2276">
        <v>12.56</v>
      </c>
      <c r="N2276">
        <v>0</v>
      </c>
      <c r="O2276">
        <v>0</v>
      </c>
      <c r="P2276" t="s">
        <v>3</v>
      </c>
      <c r="Q2276">
        <v>0</v>
      </c>
      <c r="R2276">
        <v>0</v>
      </c>
      <c r="S2276" t="s">
        <v>3</v>
      </c>
      <c r="T2276">
        <v>154277.75</v>
      </c>
      <c r="U2276" t="s">
        <v>5676</v>
      </c>
      <c r="V2276" t="s">
        <v>5677</v>
      </c>
      <c r="W2276">
        <v>0</v>
      </c>
    </row>
    <row r="2277" spans="1:23">
      <c r="A2277" t="str">
        <f>"600828"</f>
        <v>600828</v>
      </c>
      <c r="B2277" t="s">
        <v>5678</v>
      </c>
      <c r="C2277">
        <v>5.44</v>
      </c>
      <c r="D2277">
        <v>5.46</v>
      </c>
      <c r="E2277">
        <v>5.38</v>
      </c>
      <c r="F2277">
        <v>5.46</v>
      </c>
      <c r="G2277">
        <v>86132</v>
      </c>
      <c r="H2277">
        <v>46738372</v>
      </c>
      <c r="I2277">
        <v>1.19</v>
      </c>
      <c r="J2277" t="s">
        <v>297</v>
      </c>
      <c r="K2277" t="s">
        <v>225</v>
      </c>
      <c r="L2277">
        <v>0.55000000000000004</v>
      </c>
      <c r="M2277">
        <v>5.43</v>
      </c>
      <c r="N2277">
        <v>33810</v>
      </c>
      <c r="O2277">
        <v>52321</v>
      </c>
      <c r="P2277">
        <v>0.65</v>
      </c>
      <c r="Q2277">
        <v>242</v>
      </c>
      <c r="R2277">
        <v>562</v>
      </c>
      <c r="S2277" t="s">
        <v>3</v>
      </c>
      <c r="T2277">
        <v>56981.73</v>
      </c>
      <c r="U2277" t="s">
        <v>5679</v>
      </c>
      <c r="V2277" t="s">
        <v>5680</v>
      </c>
      <c r="W2277">
        <v>0.55000000000000004</v>
      </c>
    </row>
    <row r="2278" spans="1:23">
      <c r="A2278" t="str">
        <f>"600829"</f>
        <v>600829</v>
      </c>
      <c r="B2278" t="s">
        <v>5681</v>
      </c>
      <c r="C2278">
        <v>8.5399999999999991</v>
      </c>
      <c r="D2278">
        <v>9.1999999999999993</v>
      </c>
      <c r="E2278">
        <v>8.49</v>
      </c>
      <c r="F2278">
        <v>9.1</v>
      </c>
      <c r="G2278">
        <v>82504</v>
      </c>
      <c r="H2278">
        <v>74007848</v>
      </c>
      <c r="I2278">
        <v>1.61</v>
      </c>
      <c r="J2278" t="s">
        <v>219</v>
      </c>
      <c r="K2278" t="s">
        <v>565</v>
      </c>
      <c r="L2278">
        <v>6.68</v>
      </c>
      <c r="M2278">
        <v>8.9700000000000006</v>
      </c>
      <c r="N2278">
        <v>34048</v>
      </c>
      <c r="O2278">
        <v>48455</v>
      </c>
      <c r="P2278">
        <v>0.7</v>
      </c>
      <c r="Q2278">
        <v>198</v>
      </c>
      <c r="R2278">
        <v>369</v>
      </c>
      <c r="S2278" t="s">
        <v>3</v>
      </c>
      <c r="T2278">
        <v>57988.85</v>
      </c>
      <c r="U2278" t="s">
        <v>5682</v>
      </c>
      <c r="V2278" t="s">
        <v>5682</v>
      </c>
      <c r="W2278">
        <v>6.68</v>
      </c>
    </row>
    <row r="2279" spans="1:23">
      <c r="A2279" t="str">
        <f>"600830"</f>
        <v>600830</v>
      </c>
      <c r="B2279" t="s">
        <v>5683</v>
      </c>
      <c r="C2279">
        <v>8.8800000000000008</v>
      </c>
      <c r="D2279">
        <v>9.31</v>
      </c>
      <c r="E2279">
        <v>8.81</v>
      </c>
      <c r="F2279">
        <v>9.18</v>
      </c>
      <c r="G2279">
        <v>295792</v>
      </c>
      <c r="H2279">
        <v>268858912</v>
      </c>
      <c r="I2279">
        <v>2.61</v>
      </c>
      <c r="J2279" t="s">
        <v>293</v>
      </c>
      <c r="K2279" t="s">
        <v>229</v>
      </c>
      <c r="L2279">
        <v>3.38</v>
      </c>
      <c r="M2279">
        <v>9.09</v>
      </c>
      <c r="N2279">
        <v>135653</v>
      </c>
      <c r="O2279">
        <v>160138</v>
      </c>
      <c r="P2279">
        <v>0.85</v>
      </c>
      <c r="Q2279">
        <v>21</v>
      </c>
      <c r="R2279">
        <v>725</v>
      </c>
      <c r="S2279" t="s">
        <v>3</v>
      </c>
      <c r="T2279">
        <v>45432.26</v>
      </c>
      <c r="U2279" t="s">
        <v>407</v>
      </c>
      <c r="V2279" t="s">
        <v>407</v>
      </c>
      <c r="W2279">
        <v>3.37</v>
      </c>
    </row>
    <row r="2280" spans="1:23">
      <c r="A2280" t="str">
        <f>"600831"</f>
        <v>600831</v>
      </c>
      <c r="B2280" t="s">
        <v>5684</v>
      </c>
      <c r="C2280">
        <v>8.92</v>
      </c>
      <c r="D2280">
        <v>9.1199999999999992</v>
      </c>
      <c r="E2280">
        <v>8.69</v>
      </c>
      <c r="F2280">
        <v>9.09</v>
      </c>
      <c r="G2280">
        <v>218631</v>
      </c>
      <c r="H2280">
        <v>195887488</v>
      </c>
      <c r="I2280">
        <v>1.31</v>
      </c>
      <c r="J2280" t="s">
        <v>228</v>
      </c>
      <c r="K2280" t="s">
        <v>389</v>
      </c>
      <c r="L2280">
        <v>1.91</v>
      </c>
      <c r="M2280">
        <v>8.9600000000000009</v>
      </c>
      <c r="N2280">
        <v>87794</v>
      </c>
      <c r="O2280">
        <v>130837</v>
      </c>
      <c r="P2280">
        <v>0.67</v>
      </c>
      <c r="Q2280">
        <v>70</v>
      </c>
      <c r="R2280">
        <v>3450</v>
      </c>
      <c r="S2280" t="s">
        <v>3</v>
      </c>
      <c r="T2280">
        <v>56343.85</v>
      </c>
      <c r="U2280" t="s">
        <v>5685</v>
      </c>
      <c r="V2280" t="s">
        <v>5685</v>
      </c>
      <c r="W2280">
        <v>1.9</v>
      </c>
    </row>
    <row r="2281" spans="1:23">
      <c r="A2281" t="str">
        <f>"600832"</f>
        <v>600832</v>
      </c>
      <c r="B2281" t="s">
        <v>5686</v>
      </c>
      <c r="C2281" t="s">
        <v>3</v>
      </c>
      <c r="D2281" t="s">
        <v>3</v>
      </c>
      <c r="E2281" t="s">
        <v>3</v>
      </c>
      <c r="F2281">
        <v>10.92</v>
      </c>
      <c r="G2281">
        <v>0</v>
      </c>
      <c r="H2281">
        <v>0</v>
      </c>
      <c r="I2281">
        <v>0</v>
      </c>
      <c r="J2281" t="s">
        <v>26</v>
      </c>
      <c r="K2281" t="s">
        <v>727</v>
      </c>
      <c r="L2281">
        <v>0</v>
      </c>
      <c r="M2281">
        <v>10.92</v>
      </c>
      <c r="N2281">
        <v>0</v>
      </c>
      <c r="O2281">
        <v>0</v>
      </c>
      <c r="P2281" t="s">
        <v>3</v>
      </c>
      <c r="Q2281">
        <v>0</v>
      </c>
      <c r="R2281">
        <v>0</v>
      </c>
      <c r="S2281" t="s">
        <v>3</v>
      </c>
      <c r="T2281">
        <v>318633.5</v>
      </c>
      <c r="U2281" t="s">
        <v>5687</v>
      </c>
      <c r="V2281" t="s">
        <v>5687</v>
      </c>
      <c r="W2281">
        <v>0</v>
      </c>
    </row>
    <row r="2282" spans="1:23">
      <c r="A2282" t="str">
        <f>"600833"</f>
        <v>600833</v>
      </c>
      <c r="B2282" t="s">
        <v>5688</v>
      </c>
      <c r="C2282">
        <v>12.85</v>
      </c>
      <c r="D2282">
        <v>13.78</v>
      </c>
      <c r="E2282">
        <v>12.85</v>
      </c>
      <c r="F2282">
        <v>13.23</v>
      </c>
      <c r="G2282">
        <v>102403</v>
      </c>
      <c r="H2282">
        <v>136133600</v>
      </c>
      <c r="I2282">
        <v>1.73</v>
      </c>
      <c r="J2282" t="s">
        <v>91</v>
      </c>
      <c r="K2282" t="s">
        <v>727</v>
      </c>
      <c r="L2282">
        <v>4.83</v>
      </c>
      <c r="M2282">
        <v>13.29</v>
      </c>
      <c r="N2282">
        <v>51397</v>
      </c>
      <c r="O2282">
        <v>51006</v>
      </c>
      <c r="P2282">
        <v>1.01</v>
      </c>
      <c r="Q2282">
        <v>3</v>
      </c>
      <c r="R2282">
        <v>216</v>
      </c>
      <c r="S2282" t="s">
        <v>3</v>
      </c>
      <c r="T2282">
        <v>22308.63</v>
      </c>
      <c r="U2282" t="s">
        <v>5239</v>
      </c>
      <c r="V2282" t="s">
        <v>5239</v>
      </c>
      <c r="W2282">
        <v>4.83</v>
      </c>
    </row>
    <row r="2283" spans="1:23">
      <c r="A2283" t="str">
        <f>"600834"</f>
        <v>600834</v>
      </c>
      <c r="B2283" t="s">
        <v>5689</v>
      </c>
      <c r="C2283">
        <v>8.3800000000000008</v>
      </c>
      <c r="D2283">
        <v>8.41</v>
      </c>
      <c r="E2283">
        <v>8.3000000000000007</v>
      </c>
      <c r="F2283">
        <v>8.33</v>
      </c>
      <c r="G2283">
        <v>44459</v>
      </c>
      <c r="H2283">
        <v>37006080</v>
      </c>
      <c r="I2283">
        <v>1.0900000000000001</v>
      </c>
      <c r="J2283" t="s">
        <v>314</v>
      </c>
      <c r="K2283" t="s">
        <v>727</v>
      </c>
      <c r="L2283">
        <v>-0.83</v>
      </c>
      <c r="M2283">
        <v>8.32</v>
      </c>
      <c r="N2283">
        <v>26458</v>
      </c>
      <c r="O2283">
        <v>18000</v>
      </c>
      <c r="P2283">
        <v>1.47</v>
      </c>
      <c r="Q2283">
        <v>276</v>
      </c>
      <c r="R2283">
        <v>146</v>
      </c>
      <c r="S2283" t="s">
        <v>3</v>
      </c>
      <c r="T2283">
        <v>47738.19</v>
      </c>
      <c r="U2283" t="s">
        <v>142</v>
      </c>
      <c r="V2283" t="s">
        <v>142</v>
      </c>
      <c r="W2283">
        <v>-0.84</v>
      </c>
    </row>
    <row r="2284" spans="1:23">
      <c r="A2284" t="str">
        <f>"600835"</f>
        <v>600835</v>
      </c>
      <c r="B2284" t="s">
        <v>5690</v>
      </c>
      <c r="C2284">
        <v>19.54</v>
      </c>
      <c r="D2284">
        <v>19.88</v>
      </c>
      <c r="E2284">
        <v>19.3</v>
      </c>
      <c r="F2284">
        <v>19.72</v>
      </c>
      <c r="G2284">
        <v>126601</v>
      </c>
      <c r="H2284">
        <v>247653024</v>
      </c>
      <c r="I2284">
        <v>0.97</v>
      </c>
      <c r="J2284" t="s">
        <v>1208</v>
      </c>
      <c r="K2284" t="s">
        <v>727</v>
      </c>
      <c r="L2284">
        <v>1.08</v>
      </c>
      <c r="M2284">
        <v>19.559999999999999</v>
      </c>
      <c r="N2284">
        <v>55253</v>
      </c>
      <c r="O2284">
        <v>71347</v>
      </c>
      <c r="P2284">
        <v>0.77</v>
      </c>
      <c r="Q2284">
        <v>28</v>
      </c>
      <c r="R2284">
        <v>721</v>
      </c>
      <c r="S2284" t="s">
        <v>3</v>
      </c>
      <c r="T2284">
        <v>80650.42</v>
      </c>
      <c r="U2284" t="s">
        <v>5691</v>
      </c>
      <c r="V2284" t="s">
        <v>5692</v>
      </c>
      <c r="W2284">
        <v>1.07</v>
      </c>
    </row>
    <row r="2285" spans="1:23">
      <c r="A2285" t="str">
        <f>"600836"</f>
        <v>600836</v>
      </c>
      <c r="B2285" t="s">
        <v>5693</v>
      </c>
      <c r="C2285">
        <v>10.62</v>
      </c>
      <c r="D2285">
        <v>10.96</v>
      </c>
      <c r="E2285">
        <v>10.51</v>
      </c>
      <c r="F2285">
        <v>10.79</v>
      </c>
      <c r="G2285">
        <v>72613</v>
      </c>
      <c r="H2285">
        <v>78303320</v>
      </c>
      <c r="I2285">
        <v>1.1200000000000001</v>
      </c>
      <c r="J2285" t="s">
        <v>707</v>
      </c>
      <c r="K2285" t="s">
        <v>727</v>
      </c>
      <c r="L2285">
        <v>1.89</v>
      </c>
      <c r="M2285">
        <v>10.78</v>
      </c>
      <c r="N2285">
        <v>34153</v>
      </c>
      <c r="O2285">
        <v>38460</v>
      </c>
      <c r="P2285">
        <v>0.89</v>
      </c>
      <c r="Q2285">
        <v>435</v>
      </c>
      <c r="R2285">
        <v>542</v>
      </c>
      <c r="S2285" t="s">
        <v>3</v>
      </c>
      <c r="T2285">
        <v>31356.33</v>
      </c>
      <c r="U2285" t="s">
        <v>4402</v>
      </c>
      <c r="V2285" t="s">
        <v>4402</v>
      </c>
      <c r="W2285">
        <v>1.88</v>
      </c>
    </row>
    <row r="2286" spans="1:23">
      <c r="A2286" t="str">
        <f>"600837"</f>
        <v>600837</v>
      </c>
      <c r="B2286" t="s">
        <v>5694</v>
      </c>
      <c r="C2286">
        <v>10.39</v>
      </c>
      <c r="D2286">
        <v>10.42</v>
      </c>
      <c r="E2286">
        <v>10.24</v>
      </c>
      <c r="F2286">
        <v>10.29</v>
      </c>
      <c r="G2286">
        <v>745499</v>
      </c>
      <c r="H2286">
        <v>768301056</v>
      </c>
      <c r="I2286">
        <v>0.77</v>
      </c>
      <c r="J2286" t="s">
        <v>512</v>
      </c>
      <c r="K2286" t="s">
        <v>727</v>
      </c>
      <c r="L2286">
        <v>-0.77</v>
      </c>
      <c r="M2286">
        <v>10.31</v>
      </c>
      <c r="N2286">
        <v>383541</v>
      </c>
      <c r="O2286">
        <v>361957</v>
      </c>
      <c r="P2286">
        <v>1.06</v>
      </c>
      <c r="Q2286">
        <v>130</v>
      </c>
      <c r="R2286">
        <v>8389</v>
      </c>
      <c r="S2286" t="s">
        <v>3</v>
      </c>
      <c r="T2286">
        <v>809213.13</v>
      </c>
      <c r="U2286" t="s">
        <v>5695</v>
      </c>
      <c r="V2286" t="s">
        <v>5695</v>
      </c>
      <c r="W2286">
        <v>-0.78</v>
      </c>
    </row>
    <row r="2287" spans="1:23">
      <c r="A2287" t="str">
        <f>"600838"</f>
        <v>600838</v>
      </c>
      <c r="B2287" t="s">
        <v>5696</v>
      </c>
      <c r="C2287">
        <v>8.67</v>
      </c>
      <c r="D2287">
        <v>8.7200000000000006</v>
      </c>
      <c r="E2287">
        <v>8.57</v>
      </c>
      <c r="F2287">
        <v>8.69</v>
      </c>
      <c r="G2287">
        <v>224231</v>
      </c>
      <c r="H2287">
        <v>194062688</v>
      </c>
      <c r="I2287">
        <v>1.49</v>
      </c>
      <c r="J2287" t="s">
        <v>297</v>
      </c>
      <c r="K2287" t="s">
        <v>727</v>
      </c>
      <c r="L2287">
        <v>-0.11</v>
      </c>
      <c r="M2287">
        <v>8.65</v>
      </c>
      <c r="N2287">
        <v>89187</v>
      </c>
      <c r="O2287">
        <v>135043</v>
      </c>
      <c r="P2287">
        <v>0.66</v>
      </c>
      <c r="Q2287">
        <v>50</v>
      </c>
      <c r="R2287">
        <v>1363</v>
      </c>
      <c r="S2287" t="s">
        <v>3</v>
      </c>
      <c r="T2287">
        <v>40088.19</v>
      </c>
      <c r="U2287" t="s">
        <v>5697</v>
      </c>
      <c r="V2287" t="s">
        <v>5697</v>
      </c>
      <c r="W2287">
        <v>-0.12</v>
      </c>
    </row>
    <row r="2288" spans="1:23">
      <c r="A2288" t="str">
        <f>"600839"</f>
        <v>600839</v>
      </c>
      <c r="B2288" t="s">
        <v>5698</v>
      </c>
      <c r="C2288">
        <v>3.89</v>
      </c>
      <c r="D2288">
        <v>4.28</v>
      </c>
      <c r="E2288">
        <v>3.89</v>
      </c>
      <c r="F2288">
        <v>4.28</v>
      </c>
      <c r="G2288">
        <v>3498035</v>
      </c>
      <c r="H2288">
        <v>1455421184</v>
      </c>
      <c r="I2288">
        <v>2.87</v>
      </c>
      <c r="J2288" t="s">
        <v>47</v>
      </c>
      <c r="K2288" t="s">
        <v>225</v>
      </c>
      <c r="L2288">
        <v>10.029999999999999</v>
      </c>
      <c r="M2288">
        <v>4.16</v>
      </c>
      <c r="N2288">
        <v>1586068</v>
      </c>
      <c r="O2288">
        <v>1911967</v>
      </c>
      <c r="P2288">
        <v>0.83</v>
      </c>
      <c r="Q2288">
        <v>105811</v>
      </c>
      <c r="R2288">
        <v>0</v>
      </c>
      <c r="S2288" t="s">
        <v>3</v>
      </c>
      <c r="T2288">
        <v>460999.78</v>
      </c>
      <c r="U2288" t="s">
        <v>5699</v>
      </c>
      <c r="V2288" t="s">
        <v>5700</v>
      </c>
      <c r="W2288">
        <v>10.02</v>
      </c>
    </row>
    <row r="2289" spans="1:23">
      <c r="A2289" t="str">
        <f>"600841"</f>
        <v>600841</v>
      </c>
      <c r="B2289" t="s">
        <v>5701</v>
      </c>
      <c r="C2289">
        <v>10.81</v>
      </c>
      <c r="D2289">
        <v>10.98</v>
      </c>
      <c r="E2289">
        <v>10.72</v>
      </c>
      <c r="F2289">
        <v>10.92</v>
      </c>
      <c r="G2289">
        <v>35495</v>
      </c>
      <c r="H2289">
        <v>38428664</v>
      </c>
      <c r="I2289">
        <v>0.75</v>
      </c>
      <c r="J2289" t="s">
        <v>398</v>
      </c>
      <c r="K2289" t="s">
        <v>727</v>
      </c>
      <c r="L2289">
        <v>0.18</v>
      </c>
      <c r="M2289">
        <v>10.83</v>
      </c>
      <c r="N2289">
        <v>19527</v>
      </c>
      <c r="O2289">
        <v>15968</v>
      </c>
      <c r="P2289">
        <v>1.22</v>
      </c>
      <c r="Q2289">
        <v>37</v>
      </c>
      <c r="R2289">
        <v>284</v>
      </c>
      <c r="S2289" t="s">
        <v>3</v>
      </c>
      <c r="T2289">
        <v>49217.48</v>
      </c>
      <c r="U2289" t="s">
        <v>725</v>
      </c>
      <c r="V2289" t="s">
        <v>5702</v>
      </c>
      <c r="W2289">
        <v>0.18</v>
      </c>
    </row>
    <row r="2290" spans="1:23">
      <c r="A2290" t="str">
        <f>"600843"</f>
        <v>600843</v>
      </c>
      <c r="B2290" t="s">
        <v>5703</v>
      </c>
      <c r="C2290">
        <v>11.88</v>
      </c>
      <c r="D2290">
        <v>11.88</v>
      </c>
      <c r="E2290">
        <v>11.67</v>
      </c>
      <c r="F2290">
        <v>11.7</v>
      </c>
      <c r="G2290">
        <v>29444</v>
      </c>
      <c r="H2290">
        <v>34520808</v>
      </c>
      <c r="I2290">
        <v>1.05</v>
      </c>
      <c r="J2290" t="s">
        <v>721</v>
      </c>
      <c r="K2290" t="s">
        <v>727</v>
      </c>
      <c r="L2290">
        <v>-0.85</v>
      </c>
      <c r="M2290">
        <v>11.72</v>
      </c>
      <c r="N2290">
        <v>17572</v>
      </c>
      <c r="O2290">
        <v>11872</v>
      </c>
      <c r="P2290">
        <v>1.48</v>
      </c>
      <c r="Q2290">
        <v>12</v>
      </c>
      <c r="R2290">
        <v>30</v>
      </c>
      <c r="S2290" t="s">
        <v>3</v>
      </c>
      <c r="T2290">
        <v>20494.3</v>
      </c>
      <c r="U2290" t="s">
        <v>2321</v>
      </c>
      <c r="V2290" t="s">
        <v>5704</v>
      </c>
      <c r="W2290">
        <v>-0.85</v>
      </c>
    </row>
    <row r="2291" spans="1:23">
      <c r="A2291" t="str">
        <f>"600844"</f>
        <v>600844</v>
      </c>
      <c r="B2291" t="s">
        <v>5705</v>
      </c>
      <c r="C2291">
        <v>6.69</v>
      </c>
      <c r="D2291">
        <v>6.82</v>
      </c>
      <c r="E2291">
        <v>6.67</v>
      </c>
      <c r="F2291">
        <v>6.81</v>
      </c>
      <c r="G2291">
        <v>70317</v>
      </c>
      <c r="H2291">
        <v>47457852</v>
      </c>
      <c r="I2291">
        <v>0.97</v>
      </c>
      <c r="J2291" t="s">
        <v>376</v>
      </c>
      <c r="K2291" t="s">
        <v>727</v>
      </c>
      <c r="L2291">
        <v>1.34</v>
      </c>
      <c r="M2291">
        <v>6.75</v>
      </c>
      <c r="N2291">
        <v>32381</v>
      </c>
      <c r="O2291">
        <v>37936</v>
      </c>
      <c r="P2291">
        <v>0.85</v>
      </c>
      <c r="Q2291">
        <v>462</v>
      </c>
      <c r="R2291">
        <v>518</v>
      </c>
      <c r="S2291" t="s">
        <v>3</v>
      </c>
      <c r="T2291">
        <v>58482.69</v>
      </c>
      <c r="U2291" t="s">
        <v>1383</v>
      </c>
      <c r="V2291" t="s">
        <v>1025</v>
      </c>
      <c r="W2291">
        <v>1.33</v>
      </c>
    </row>
    <row r="2292" spans="1:23">
      <c r="A2292" t="str">
        <f>"600845"</f>
        <v>600845</v>
      </c>
      <c r="B2292" t="s">
        <v>5706</v>
      </c>
      <c r="C2292" t="s">
        <v>3</v>
      </c>
      <c r="D2292" t="s">
        <v>3</v>
      </c>
      <c r="E2292" t="s">
        <v>3</v>
      </c>
      <c r="F2292">
        <v>30.49</v>
      </c>
      <c r="G2292">
        <v>0</v>
      </c>
      <c r="H2292">
        <v>0</v>
      </c>
      <c r="I2292">
        <v>0</v>
      </c>
      <c r="J2292" t="s">
        <v>758</v>
      </c>
      <c r="K2292" t="s">
        <v>727</v>
      </c>
      <c r="L2292">
        <v>0</v>
      </c>
      <c r="M2292">
        <v>30.49</v>
      </c>
      <c r="N2292">
        <v>0</v>
      </c>
      <c r="O2292">
        <v>0</v>
      </c>
      <c r="P2292" t="s">
        <v>3</v>
      </c>
      <c r="Q2292">
        <v>0</v>
      </c>
      <c r="R2292">
        <v>0</v>
      </c>
      <c r="S2292" t="s">
        <v>3</v>
      </c>
      <c r="T2292">
        <v>22651.73</v>
      </c>
      <c r="U2292" t="s">
        <v>1544</v>
      </c>
      <c r="V2292" t="s">
        <v>5707</v>
      </c>
      <c r="W2292">
        <v>0</v>
      </c>
    </row>
    <row r="2293" spans="1:23">
      <c r="A2293" t="str">
        <f>"600846"</f>
        <v>600846</v>
      </c>
      <c r="B2293" t="s">
        <v>5708</v>
      </c>
      <c r="C2293">
        <v>9.15</v>
      </c>
      <c r="D2293">
        <v>9.17</v>
      </c>
      <c r="E2293">
        <v>9.0299999999999994</v>
      </c>
      <c r="F2293">
        <v>9.0500000000000007</v>
      </c>
      <c r="G2293">
        <v>201725</v>
      </c>
      <c r="H2293">
        <v>182811040</v>
      </c>
      <c r="I2293">
        <v>0.86</v>
      </c>
      <c r="J2293" t="s">
        <v>26</v>
      </c>
      <c r="K2293" t="s">
        <v>727</v>
      </c>
      <c r="L2293">
        <v>-0.77</v>
      </c>
      <c r="M2293">
        <v>9.06</v>
      </c>
      <c r="N2293">
        <v>109624</v>
      </c>
      <c r="O2293">
        <v>92101</v>
      </c>
      <c r="P2293">
        <v>1.19</v>
      </c>
      <c r="Q2293">
        <v>799</v>
      </c>
      <c r="R2293">
        <v>867</v>
      </c>
      <c r="S2293" t="s">
        <v>3</v>
      </c>
      <c r="T2293">
        <v>62476.14</v>
      </c>
      <c r="U2293" t="s">
        <v>5709</v>
      </c>
      <c r="V2293" t="s">
        <v>5709</v>
      </c>
      <c r="W2293">
        <v>-0.77</v>
      </c>
    </row>
    <row r="2294" spans="1:23">
      <c r="A2294" t="str">
        <f>"600847"</f>
        <v>600847</v>
      </c>
      <c r="B2294" t="s">
        <v>5710</v>
      </c>
      <c r="C2294" t="s">
        <v>3</v>
      </c>
      <c r="D2294" t="s">
        <v>3</v>
      </c>
      <c r="E2294" t="s">
        <v>3</v>
      </c>
      <c r="F2294">
        <v>18.190000000000001</v>
      </c>
      <c r="G2294">
        <v>0</v>
      </c>
      <c r="H2294">
        <v>0</v>
      </c>
      <c r="I2294">
        <v>0</v>
      </c>
      <c r="J2294" t="s">
        <v>145</v>
      </c>
      <c r="K2294" t="s">
        <v>386</v>
      </c>
      <c r="L2294">
        <v>0</v>
      </c>
      <c r="M2294">
        <v>18.190000000000001</v>
      </c>
      <c r="N2294">
        <v>0</v>
      </c>
      <c r="O2294">
        <v>0</v>
      </c>
      <c r="P2294" t="s">
        <v>3</v>
      </c>
      <c r="Q2294">
        <v>0</v>
      </c>
      <c r="R2294">
        <v>0</v>
      </c>
      <c r="S2294" t="s">
        <v>3</v>
      </c>
      <c r="T2294">
        <v>8866</v>
      </c>
      <c r="U2294" t="s">
        <v>5711</v>
      </c>
      <c r="V2294" t="s">
        <v>2229</v>
      </c>
      <c r="W2294">
        <v>0</v>
      </c>
    </row>
    <row r="2295" spans="1:23">
      <c r="A2295" t="str">
        <f>"600848"</f>
        <v>600848</v>
      </c>
      <c r="B2295" t="s">
        <v>5712</v>
      </c>
      <c r="C2295" t="s">
        <v>3</v>
      </c>
      <c r="D2295" t="s">
        <v>3</v>
      </c>
      <c r="E2295" t="s">
        <v>3</v>
      </c>
      <c r="F2295">
        <v>7.92</v>
      </c>
      <c r="G2295">
        <v>0</v>
      </c>
      <c r="H2295">
        <v>0</v>
      </c>
      <c r="I2295">
        <v>0</v>
      </c>
      <c r="J2295" t="s">
        <v>617</v>
      </c>
      <c r="K2295" t="s">
        <v>727</v>
      </c>
      <c r="L2295">
        <v>0</v>
      </c>
      <c r="M2295">
        <v>7.92</v>
      </c>
      <c r="N2295">
        <v>0</v>
      </c>
      <c r="O2295">
        <v>0</v>
      </c>
      <c r="P2295" t="s">
        <v>3</v>
      </c>
      <c r="Q2295">
        <v>0</v>
      </c>
      <c r="R2295">
        <v>0</v>
      </c>
      <c r="S2295" t="s">
        <v>3</v>
      </c>
      <c r="T2295">
        <v>29214.14</v>
      </c>
      <c r="U2295" t="s">
        <v>3380</v>
      </c>
      <c r="V2295" t="s">
        <v>1272</v>
      </c>
      <c r="W2295">
        <v>0</v>
      </c>
    </row>
    <row r="2296" spans="1:23">
      <c r="A2296" t="str">
        <f>"600850"</f>
        <v>600850</v>
      </c>
      <c r="B2296" t="s">
        <v>5713</v>
      </c>
      <c r="C2296">
        <v>27.76</v>
      </c>
      <c r="D2296">
        <v>28.13</v>
      </c>
      <c r="E2296">
        <v>27.6</v>
      </c>
      <c r="F2296">
        <v>27.94</v>
      </c>
      <c r="G2296">
        <v>28480</v>
      </c>
      <c r="H2296">
        <v>79301120</v>
      </c>
      <c r="I2296">
        <v>0.92</v>
      </c>
      <c r="J2296" t="s">
        <v>66</v>
      </c>
      <c r="K2296" t="s">
        <v>727</v>
      </c>
      <c r="L2296">
        <v>0.65</v>
      </c>
      <c r="M2296">
        <v>27.84</v>
      </c>
      <c r="N2296">
        <v>12410</v>
      </c>
      <c r="O2296">
        <v>16069</v>
      </c>
      <c r="P2296">
        <v>0.77</v>
      </c>
      <c r="Q2296">
        <v>18</v>
      </c>
      <c r="R2296">
        <v>106</v>
      </c>
      <c r="S2296" t="s">
        <v>3</v>
      </c>
      <c r="T2296">
        <v>17103.150000000001</v>
      </c>
      <c r="U2296" t="s">
        <v>5714</v>
      </c>
      <c r="V2296" t="s">
        <v>5715</v>
      </c>
      <c r="W2296">
        <v>0.64</v>
      </c>
    </row>
    <row r="2297" spans="1:23">
      <c r="A2297" t="str">
        <f>"600851"</f>
        <v>600851</v>
      </c>
      <c r="B2297" t="s">
        <v>5716</v>
      </c>
      <c r="C2297">
        <v>7.47</v>
      </c>
      <c r="D2297">
        <v>7.48</v>
      </c>
      <c r="E2297">
        <v>7.35</v>
      </c>
      <c r="F2297">
        <v>7.48</v>
      </c>
      <c r="G2297">
        <v>142039</v>
      </c>
      <c r="H2297">
        <v>105403144</v>
      </c>
      <c r="I2297">
        <v>0.92</v>
      </c>
      <c r="J2297" t="s">
        <v>55</v>
      </c>
      <c r="K2297" t="s">
        <v>727</v>
      </c>
      <c r="L2297">
        <v>0</v>
      </c>
      <c r="M2297">
        <v>7.42</v>
      </c>
      <c r="N2297">
        <v>84808</v>
      </c>
      <c r="O2297">
        <v>57230</v>
      </c>
      <c r="P2297">
        <v>1.48</v>
      </c>
      <c r="Q2297">
        <v>1181</v>
      </c>
      <c r="R2297">
        <v>300</v>
      </c>
      <c r="S2297" t="s">
        <v>3</v>
      </c>
      <c r="T2297">
        <v>73820.600000000006</v>
      </c>
      <c r="U2297" t="s">
        <v>5717</v>
      </c>
      <c r="V2297" t="s">
        <v>5718</v>
      </c>
      <c r="W2297">
        <v>0</v>
      </c>
    </row>
    <row r="2298" spans="1:23">
      <c r="A2298" t="str">
        <f>"600853"</f>
        <v>600853</v>
      </c>
      <c r="B2298" t="s">
        <v>5719</v>
      </c>
      <c r="C2298">
        <v>3.4</v>
      </c>
      <c r="D2298">
        <v>3.49</v>
      </c>
      <c r="E2298">
        <v>3.39</v>
      </c>
      <c r="F2298">
        <v>3.49</v>
      </c>
      <c r="G2298">
        <v>108398</v>
      </c>
      <c r="H2298">
        <v>37365508</v>
      </c>
      <c r="I2298">
        <v>1.53</v>
      </c>
      <c r="J2298" t="s">
        <v>33</v>
      </c>
      <c r="K2298" t="s">
        <v>565</v>
      </c>
      <c r="L2298">
        <v>2.95</v>
      </c>
      <c r="M2298">
        <v>3.45</v>
      </c>
      <c r="N2298">
        <v>38468</v>
      </c>
      <c r="O2298">
        <v>69929</v>
      </c>
      <c r="P2298">
        <v>0.55000000000000004</v>
      </c>
      <c r="Q2298">
        <v>570</v>
      </c>
      <c r="R2298">
        <v>1350</v>
      </c>
      <c r="S2298" t="s">
        <v>3</v>
      </c>
      <c r="T2298">
        <v>53680.76</v>
      </c>
      <c r="U2298" t="s">
        <v>1535</v>
      </c>
      <c r="V2298" t="s">
        <v>1535</v>
      </c>
      <c r="W2298">
        <v>2.95</v>
      </c>
    </row>
    <row r="2299" spans="1:23">
      <c r="A2299" t="str">
        <f>"600854"</f>
        <v>600854</v>
      </c>
      <c r="B2299" t="s">
        <v>5720</v>
      </c>
      <c r="C2299">
        <v>6.02</v>
      </c>
      <c r="D2299">
        <v>6.26</v>
      </c>
      <c r="E2299">
        <v>5.99</v>
      </c>
      <c r="F2299">
        <v>6.15</v>
      </c>
      <c r="G2299">
        <v>131312</v>
      </c>
      <c r="H2299">
        <v>80477688</v>
      </c>
      <c r="I2299">
        <v>1.02</v>
      </c>
      <c r="J2299" t="s">
        <v>47</v>
      </c>
      <c r="K2299" t="s">
        <v>244</v>
      </c>
      <c r="L2299">
        <v>1.82</v>
      </c>
      <c r="M2299">
        <v>6.13</v>
      </c>
      <c r="N2299">
        <v>60148</v>
      </c>
      <c r="O2299">
        <v>71163</v>
      </c>
      <c r="P2299">
        <v>0.85</v>
      </c>
      <c r="Q2299">
        <v>295</v>
      </c>
      <c r="R2299">
        <v>182</v>
      </c>
      <c r="S2299" t="s">
        <v>3</v>
      </c>
      <c r="T2299">
        <v>51945.85</v>
      </c>
      <c r="U2299" t="s">
        <v>5721</v>
      </c>
      <c r="V2299" t="s">
        <v>5721</v>
      </c>
      <c r="W2299">
        <v>1.82</v>
      </c>
    </row>
    <row r="2300" spans="1:23">
      <c r="A2300" t="str">
        <f>"600855"</f>
        <v>600855</v>
      </c>
      <c r="B2300" t="s">
        <v>5722</v>
      </c>
      <c r="C2300">
        <v>21.68</v>
      </c>
      <c r="D2300">
        <v>22.39</v>
      </c>
      <c r="E2300">
        <v>21.49</v>
      </c>
      <c r="F2300">
        <v>21.8</v>
      </c>
      <c r="G2300">
        <v>169373</v>
      </c>
      <c r="H2300">
        <v>371266176</v>
      </c>
      <c r="I2300">
        <v>0.52</v>
      </c>
      <c r="J2300" t="s">
        <v>269</v>
      </c>
      <c r="K2300" t="s">
        <v>34</v>
      </c>
      <c r="L2300">
        <v>0.37</v>
      </c>
      <c r="M2300">
        <v>21.92</v>
      </c>
      <c r="N2300">
        <v>87693</v>
      </c>
      <c r="O2300">
        <v>81680</v>
      </c>
      <c r="P2300">
        <v>1.07</v>
      </c>
      <c r="Q2300">
        <v>93</v>
      </c>
      <c r="R2300">
        <v>169</v>
      </c>
      <c r="S2300" t="s">
        <v>3</v>
      </c>
      <c r="T2300">
        <v>23320.19</v>
      </c>
      <c r="U2300" t="s">
        <v>5269</v>
      </c>
      <c r="V2300" t="s">
        <v>5723</v>
      </c>
      <c r="W2300">
        <v>0.36</v>
      </c>
    </row>
    <row r="2301" spans="1:23">
      <c r="A2301" t="str">
        <f>"600856"</f>
        <v>600856</v>
      </c>
      <c r="B2301" t="s">
        <v>5724</v>
      </c>
      <c r="C2301">
        <v>10.08</v>
      </c>
      <c r="D2301">
        <v>10.4</v>
      </c>
      <c r="E2301">
        <v>10.01</v>
      </c>
      <c r="F2301">
        <v>10.32</v>
      </c>
      <c r="G2301">
        <v>59480</v>
      </c>
      <c r="H2301">
        <v>60964756</v>
      </c>
      <c r="I2301">
        <v>1.05</v>
      </c>
      <c r="J2301" t="s">
        <v>297</v>
      </c>
      <c r="K2301" t="s">
        <v>99</v>
      </c>
      <c r="L2301">
        <v>1.57</v>
      </c>
      <c r="M2301">
        <v>10.25</v>
      </c>
      <c r="N2301">
        <v>29584</v>
      </c>
      <c r="O2301">
        <v>29896</v>
      </c>
      <c r="P2301">
        <v>0.99</v>
      </c>
      <c r="Q2301">
        <v>48</v>
      </c>
      <c r="R2301">
        <v>127</v>
      </c>
      <c r="S2301" t="s">
        <v>3</v>
      </c>
      <c r="T2301">
        <v>23483.16</v>
      </c>
      <c r="U2301" t="s">
        <v>3566</v>
      </c>
      <c r="V2301" t="s">
        <v>3566</v>
      </c>
      <c r="W2301">
        <v>1.57</v>
      </c>
    </row>
    <row r="2302" spans="1:23">
      <c r="A2302" t="str">
        <f>"600857"</f>
        <v>600857</v>
      </c>
      <c r="B2302" t="s">
        <v>5725</v>
      </c>
      <c r="C2302">
        <v>16.899999999999999</v>
      </c>
      <c r="D2302">
        <v>17.38</v>
      </c>
      <c r="E2302">
        <v>16.489999999999998</v>
      </c>
      <c r="F2302">
        <v>16.600000000000001</v>
      </c>
      <c r="G2302">
        <v>85758</v>
      </c>
      <c r="H2302">
        <v>144924496</v>
      </c>
      <c r="I2302">
        <v>1.64</v>
      </c>
      <c r="J2302" t="s">
        <v>297</v>
      </c>
      <c r="K2302" t="s">
        <v>229</v>
      </c>
      <c r="L2302">
        <v>-2.1800000000000002</v>
      </c>
      <c r="M2302">
        <v>16.899999999999999</v>
      </c>
      <c r="N2302">
        <v>50046</v>
      </c>
      <c r="O2302">
        <v>35711</v>
      </c>
      <c r="P2302">
        <v>1.4</v>
      </c>
      <c r="Q2302">
        <v>28</v>
      </c>
      <c r="R2302">
        <v>344</v>
      </c>
      <c r="S2302" t="s">
        <v>3</v>
      </c>
      <c r="T2302">
        <v>22431.99</v>
      </c>
      <c r="U2302" t="s">
        <v>1644</v>
      </c>
      <c r="V2302" t="s">
        <v>1644</v>
      </c>
      <c r="W2302">
        <v>-2.1800000000000002</v>
      </c>
    </row>
    <row r="2303" spans="1:23">
      <c r="A2303" t="str">
        <f>"600858"</f>
        <v>600858</v>
      </c>
      <c r="B2303" t="s">
        <v>5726</v>
      </c>
      <c r="C2303">
        <v>7.96</v>
      </c>
      <c r="D2303">
        <v>8.08</v>
      </c>
      <c r="E2303">
        <v>7.9</v>
      </c>
      <c r="F2303">
        <v>7.99</v>
      </c>
      <c r="G2303">
        <v>87749</v>
      </c>
      <c r="H2303">
        <v>70260496</v>
      </c>
      <c r="I2303">
        <v>1.34</v>
      </c>
      <c r="J2303" t="s">
        <v>297</v>
      </c>
      <c r="K2303" t="s">
        <v>250</v>
      </c>
      <c r="L2303">
        <v>0.76</v>
      </c>
      <c r="M2303">
        <v>8.01</v>
      </c>
      <c r="N2303">
        <v>48284</v>
      </c>
      <c r="O2303">
        <v>39465</v>
      </c>
      <c r="P2303">
        <v>1.22</v>
      </c>
      <c r="Q2303">
        <v>19</v>
      </c>
      <c r="R2303">
        <v>543</v>
      </c>
      <c r="S2303" t="s">
        <v>3</v>
      </c>
      <c r="T2303">
        <v>51754.8</v>
      </c>
      <c r="U2303" t="s">
        <v>540</v>
      </c>
      <c r="V2303" t="s">
        <v>5727</v>
      </c>
      <c r="W2303">
        <v>0.75</v>
      </c>
    </row>
    <row r="2304" spans="1:23">
      <c r="A2304" t="str">
        <f>"600859"</f>
        <v>600859</v>
      </c>
      <c r="B2304" t="s">
        <v>5728</v>
      </c>
      <c r="C2304">
        <v>18.72</v>
      </c>
      <c r="D2304">
        <v>18.77</v>
      </c>
      <c r="E2304">
        <v>18.329999999999998</v>
      </c>
      <c r="F2304">
        <v>18.420000000000002</v>
      </c>
      <c r="G2304">
        <v>95383</v>
      </c>
      <c r="H2304">
        <v>176108352</v>
      </c>
      <c r="I2304">
        <v>0.77</v>
      </c>
      <c r="J2304" t="s">
        <v>297</v>
      </c>
      <c r="K2304" t="s">
        <v>34</v>
      </c>
      <c r="L2304">
        <v>-1.1299999999999999</v>
      </c>
      <c r="M2304">
        <v>18.46</v>
      </c>
      <c r="N2304">
        <v>52067</v>
      </c>
      <c r="O2304">
        <v>43316</v>
      </c>
      <c r="P2304">
        <v>1.2</v>
      </c>
      <c r="Q2304">
        <v>10</v>
      </c>
      <c r="R2304">
        <v>73</v>
      </c>
      <c r="S2304" t="s">
        <v>3</v>
      </c>
      <c r="T2304">
        <v>41764.19</v>
      </c>
      <c r="U2304" t="s">
        <v>5729</v>
      </c>
      <c r="V2304" t="s">
        <v>5730</v>
      </c>
      <c r="W2304">
        <v>-1.1299999999999999</v>
      </c>
    </row>
    <row r="2305" spans="1:23">
      <c r="A2305" t="str">
        <f>"600860"</f>
        <v>600860</v>
      </c>
      <c r="B2305" t="s">
        <v>5731</v>
      </c>
      <c r="C2305">
        <v>6.99</v>
      </c>
      <c r="D2305">
        <v>7.16</v>
      </c>
      <c r="E2305">
        <v>6.96</v>
      </c>
      <c r="F2305">
        <v>7.11</v>
      </c>
      <c r="G2305">
        <v>32756</v>
      </c>
      <c r="H2305">
        <v>23171788</v>
      </c>
      <c r="I2305">
        <v>1.87</v>
      </c>
      <c r="J2305" t="s">
        <v>269</v>
      </c>
      <c r="K2305" t="s">
        <v>34</v>
      </c>
      <c r="L2305">
        <v>2.4500000000000002</v>
      </c>
      <c r="M2305">
        <v>7.07</v>
      </c>
      <c r="N2305">
        <v>13307</v>
      </c>
      <c r="O2305">
        <v>19448</v>
      </c>
      <c r="P2305">
        <v>0.68</v>
      </c>
      <c r="Q2305">
        <v>30</v>
      </c>
      <c r="R2305">
        <v>22</v>
      </c>
      <c r="S2305" t="s">
        <v>3</v>
      </c>
      <c r="T2305">
        <v>32200</v>
      </c>
      <c r="U2305" t="s">
        <v>5732</v>
      </c>
      <c r="V2305" t="s">
        <v>5732</v>
      </c>
      <c r="W2305">
        <v>2.4500000000000002</v>
      </c>
    </row>
    <row r="2306" spans="1:23">
      <c r="A2306" t="str">
        <f>"600861"</f>
        <v>600861</v>
      </c>
      <c r="B2306" t="s">
        <v>5733</v>
      </c>
      <c r="C2306">
        <v>9.42</v>
      </c>
      <c r="D2306">
        <v>9.42</v>
      </c>
      <c r="E2306">
        <v>9.27</v>
      </c>
      <c r="F2306">
        <v>9.31</v>
      </c>
      <c r="G2306">
        <v>36498</v>
      </c>
      <c r="H2306">
        <v>33970852</v>
      </c>
      <c r="I2306">
        <v>0.59</v>
      </c>
      <c r="J2306" t="s">
        <v>297</v>
      </c>
      <c r="K2306" t="s">
        <v>34</v>
      </c>
      <c r="L2306">
        <v>-1.17</v>
      </c>
      <c r="M2306">
        <v>9.31</v>
      </c>
      <c r="N2306">
        <v>24545</v>
      </c>
      <c r="O2306">
        <v>11953</v>
      </c>
      <c r="P2306">
        <v>2.0499999999999998</v>
      </c>
      <c r="Q2306">
        <v>241</v>
      </c>
      <c r="R2306">
        <v>45</v>
      </c>
      <c r="S2306" t="s">
        <v>3</v>
      </c>
      <c r="T2306">
        <v>31680.49</v>
      </c>
      <c r="U2306" t="s">
        <v>5734</v>
      </c>
      <c r="V2306" t="s">
        <v>5734</v>
      </c>
      <c r="W2306">
        <v>-1.17</v>
      </c>
    </row>
    <row r="2307" spans="1:23">
      <c r="A2307" t="str">
        <f>"600862"</f>
        <v>600862</v>
      </c>
      <c r="B2307" t="s">
        <v>5735</v>
      </c>
      <c r="C2307" t="s">
        <v>3</v>
      </c>
      <c r="D2307" t="s">
        <v>3</v>
      </c>
      <c r="E2307" t="s">
        <v>3</v>
      </c>
      <c r="F2307">
        <v>3.03</v>
      </c>
      <c r="G2307">
        <v>0</v>
      </c>
      <c r="H2307">
        <v>0</v>
      </c>
      <c r="I2307">
        <v>0</v>
      </c>
      <c r="J2307" t="s">
        <v>7</v>
      </c>
      <c r="K2307" t="s">
        <v>244</v>
      </c>
      <c r="L2307">
        <v>0</v>
      </c>
      <c r="M2307">
        <v>3.03</v>
      </c>
      <c r="N2307">
        <v>0</v>
      </c>
      <c r="O2307">
        <v>0</v>
      </c>
      <c r="P2307" t="s">
        <v>3</v>
      </c>
      <c r="Q2307">
        <v>0</v>
      </c>
      <c r="R2307">
        <v>0</v>
      </c>
      <c r="S2307" t="s">
        <v>3</v>
      </c>
      <c r="T2307">
        <v>63792.85</v>
      </c>
      <c r="U2307" t="s">
        <v>5736</v>
      </c>
      <c r="V2307" t="s">
        <v>5736</v>
      </c>
      <c r="W2307">
        <v>0</v>
      </c>
    </row>
    <row r="2308" spans="1:23">
      <c r="A2308" t="str">
        <f>"600863"</f>
        <v>600863</v>
      </c>
      <c r="B2308" t="s">
        <v>5737</v>
      </c>
      <c r="C2308">
        <v>2.88</v>
      </c>
      <c r="D2308">
        <v>2.93</v>
      </c>
      <c r="E2308">
        <v>2.87</v>
      </c>
      <c r="F2308">
        <v>2.91</v>
      </c>
      <c r="G2308">
        <v>816718</v>
      </c>
      <c r="H2308">
        <v>237466736</v>
      </c>
      <c r="I2308">
        <v>1.22</v>
      </c>
      <c r="J2308" t="s">
        <v>87</v>
      </c>
      <c r="K2308" t="s">
        <v>329</v>
      </c>
      <c r="L2308">
        <v>1.39</v>
      </c>
      <c r="M2308">
        <v>2.91</v>
      </c>
      <c r="N2308">
        <v>275206</v>
      </c>
      <c r="O2308">
        <v>541511</v>
      </c>
      <c r="P2308">
        <v>0.51</v>
      </c>
      <c r="Q2308">
        <v>10091</v>
      </c>
      <c r="R2308">
        <v>57537</v>
      </c>
      <c r="S2308" t="s">
        <v>3</v>
      </c>
      <c r="T2308">
        <v>263910.44</v>
      </c>
      <c r="U2308" t="s">
        <v>543</v>
      </c>
      <c r="V2308" t="s">
        <v>5738</v>
      </c>
      <c r="W2308">
        <v>1.39</v>
      </c>
    </row>
    <row r="2309" spans="1:23">
      <c r="A2309" t="str">
        <f>"600864"</f>
        <v>600864</v>
      </c>
      <c r="B2309" t="s">
        <v>5739</v>
      </c>
      <c r="C2309">
        <v>8.85</v>
      </c>
      <c r="D2309">
        <v>9</v>
      </c>
      <c r="E2309">
        <v>8.84</v>
      </c>
      <c r="F2309">
        <v>8.89</v>
      </c>
      <c r="G2309">
        <v>131032</v>
      </c>
      <c r="H2309">
        <v>116924304</v>
      </c>
      <c r="I2309">
        <v>1.96</v>
      </c>
      <c r="J2309" t="s">
        <v>87</v>
      </c>
      <c r="K2309" t="s">
        <v>565</v>
      </c>
      <c r="L2309">
        <v>0.91</v>
      </c>
      <c r="M2309">
        <v>8.92</v>
      </c>
      <c r="N2309">
        <v>68678</v>
      </c>
      <c r="O2309">
        <v>62354</v>
      </c>
      <c r="P2309">
        <v>1.1000000000000001</v>
      </c>
      <c r="Q2309">
        <v>498</v>
      </c>
      <c r="R2309">
        <v>488</v>
      </c>
      <c r="S2309" t="s">
        <v>3</v>
      </c>
      <c r="T2309">
        <v>54637.82</v>
      </c>
      <c r="U2309" t="s">
        <v>5740</v>
      </c>
      <c r="V2309" t="s">
        <v>5740</v>
      </c>
      <c r="W2309">
        <v>0.9</v>
      </c>
    </row>
    <row r="2310" spans="1:23">
      <c r="A2310" t="str">
        <f>"600865"</f>
        <v>600865</v>
      </c>
      <c r="B2310" t="s">
        <v>5741</v>
      </c>
      <c r="C2310">
        <v>7.09</v>
      </c>
      <c r="D2310">
        <v>7.28</v>
      </c>
      <c r="E2310">
        <v>7.03</v>
      </c>
      <c r="F2310">
        <v>7.22</v>
      </c>
      <c r="G2310">
        <v>65190</v>
      </c>
      <c r="H2310">
        <v>46594736</v>
      </c>
      <c r="I2310">
        <v>0.98</v>
      </c>
      <c r="J2310" t="s">
        <v>297</v>
      </c>
      <c r="K2310" t="s">
        <v>229</v>
      </c>
      <c r="L2310">
        <v>1.83</v>
      </c>
      <c r="M2310">
        <v>7.15</v>
      </c>
      <c r="N2310">
        <v>30094</v>
      </c>
      <c r="O2310">
        <v>35095</v>
      </c>
      <c r="P2310">
        <v>0.86</v>
      </c>
      <c r="Q2310">
        <v>546</v>
      </c>
      <c r="R2310">
        <v>14</v>
      </c>
      <c r="S2310" t="s">
        <v>3</v>
      </c>
      <c r="T2310">
        <v>37624.03</v>
      </c>
      <c r="U2310" t="s">
        <v>5742</v>
      </c>
      <c r="V2310" t="s">
        <v>5742</v>
      </c>
      <c r="W2310">
        <v>1.83</v>
      </c>
    </row>
    <row r="2311" spans="1:23">
      <c r="A2311" t="str">
        <f>"600866"</f>
        <v>600866</v>
      </c>
      <c r="B2311" t="s">
        <v>5743</v>
      </c>
      <c r="C2311">
        <v>6.9</v>
      </c>
      <c r="D2311">
        <v>6.95</v>
      </c>
      <c r="E2311">
        <v>6.79</v>
      </c>
      <c r="F2311">
        <v>6.85</v>
      </c>
      <c r="G2311">
        <v>105902</v>
      </c>
      <c r="H2311">
        <v>72570616</v>
      </c>
      <c r="I2311">
        <v>0.93</v>
      </c>
      <c r="J2311" t="s">
        <v>421</v>
      </c>
      <c r="K2311" t="s">
        <v>211</v>
      </c>
      <c r="L2311">
        <v>-1.1499999999999999</v>
      </c>
      <c r="M2311">
        <v>6.85</v>
      </c>
      <c r="N2311">
        <v>63630</v>
      </c>
      <c r="O2311">
        <v>42272</v>
      </c>
      <c r="P2311">
        <v>1.51</v>
      </c>
      <c r="Q2311">
        <v>230</v>
      </c>
      <c r="R2311">
        <v>151</v>
      </c>
      <c r="S2311" t="s">
        <v>3</v>
      </c>
      <c r="T2311">
        <v>55039.35</v>
      </c>
      <c r="U2311" t="s">
        <v>5744</v>
      </c>
      <c r="V2311" t="s">
        <v>5744</v>
      </c>
      <c r="W2311">
        <v>-1.1599999999999999</v>
      </c>
    </row>
    <row r="2312" spans="1:23">
      <c r="A2312" t="str">
        <f>"600867"</f>
        <v>600867</v>
      </c>
      <c r="B2312" t="s">
        <v>5745</v>
      </c>
      <c r="C2312">
        <v>13.34</v>
      </c>
      <c r="D2312">
        <v>13.41</v>
      </c>
      <c r="E2312">
        <v>13.2</v>
      </c>
      <c r="F2312">
        <v>13.24</v>
      </c>
      <c r="G2312">
        <v>90602</v>
      </c>
      <c r="H2312">
        <v>120229584</v>
      </c>
      <c r="I2312">
        <v>0.96</v>
      </c>
      <c r="J2312" t="s">
        <v>11</v>
      </c>
      <c r="K2312" t="s">
        <v>99</v>
      </c>
      <c r="L2312">
        <v>-0.6</v>
      </c>
      <c r="M2312">
        <v>13.27</v>
      </c>
      <c r="N2312">
        <v>55068</v>
      </c>
      <c r="O2312">
        <v>35533</v>
      </c>
      <c r="P2312">
        <v>1.55</v>
      </c>
      <c r="Q2312">
        <v>383</v>
      </c>
      <c r="R2312">
        <v>46</v>
      </c>
      <c r="S2312" t="s">
        <v>3</v>
      </c>
      <c r="T2312">
        <v>102460.04</v>
      </c>
      <c r="U2312" t="s">
        <v>5746</v>
      </c>
      <c r="V2312" t="s">
        <v>5747</v>
      </c>
      <c r="W2312">
        <v>-0.6</v>
      </c>
    </row>
    <row r="2313" spans="1:23">
      <c r="A2313" t="str">
        <f>"600868"</f>
        <v>600868</v>
      </c>
      <c r="B2313" t="s">
        <v>5748</v>
      </c>
      <c r="C2313">
        <v>2.67</v>
      </c>
      <c r="D2313">
        <v>2.7</v>
      </c>
      <c r="E2313">
        <v>2.64</v>
      </c>
      <c r="F2313">
        <v>2.69</v>
      </c>
      <c r="G2313">
        <v>475798</v>
      </c>
      <c r="H2313">
        <v>127505168</v>
      </c>
      <c r="I2313">
        <v>0.98</v>
      </c>
      <c r="J2313" t="s">
        <v>852</v>
      </c>
      <c r="K2313" t="s">
        <v>211</v>
      </c>
      <c r="L2313">
        <v>0.75</v>
      </c>
      <c r="M2313">
        <v>2.68</v>
      </c>
      <c r="N2313">
        <v>204043</v>
      </c>
      <c r="O2313">
        <v>271754</v>
      </c>
      <c r="P2313">
        <v>0.75</v>
      </c>
      <c r="Q2313">
        <v>335</v>
      </c>
      <c r="R2313">
        <v>26496</v>
      </c>
      <c r="S2313" t="s">
        <v>3</v>
      </c>
      <c r="T2313">
        <v>189814.88</v>
      </c>
      <c r="U2313" t="s">
        <v>5749</v>
      </c>
      <c r="V2313" t="s">
        <v>5749</v>
      </c>
      <c r="W2313">
        <v>0.74</v>
      </c>
    </row>
    <row r="2314" spans="1:23">
      <c r="A2314" t="str">
        <f>"600869"</f>
        <v>600869</v>
      </c>
      <c r="B2314" t="s">
        <v>5750</v>
      </c>
      <c r="C2314">
        <v>10.45</v>
      </c>
      <c r="D2314">
        <v>10.45</v>
      </c>
      <c r="E2314">
        <v>10.26</v>
      </c>
      <c r="F2314">
        <v>10.29</v>
      </c>
      <c r="G2314">
        <v>49044</v>
      </c>
      <c r="H2314">
        <v>50624040</v>
      </c>
      <c r="I2314">
        <v>0.68</v>
      </c>
      <c r="J2314" t="s">
        <v>145</v>
      </c>
      <c r="K2314" t="s">
        <v>613</v>
      </c>
      <c r="L2314">
        <v>-0.68</v>
      </c>
      <c r="M2314">
        <v>10.32</v>
      </c>
      <c r="N2314">
        <v>28791</v>
      </c>
      <c r="O2314">
        <v>20252</v>
      </c>
      <c r="P2314">
        <v>1.42</v>
      </c>
      <c r="Q2314">
        <v>148</v>
      </c>
      <c r="R2314">
        <v>444</v>
      </c>
      <c r="S2314" t="s">
        <v>3</v>
      </c>
      <c r="T2314">
        <v>99004.34</v>
      </c>
      <c r="U2314" t="s">
        <v>5751</v>
      </c>
      <c r="V2314" t="s">
        <v>5751</v>
      </c>
      <c r="W2314">
        <v>-0.68</v>
      </c>
    </row>
    <row r="2315" spans="1:23">
      <c r="A2315" t="str">
        <f>"600870"</f>
        <v>600870</v>
      </c>
      <c r="B2315" t="s">
        <v>5752</v>
      </c>
      <c r="C2315">
        <v>10.02</v>
      </c>
      <c r="D2315">
        <v>10.09</v>
      </c>
      <c r="E2315">
        <v>9.52</v>
      </c>
      <c r="F2315">
        <v>9.6</v>
      </c>
      <c r="G2315">
        <v>204170</v>
      </c>
      <c r="H2315">
        <v>198032576</v>
      </c>
      <c r="I2315">
        <v>1.19</v>
      </c>
      <c r="J2315" t="s">
        <v>47</v>
      </c>
      <c r="K2315" t="s">
        <v>414</v>
      </c>
      <c r="L2315">
        <v>-3.9</v>
      </c>
      <c r="M2315">
        <v>9.6999999999999993</v>
      </c>
      <c r="N2315">
        <v>134369</v>
      </c>
      <c r="O2315">
        <v>69800</v>
      </c>
      <c r="P2315">
        <v>1.93</v>
      </c>
      <c r="Q2315">
        <v>354</v>
      </c>
      <c r="R2315">
        <v>1</v>
      </c>
      <c r="S2315" t="s">
        <v>3</v>
      </c>
      <c r="T2315">
        <v>37081.870000000003</v>
      </c>
      <c r="U2315" t="s">
        <v>5753</v>
      </c>
      <c r="V2315" t="s">
        <v>5754</v>
      </c>
      <c r="W2315">
        <v>-3.91</v>
      </c>
    </row>
    <row r="2316" spans="1:23">
      <c r="A2316" t="str">
        <f>"600871"</f>
        <v>600871</v>
      </c>
      <c r="B2316" t="s">
        <v>5755</v>
      </c>
      <c r="C2316" t="s">
        <v>3</v>
      </c>
      <c r="D2316" t="s">
        <v>3</v>
      </c>
      <c r="E2316" t="s">
        <v>3</v>
      </c>
      <c r="F2316">
        <v>2.78</v>
      </c>
      <c r="G2316">
        <v>0</v>
      </c>
      <c r="H2316">
        <v>0</v>
      </c>
      <c r="I2316">
        <v>0</v>
      </c>
      <c r="J2316" t="s">
        <v>310</v>
      </c>
      <c r="K2316" t="s">
        <v>244</v>
      </c>
      <c r="L2316">
        <v>0</v>
      </c>
      <c r="M2316">
        <v>2.78</v>
      </c>
      <c r="N2316">
        <v>0</v>
      </c>
      <c r="O2316">
        <v>0</v>
      </c>
      <c r="P2316" t="s">
        <v>3</v>
      </c>
      <c r="Q2316">
        <v>0</v>
      </c>
      <c r="R2316">
        <v>0</v>
      </c>
      <c r="S2316" t="s">
        <v>3</v>
      </c>
      <c r="T2316">
        <v>45000</v>
      </c>
      <c r="U2316" t="s">
        <v>5756</v>
      </c>
      <c r="V2316" t="s">
        <v>5375</v>
      </c>
      <c r="W2316">
        <v>0</v>
      </c>
    </row>
    <row r="2317" spans="1:23">
      <c r="A2317" t="str">
        <f>"600872"</f>
        <v>600872</v>
      </c>
      <c r="B2317" t="s">
        <v>5757</v>
      </c>
      <c r="C2317">
        <v>11.25</v>
      </c>
      <c r="D2317">
        <v>11.29</v>
      </c>
      <c r="E2317">
        <v>11.03</v>
      </c>
      <c r="F2317">
        <v>11.09</v>
      </c>
      <c r="G2317">
        <v>85586</v>
      </c>
      <c r="H2317">
        <v>95380032</v>
      </c>
      <c r="I2317">
        <v>0.76</v>
      </c>
      <c r="J2317" t="s">
        <v>421</v>
      </c>
      <c r="K2317" t="s">
        <v>211</v>
      </c>
      <c r="L2317">
        <v>-0.98</v>
      </c>
      <c r="M2317">
        <v>11.14</v>
      </c>
      <c r="N2317">
        <v>52098</v>
      </c>
      <c r="O2317">
        <v>33488</v>
      </c>
      <c r="P2317">
        <v>1.56</v>
      </c>
      <c r="Q2317">
        <v>364</v>
      </c>
      <c r="R2317">
        <v>92</v>
      </c>
      <c r="S2317" t="s">
        <v>3</v>
      </c>
      <c r="T2317">
        <v>79663.710000000006</v>
      </c>
      <c r="U2317" t="s">
        <v>5758</v>
      </c>
      <c r="V2317" t="s">
        <v>5758</v>
      </c>
      <c r="W2317">
        <v>-0.99</v>
      </c>
    </row>
    <row r="2318" spans="1:23">
      <c r="A2318" t="str">
        <f>"600873"</f>
        <v>600873</v>
      </c>
      <c r="B2318" t="s">
        <v>5759</v>
      </c>
      <c r="C2318" t="s">
        <v>3</v>
      </c>
      <c r="D2318" t="s">
        <v>3</v>
      </c>
      <c r="E2318" t="s">
        <v>3</v>
      </c>
      <c r="F2318">
        <v>5.55</v>
      </c>
      <c r="G2318">
        <v>0</v>
      </c>
      <c r="H2318">
        <v>0</v>
      </c>
      <c r="I2318">
        <v>0</v>
      </c>
      <c r="J2318" t="s">
        <v>421</v>
      </c>
      <c r="K2318" t="s">
        <v>905</v>
      </c>
      <c r="L2318">
        <v>0</v>
      </c>
      <c r="M2318">
        <v>5.55</v>
      </c>
      <c r="N2318">
        <v>0</v>
      </c>
      <c r="O2318">
        <v>0</v>
      </c>
      <c r="P2318" t="s">
        <v>3</v>
      </c>
      <c r="Q2318">
        <v>0</v>
      </c>
      <c r="R2318">
        <v>0</v>
      </c>
      <c r="S2318" t="s">
        <v>3</v>
      </c>
      <c r="T2318">
        <v>310822.65999999997</v>
      </c>
      <c r="U2318" t="s">
        <v>5760</v>
      </c>
      <c r="V2318" t="s">
        <v>5760</v>
      </c>
      <c r="W2318">
        <v>0</v>
      </c>
    </row>
    <row r="2319" spans="1:23">
      <c r="A2319" t="str">
        <f>"600874"</f>
        <v>600874</v>
      </c>
      <c r="B2319" t="s">
        <v>5761</v>
      </c>
      <c r="C2319">
        <v>8.6</v>
      </c>
      <c r="D2319">
        <v>8.6999999999999993</v>
      </c>
      <c r="E2319">
        <v>8.5500000000000007</v>
      </c>
      <c r="F2319">
        <v>8.6</v>
      </c>
      <c r="G2319">
        <v>165597</v>
      </c>
      <c r="H2319">
        <v>142642672</v>
      </c>
      <c r="I2319">
        <v>0.89</v>
      </c>
      <c r="J2319" t="s">
        <v>462</v>
      </c>
      <c r="K2319" t="s">
        <v>442</v>
      </c>
      <c r="L2319">
        <v>0.23</v>
      </c>
      <c r="M2319">
        <v>8.61</v>
      </c>
      <c r="N2319">
        <v>89791</v>
      </c>
      <c r="O2319">
        <v>75805</v>
      </c>
      <c r="P2319">
        <v>1.18</v>
      </c>
      <c r="Q2319">
        <v>1054</v>
      </c>
      <c r="R2319">
        <v>1673</v>
      </c>
      <c r="S2319" t="s">
        <v>3</v>
      </c>
      <c r="T2319">
        <v>108722.84</v>
      </c>
      <c r="U2319" t="s">
        <v>5762</v>
      </c>
      <c r="V2319" t="s">
        <v>5762</v>
      </c>
      <c r="W2319">
        <v>0.23</v>
      </c>
    </row>
    <row r="2320" spans="1:23">
      <c r="A2320" t="str">
        <f>"600875"</f>
        <v>600875</v>
      </c>
      <c r="B2320" t="s">
        <v>5763</v>
      </c>
      <c r="C2320">
        <v>13.7</v>
      </c>
      <c r="D2320">
        <v>13.96</v>
      </c>
      <c r="E2320">
        <v>13.49</v>
      </c>
      <c r="F2320">
        <v>13.59</v>
      </c>
      <c r="G2320">
        <v>282078</v>
      </c>
      <c r="H2320">
        <v>385837824</v>
      </c>
      <c r="I2320">
        <v>0.86</v>
      </c>
      <c r="J2320" t="s">
        <v>145</v>
      </c>
      <c r="K2320" t="s">
        <v>225</v>
      </c>
      <c r="L2320">
        <v>-0.59</v>
      </c>
      <c r="M2320">
        <v>13.68</v>
      </c>
      <c r="N2320">
        <v>152492</v>
      </c>
      <c r="O2320">
        <v>129585</v>
      </c>
      <c r="P2320">
        <v>1.18</v>
      </c>
      <c r="Q2320">
        <v>260</v>
      </c>
      <c r="R2320">
        <v>1101</v>
      </c>
      <c r="S2320" t="s">
        <v>3</v>
      </c>
      <c r="T2320">
        <v>166386</v>
      </c>
      <c r="U2320" t="s">
        <v>5764</v>
      </c>
      <c r="V2320" t="s">
        <v>5764</v>
      </c>
      <c r="W2320">
        <v>-0.59</v>
      </c>
    </row>
    <row r="2321" spans="1:23">
      <c r="A2321" t="str">
        <f>"600876"</f>
        <v>600876</v>
      </c>
      <c r="B2321" t="s">
        <v>5765</v>
      </c>
      <c r="C2321" t="s">
        <v>3</v>
      </c>
      <c r="D2321" t="s">
        <v>3</v>
      </c>
      <c r="E2321" t="s">
        <v>3</v>
      </c>
      <c r="F2321">
        <v>7.24</v>
      </c>
      <c r="G2321">
        <v>0</v>
      </c>
      <c r="H2321">
        <v>0</v>
      </c>
      <c r="I2321">
        <v>0</v>
      </c>
      <c r="J2321" t="s">
        <v>41</v>
      </c>
      <c r="K2321" t="s">
        <v>254</v>
      </c>
      <c r="L2321">
        <v>0</v>
      </c>
      <c r="M2321">
        <v>7.24</v>
      </c>
      <c r="N2321">
        <v>0</v>
      </c>
      <c r="O2321">
        <v>0</v>
      </c>
      <c r="P2321" t="s">
        <v>3</v>
      </c>
      <c r="Q2321">
        <v>0</v>
      </c>
      <c r="R2321">
        <v>0</v>
      </c>
      <c r="S2321" t="s">
        <v>3</v>
      </c>
      <c r="T2321">
        <v>25001.82</v>
      </c>
      <c r="U2321" t="s">
        <v>5766</v>
      </c>
      <c r="V2321" t="s">
        <v>5766</v>
      </c>
      <c r="W2321">
        <v>0</v>
      </c>
    </row>
    <row r="2322" spans="1:23">
      <c r="A2322" t="str">
        <f>"600877"</f>
        <v>600877</v>
      </c>
      <c r="B2322" t="s">
        <v>5767</v>
      </c>
      <c r="C2322">
        <v>6.54</v>
      </c>
      <c r="D2322">
        <v>6.85</v>
      </c>
      <c r="E2322">
        <v>6.43</v>
      </c>
      <c r="F2322">
        <v>6.69</v>
      </c>
      <c r="G2322">
        <v>382255</v>
      </c>
      <c r="H2322">
        <v>255903728</v>
      </c>
      <c r="I2322">
        <v>1.33</v>
      </c>
      <c r="J2322" t="s">
        <v>1191</v>
      </c>
      <c r="K2322" t="s">
        <v>386</v>
      </c>
      <c r="L2322">
        <v>2.29</v>
      </c>
      <c r="M2322">
        <v>6.69</v>
      </c>
      <c r="N2322">
        <v>184117</v>
      </c>
      <c r="O2322">
        <v>198138</v>
      </c>
      <c r="P2322">
        <v>0.93</v>
      </c>
      <c r="Q2322">
        <v>1699</v>
      </c>
      <c r="R2322">
        <v>3233</v>
      </c>
      <c r="S2322" t="s">
        <v>3</v>
      </c>
      <c r="T2322">
        <v>68728.2</v>
      </c>
      <c r="U2322" t="s">
        <v>5768</v>
      </c>
      <c r="V2322" t="s">
        <v>5768</v>
      </c>
      <c r="W2322">
        <v>2.29</v>
      </c>
    </row>
    <row r="2323" spans="1:23">
      <c r="A2323" t="str">
        <f>"600879"</f>
        <v>600879</v>
      </c>
      <c r="B2323" t="s">
        <v>5769</v>
      </c>
      <c r="C2323">
        <v>15.43</v>
      </c>
      <c r="D2323">
        <v>15.69</v>
      </c>
      <c r="E2323">
        <v>15.33</v>
      </c>
      <c r="F2323">
        <v>15.55</v>
      </c>
      <c r="G2323">
        <v>469800</v>
      </c>
      <c r="H2323">
        <v>729402368</v>
      </c>
      <c r="I2323">
        <v>0.55000000000000004</v>
      </c>
      <c r="J2323" t="s">
        <v>892</v>
      </c>
      <c r="K2323" t="s">
        <v>317</v>
      </c>
      <c r="L2323">
        <v>0.97</v>
      </c>
      <c r="M2323">
        <v>15.53</v>
      </c>
      <c r="N2323">
        <v>238802</v>
      </c>
      <c r="O2323">
        <v>230998</v>
      </c>
      <c r="P2323">
        <v>1.03</v>
      </c>
      <c r="Q2323">
        <v>251</v>
      </c>
      <c r="R2323">
        <v>16</v>
      </c>
      <c r="S2323" t="s">
        <v>3</v>
      </c>
      <c r="T2323">
        <v>103953.7</v>
      </c>
      <c r="U2323" t="s">
        <v>5770</v>
      </c>
      <c r="V2323" t="s">
        <v>5770</v>
      </c>
      <c r="W2323">
        <v>0.97</v>
      </c>
    </row>
    <row r="2324" spans="1:23">
      <c r="A2324" t="str">
        <f>"600880"</f>
        <v>600880</v>
      </c>
      <c r="B2324" t="s">
        <v>5771</v>
      </c>
      <c r="C2324">
        <v>12.6</v>
      </c>
      <c r="D2324">
        <v>13.32</v>
      </c>
      <c r="E2324">
        <v>12.45</v>
      </c>
      <c r="F2324">
        <v>13.19</v>
      </c>
      <c r="G2324">
        <v>811051</v>
      </c>
      <c r="H2324">
        <v>1055436416</v>
      </c>
      <c r="I2324">
        <v>1.54</v>
      </c>
      <c r="J2324" t="s">
        <v>707</v>
      </c>
      <c r="K2324" t="s">
        <v>225</v>
      </c>
      <c r="L2324">
        <v>5.6</v>
      </c>
      <c r="M2324">
        <v>13.01</v>
      </c>
      <c r="N2324">
        <v>370132</v>
      </c>
      <c r="O2324">
        <v>440918</v>
      </c>
      <c r="P2324">
        <v>0.84</v>
      </c>
      <c r="Q2324">
        <v>34</v>
      </c>
      <c r="R2324">
        <v>1060</v>
      </c>
      <c r="S2324" t="s">
        <v>3</v>
      </c>
      <c r="T2324">
        <v>66251.39</v>
      </c>
      <c r="U2324" t="s">
        <v>5772</v>
      </c>
      <c r="V2324" t="s">
        <v>5773</v>
      </c>
      <c r="W2324">
        <v>5.6</v>
      </c>
    </row>
    <row r="2325" spans="1:23">
      <c r="A2325" t="str">
        <f>"600881"</f>
        <v>600881</v>
      </c>
      <c r="B2325" t="s">
        <v>5774</v>
      </c>
      <c r="C2325">
        <v>4.3099999999999996</v>
      </c>
      <c r="D2325">
        <v>4.49</v>
      </c>
      <c r="E2325">
        <v>4.25</v>
      </c>
      <c r="F2325">
        <v>4.41</v>
      </c>
      <c r="G2325">
        <v>374459</v>
      </c>
      <c r="H2325">
        <v>162649312</v>
      </c>
      <c r="I2325">
        <v>1.74</v>
      </c>
      <c r="J2325" t="s">
        <v>258</v>
      </c>
      <c r="K2325" t="s">
        <v>99</v>
      </c>
      <c r="L2325">
        <v>2.56</v>
      </c>
      <c r="M2325">
        <v>4.34</v>
      </c>
      <c r="N2325">
        <v>224915</v>
      </c>
      <c r="O2325">
        <v>149543</v>
      </c>
      <c r="P2325">
        <v>1.5</v>
      </c>
      <c r="Q2325">
        <v>32</v>
      </c>
      <c r="R2325">
        <v>6979</v>
      </c>
      <c r="S2325" t="s">
        <v>3</v>
      </c>
      <c r="T2325">
        <v>189473.2</v>
      </c>
      <c r="U2325" t="s">
        <v>1238</v>
      </c>
      <c r="V2325" t="s">
        <v>1238</v>
      </c>
      <c r="W2325">
        <v>2.5499999999999998</v>
      </c>
    </row>
    <row r="2326" spans="1:23">
      <c r="A2326" t="str">
        <f>"600882"</f>
        <v>600882</v>
      </c>
      <c r="B2326" t="s">
        <v>5775</v>
      </c>
      <c r="C2326">
        <v>8.5299999999999994</v>
      </c>
      <c r="D2326">
        <v>8.85</v>
      </c>
      <c r="E2326">
        <v>8.4600000000000009</v>
      </c>
      <c r="F2326">
        <v>8.74</v>
      </c>
      <c r="G2326">
        <v>235555</v>
      </c>
      <c r="H2326">
        <v>204593680</v>
      </c>
      <c r="I2326">
        <v>1.21</v>
      </c>
      <c r="J2326" t="s">
        <v>279</v>
      </c>
      <c r="K2326" t="s">
        <v>250</v>
      </c>
      <c r="L2326">
        <v>2.34</v>
      </c>
      <c r="M2326">
        <v>8.69</v>
      </c>
      <c r="N2326">
        <v>106956</v>
      </c>
      <c r="O2326">
        <v>128598</v>
      </c>
      <c r="P2326">
        <v>0.83</v>
      </c>
      <c r="Q2326">
        <v>945</v>
      </c>
      <c r="R2326">
        <v>58</v>
      </c>
      <c r="S2326" t="s">
        <v>3</v>
      </c>
      <c r="T2326">
        <v>28209.88</v>
      </c>
      <c r="U2326" t="s">
        <v>5776</v>
      </c>
      <c r="V2326" t="s">
        <v>2424</v>
      </c>
      <c r="W2326">
        <v>2.34</v>
      </c>
    </row>
    <row r="2327" spans="1:23">
      <c r="A2327" t="str">
        <f>"600883"</f>
        <v>600883</v>
      </c>
      <c r="B2327" t="s">
        <v>5777</v>
      </c>
      <c r="C2327">
        <v>8.3800000000000008</v>
      </c>
      <c r="D2327">
        <v>8.57</v>
      </c>
      <c r="E2327">
        <v>8.27</v>
      </c>
      <c r="F2327">
        <v>8.4600000000000009</v>
      </c>
      <c r="G2327">
        <v>39746</v>
      </c>
      <c r="H2327">
        <v>33569468</v>
      </c>
      <c r="I2327">
        <v>0.99</v>
      </c>
      <c r="J2327" t="s">
        <v>258</v>
      </c>
      <c r="K2327" t="s">
        <v>445</v>
      </c>
      <c r="L2327">
        <v>1.08</v>
      </c>
      <c r="M2327">
        <v>8.4499999999999993</v>
      </c>
      <c r="N2327">
        <v>18861</v>
      </c>
      <c r="O2327">
        <v>20884</v>
      </c>
      <c r="P2327">
        <v>0.9</v>
      </c>
      <c r="Q2327">
        <v>10</v>
      </c>
      <c r="R2327">
        <v>25</v>
      </c>
      <c r="S2327" t="s">
        <v>3</v>
      </c>
      <c r="T2327">
        <v>23608.799999999999</v>
      </c>
      <c r="U2327" t="s">
        <v>3152</v>
      </c>
      <c r="V2327" t="s">
        <v>3152</v>
      </c>
      <c r="W2327">
        <v>1.07</v>
      </c>
    </row>
    <row r="2328" spans="1:23">
      <c r="A2328" t="str">
        <f>"600884"</f>
        <v>600884</v>
      </c>
      <c r="B2328" t="s">
        <v>5778</v>
      </c>
      <c r="C2328">
        <v>19.2</v>
      </c>
      <c r="D2328">
        <v>19.93</v>
      </c>
      <c r="E2328">
        <v>19.2</v>
      </c>
      <c r="F2328">
        <v>19.8</v>
      </c>
      <c r="G2328">
        <v>116362</v>
      </c>
      <c r="H2328">
        <v>229383040</v>
      </c>
      <c r="I2328">
        <v>2.19</v>
      </c>
      <c r="J2328" t="s">
        <v>1373</v>
      </c>
      <c r="K2328" t="s">
        <v>229</v>
      </c>
      <c r="L2328">
        <v>3.23</v>
      </c>
      <c r="M2328">
        <v>19.71</v>
      </c>
      <c r="N2328">
        <v>49929</v>
      </c>
      <c r="O2328">
        <v>66432</v>
      </c>
      <c r="P2328">
        <v>0.75</v>
      </c>
      <c r="Q2328">
        <v>32</v>
      </c>
      <c r="R2328">
        <v>382</v>
      </c>
      <c r="S2328" t="s">
        <v>3</v>
      </c>
      <c r="T2328">
        <v>41085.82</v>
      </c>
      <c r="U2328" t="s">
        <v>5779</v>
      </c>
      <c r="V2328" t="s">
        <v>5779</v>
      </c>
      <c r="W2328">
        <v>3.23</v>
      </c>
    </row>
    <row r="2329" spans="1:23">
      <c r="A2329" t="str">
        <f>"600885"</f>
        <v>600885</v>
      </c>
      <c r="B2329" t="s">
        <v>5780</v>
      </c>
      <c r="C2329">
        <v>23.46</v>
      </c>
      <c r="D2329">
        <v>23.9</v>
      </c>
      <c r="E2329">
        <v>23.1</v>
      </c>
      <c r="F2329">
        <v>23.79</v>
      </c>
      <c r="G2329">
        <v>28299</v>
      </c>
      <c r="H2329">
        <v>66521244</v>
      </c>
      <c r="I2329">
        <v>1.1200000000000001</v>
      </c>
      <c r="J2329" t="s">
        <v>145</v>
      </c>
      <c r="K2329" t="s">
        <v>317</v>
      </c>
      <c r="L2329">
        <v>1.62</v>
      </c>
      <c r="M2329">
        <v>23.51</v>
      </c>
      <c r="N2329">
        <v>11526</v>
      </c>
      <c r="O2329">
        <v>16773</v>
      </c>
      <c r="P2329">
        <v>0.69</v>
      </c>
      <c r="Q2329">
        <v>0</v>
      </c>
      <c r="R2329">
        <v>202</v>
      </c>
      <c r="S2329" t="s">
        <v>3</v>
      </c>
      <c r="T2329">
        <v>23741.25</v>
      </c>
      <c r="U2329" t="s">
        <v>5781</v>
      </c>
      <c r="V2329" t="s">
        <v>5782</v>
      </c>
      <c r="W2329">
        <v>1.62</v>
      </c>
    </row>
    <row r="2330" spans="1:23">
      <c r="A2330" t="str">
        <f>"600886"</f>
        <v>600886</v>
      </c>
      <c r="B2330" t="s">
        <v>5783</v>
      </c>
      <c r="C2330">
        <v>6.43</v>
      </c>
      <c r="D2330">
        <v>6.51</v>
      </c>
      <c r="E2330">
        <v>6.42</v>
      </c>
      <c r="F2330">
        <v>6.45</v>
      </c>
      <c r="G2330">
        <v>415347</v>
      </c>
      <c r="H2330">
        <v>268198544</v>
      </c>
      <c r="I2330">
        <v>0.83</v>
      </c>
      <c r="J2330" t="s">
        <v>852</v>
      </c>
      <c r="K2330" t="s">
        <v>483</v>
      </c>
      <c r="L2330">
        <v>0.47</v>
      </c>
      <c r="M2330">
        <v>6.46</v>
      </c>
      <c r="N2330">
        <v>187107</v>
      </c>
      <c r="O2330">
        <v>228239</v>
      </c>
      <c r="P2330">
        <v>0.82</v>
      </c>
      <c r="Q2330">
        <v>672</v>
      </c>
      <c r="R2330">
        <v>11206</v>
      </c>
      <c r="S2330" t="s">
        <v>3</v>
      </c>
      <c r="T2330">
        <v>678602.31</v>
      </c>
      <c r="U2330" t="s">
        <v>5784</v>
      </c>
      <c r="V2330" t="s">
        <v>5784</v>
      </c>
      <c r="W2330">
        <v>0.46</v>
      </c>
    </row>
    <row r="2331" spans="1:23">
      <c r="A2331" t="str">
        <f>"600887"</f>
        <v>600887</v>
      </c>
      <c r="B2331" t="s">
        <v>5785</v>
      </c>
      <c r="C2331">
        <v>28.35</v>
      </c>
      <c r="D2331">
        <v>28.91</v>
      </c>
      <c r="E2331">
        <v>28.05</v>
      </c>
      <c r="F2331">
        <v>28.22</v>
      </c>
      <c r="G2331">
        <v>306760</v>
      </c>
      <c r="H2331">
        <v>873962240</v>
      </c>
      <c r="I2331">
        <v>1.04</v>
      </c>
      <c r="J2331" t="s">
        <v>2250</v>
      </c>
      <c r="K2331" t="s">
        <v>329</v>
      </c>
      <c r="L2331">
        <v>0.11</v>
      </c>
      <c r="M2331">
        <v>28.49</v>
      </c>
      <c r="N2331">
        <v>155906</v>
      </c>
      <c r="O2331">
        <v>150854</v>
      </c>
      <c r="P2331">
        <v>1.03</v>
      </c>
      <c r="Q2331">
        <v>75</v>
      </c>
      <c r="R2331">
        <v>145</v>
      </c>
      <c r="S2331" t="s">
        <v>3</v>
      </c>
      <c r="T2331">
        <v>300782.38</v>
      </c>
      <c r="U2331" t="s">
        <v>5786</v>
      </c>
      <c r="V2331" t="s">
        <v>5787</v>
      </c>
      <c r="W2331">
        <v>0.1</v>
      </c>
    </row>
    <row r="2332" spans="1:23">
      <c r="A2332" t="str">
        <f>"600888"</f>
        <v>600888</v>
      </c>
      <c r="B2332" t="s">
        <v>5788</v>
      </c>
      <c r="C2332">
        <v>7.39</v>
      </c>
      <c r="D2332">
        <v>7.39</v>
      </c>
      <c r="E2332">
        <v>7.11</v>
      </c>
      <c r="F2332">
        <v>7.19</v>
      </c>
      <c r="G2332">
        <v>166278</v>
      </c>
      <c r="H2332">
        <v>119456432</v>
      </c>
      <c r="I2332">
        <v>0.66</v>
      </c>
      <c r="J2332" t="s">
        <v>632</v>
      </c>
      <c r="K2332" t="s">
        <v>241</v>
      </c>
      <c r="L2332">
        <v>-1.91</v>
      </c>
      <c r="M2332">
        <v>7.18</v>
      </c>
      <c r="N2332">
        <v>97071</v>
      </c>
      <c r="O2332">
        <v>69207</v>
      </c>
      <c r="P2332">
        <v>1.4</v>
      </c>
      <c r="Q2332">
        <v>573</v>
      </c>
      <c r="R2332">
        <v>559</v>
      </c>
      <c r="S2332" t="s">
        <v>3</v>
      </c>
      <c r="T2332">
        <v>64122.58</v>
      </c>
      <c r="U2332" t="s">
        <v>5789</v>
      </c>
      <c r="V2332" t="s">
        <v>5789</v>
      </c>
      <c r="W2332">
        <v>-1.91</v>
      </c>
    </row>
    <row r="2333" spans="1:23">
      <c r="A2333" t="str">
        <f>"600889"</f>
        <v>600889</v>
      </c>
      <c r="B2333" t="s">
        <v>5790</v>
      </c>
      <c r="C2333">
        <v>7.21</v>
      </c>
      <c r="D2333">
        <v>7.23</v>
      </c>
      <c r="E2333">
        <v>7.06</v>
      </c>
      <c r="F2333">
        <v>7.19</v>
      </c>
      <c r="G2333">
        <v>75447</v>
      </c>
      <c r="H2333">
        <v>53887304</v>
      </c>
      <c r="I2333">
        <v>0.85</v>
      </c>
      <c r="J2333" t="s">
        <v>310</v>
      </c>
      <c r="K2333" t="s">
        <v>244</v>
      </c>
      <c r="L2333">
        <v>-0.28000000000000003</v>
      </c>
      <c r="M2333">
        <v>7.14</v>
      </c>
      <c r="N2333">
        <v>41457</v>
      </c>
      <c r="O2333">
        <v>33990</v>
      </c>
      <c r="P2333">
        <v>1.22</v>
      </c>
      <c r="Q2333">
        <v>429</v>
      </c>
      <c r="R2333">
        <v>412</v>
      </c>
      <c r="S2333" t="s">
        <v>3</v>
      </c>
      <c r="T2333">
        <v>30706.92</v>
      </c>
      <c r="U2333" t="s">
        <v>2885</v>
      </c>
      <c r="V2333" t="s">
        <v>2885</v>
      </c>
      <c r="W2333">
        <v>-0.28000000000000003</v>
      </c>
    </row>
    <row r="2334" spans="1:23">
      <c r="A2334" t="str">
        <f>"600890"</f>
        <v>600890</v>
      </c>
      <c r="B2334" t="s">
        <v>5791</v>
      </c>
      <c r="C2334">
        <v>7.39</v>
      </c>
      <c r="D2334">
        <v>7.39</v>
      </c>
      <c r="E2334">
        <v>7.17</v>
      </c>
      <c r="F2334">
        <v>7.3</v>
      </c>
      <c r="G2334">
        <v>37351</v>
      </c>
      <c r="H2334">
        <v>27026754</v>
      </c>
      <c r="I2334">
        <v>0.42</v>
      </c>
      <c r="J2334" t="s">
        <v>15</v>
      </c>
      <c r="K2334" t="s">
        <v>34</v>
      </c>
      <c r="L2334">
        <v>-0.14000000000000001</v>
      </c>
      <c r="M2334">
        <v>7.24</v>
      </c>
      <c r="N2334">
        <v>22006</v>
      </c>
      <c r="O2334">
        <v>15344</v>
      </c>
      <c r="P2334">
        <v>1.43</v>
      </c>
      <c r="Q2334">
        <v>12</v>
      </c>
      <c r="R2334">
        <v>188</v>
      </c>
      <c r="S2334" t="s">
        <v>3</v>
      </c>
      <c r="T2334">
        <v>57919.48</v>
      </c>
      <c r="U2334" t="s">
        <v>5792</v>
      </c>
      <c r="V2334" t="s">
        <v>5792</v>
      </c>
      <c r="W2334">
        <v>-0.14000000000000001</v>
      </c>
    </row>
    <row r="2335" spans="1:23">
      <c r="A2335" t="str">
        <f>"600891"</f>
        <v>600891</v>
      </c>
      <c r="B2335" t="s">
        <v>5793</v>
      </c>
      <c r="C2335" t="s">
        <v>3</v>
      </c>
      <c r="D2335" t="s">
        <v>3</v>
      </c>
      <c r="E2335" t="s">
        <v>3</v>
      </c>
      <c r="F2335">
        <v>5.73</v>
      </c>
      <c r="G2335">
        <v>0</v>
      </c>
      <c r="H2335">
        <v>0</v>
      </c>
      <c r="I2335">
        <v>0</v>
      </c>
      <c r="J2335" t="s">
        <v>297</v>
      </c>
      <c r="K2335" t="s">
        <v>565</v>
      </c>
      <c r="L2335">
        <v>0</v>
      </c>
      <c r="M2335">
        <v>5.73</v>
      </c>
      <c r="N2335">
        <v>0</v>
      </c>
      <c r="O2335">
        <v>0</v>
      </c>
      <c r="P2335" t="s">
        <v>3</v>
      </c>
      <c r="Q2335">
        <v>0</v>
      </c>
      <c r="R2335">
        <v>0</v>
      </c>
      <c r="S2335" t="s">
        <v>3</v>
      </c>
      <c r="T2335">
        <v>32389.78</v>
      </c>
      <c r="U2335" t="s">
        <v>5794</v>
      </c>
      <c r="V2335" t="s">
        <v>2102</v>
      </c>
      <c r="W2335">
        <v>0</v>
      </c>
    </row>
    <row r="2336" spans="1:23">
      <c r="A2336" t="str">
        <f>"600892"</f>
        <v>600892</v>
      </c>
      <c r="B2336" t="s">
        <v>5795</v>
      </c>
      <c r="C2336">
        <v>21.27</v>
      </c>
      <c r="D2336">
        <v>21.7</v>
      </c>
      <c r="E2336">
        <v>21.02</v>
      </c>
      <c r="F2336">
        <v>21.35</v>
      </c>
      <c r="G2336">
        <v>13447</v>
      </c>
      <c r="H2336">
        <v>28671766</v>
      </c>
      <c r="I2336">
        <v>0.73</v>
      </c>
      <c r="J2336" t="s">
        <v>26</v>
      </c>
      <c r="K2336" t="s">
        <v>2</v>
      </c>
      <c r="L2336">
        <v>0.47</v>
      </c>
      <c r="M2336">
        <v>21.32</v>
      </c>
      <c r="N2336">
        <v>8042</v>
      </c>
      <c r="O2336">
        <v>5404</v>
      </c>
      <c r="P2336">
        <v>1.49</v>
      </c>
      <c r="Q2336">
        <v>5</v>
      </c>
      <c r="R2336">
        <v>2</v>
      </c>
      <c r="S2336" t="s">
        <v>3</v>
      </c>
      <c r="T2336">
        <v>6282.31</v>
      </c>
      <c r="U2336" t="s">
        <v>5796</v>
      </c>
      <c r="V2336" t="s">
        <v>5797</v>
      </c>
      <c r="W2336">
        <v>0.47</v>
      </c>
    </row>
    <row r="2337" spans="1:23">
      <c r="A2337" t="str">
        <f>"600893"</f>
        <v>600893</v>
      </c>
      <c r="B2337" t="s">
        <v>5798</v>
      </c>
      <c r="C2337">
        <v>29.65</v>
      </c>
      <c r="D2337">
        <v>30.1</v>
      </c>
      <c r="E2337">
        <v>29.62</v>
      </c>
      <c r="F2337">
        <v>29.98</v>
      </c>
      <c r="G2337">
        <v>191185</v>
      </c>
      <c r="H2337">
        <v>572288320</v>
      </c>
      <c r="I2337">
        <v>0.69</v>
      </c>
      <c r="J2337" t="s">
        <v>892</v>
      </c>
      <c r="K2337" t="s">
        <v>389</v>
      </c>
      <c r="L2337">
        <v>0.33</v>
      </c>
      <c r="M2337">
        <v>29.93</v>
      </c>
      <c r="N2337">
        <v>95419</v>
      </c>
      <c r="O2337">
        <v>95765</v>
      </c>
      <c r="P2337">
        <v>1</v>
      </c>
      <c r="Q2337">
        <v>1107</v>
      </c>
      <c r="R2337">
        <v>281</v>
      </c>
      <c r="S2337" t="s">
        <v>3</v>
      </c>
      <c r="T2337">
        <v>108622.39</v>
      </c>
      <c r="U2337" t="s">
        <v>5799</v>
      </c>
      <c r="V2337" t="s">
        <v>5800</v>
      </c>
      <c r="W2337">
        <v>0.33</v>
      </c>
    </row>
    <row r="2338" spans="1:23">
      <c r="A2338" t="str">
        <f>"600894"</f>
        <v>600894</v>
      </c>
      <c r="B2338" t="s">
        <v>5801</v>
      </c>
      <c r="C2338">
        <v>13.74</v>
      </c>
      <c r="D2338">
        <v>13.79</v>
      </c>
      <c r="E2338">
        <v>13.5</v>
      </c>
      <c r="F2338">
        <v>13.62</v>
      </c>
      <c r="G2338">
        <v>30802</v>
      </c>
      <c r="H2338">
        <v>41931140</v>
      </c>
      <c r="I2338">
        <v>0.79</v>
      </c>
      <c r="J2338" t="s">
        <v>1208</v>
      </c>
      <c r="K2338" t="s">
        <v>211</v>
      </c>
      <c r="L2338">
        <v>-0.87</v>
      </c>
      <c r="M2338">
        <v>13.61</v>
      </c>
      <c r="N2338">
        <v>14185</v>
      </c>
      <c r="O2338">
        <v>16616</v>
      </c>
      <c r="P2338">
        <v>0.85</v>
      </c>
      <c r="Q2338">
        <v>203</v>
      </c>
      <c r="R2338">
        <v>237</v>
      </c>
      <c r="S2338" t="s">
        <v>3</v>
      </c>
      <c r="T2338">
        <v>77693.240000000005</v>
      </c>
      <c r="U2338" t="s">
        <v>5802</v>
      </c>
      <c r="V2338" t="s">
        <v>5803</v>
      </c>
      <c r="W2338">
        <v>-0.88</v>
      </c>
    </row>
    <row r="2339" spans="1:23">
      <c r="A2339" t="str">
        <f>"600895"</f>
        <v>600895</v>
      </c>
      <c r="B2339" t="s">
        <v>5804</v>
      </c>
      <c r="C2339">
        <v>7.53</v>
      </c>
      <c r="D2339">
        <v>7.57</v>
      </c>
      <c r="E2339">
        <v>7.44</v>
      </c>
      <c r="F2339">
        <v>7.5</v>
      </c>
      <c r="G2339">
        <v>100236</v>
      </c>
      <c r="H2339">
        <v>75078480</v>
      </c>
      <c r="I2339">
        <v>0.75</v>
      </c>
      <c r="J2339" t="s">
        <v>663</v>
      </c>
      <c r="K2339" t="s">
        <v>727</v>
      </c>
      <c r="L2339">
        <v>-0.4</v>
      </c>
      <c r="M2339">
        <v>7.49</v>
      </c>
      <c r="N2339">
        <v>51144</v>
      </c>
      <c r="O2339">
        <v>49092</v>
      </c>
      <c r="P2339">
        <v>1.04</v>
      </c>
      <c r="Q2339">
        <v>276</v>
      </c>
      <c r="R2339">
        <v>1778</v>
      </c>
      <c r="S2339" t="s">
        <v>3</v>
      </c>
      <c r="T2339">
        <v>154868.95000000001</v>
      </c>
      <c r="U2339" t="s">
        <v>5805</v>
      </c>
      <c r="V2339" t="s">
        <v>5805</v>
      </c>
      <c r="W2339">
        <v>-0.4</v>
      </c>
    </row>
    <row r="2340" spans="1:23">
      <c r="A2340" t="str">
        <f>"600896"</f>
        <v>600896</v>
      </c>
      <c r="B2340" t="s">
        <v>5806</v>
      </c>
      <c r="C2340">
        <v>4.16</v>
      </c>
      <c r="D2340">
        <v>4.2</v>
      </c>
      <c r="E2340">
        <v>4.12</v>
      </c>
      <c r="F2340">
        <v>4.17</v>
      </c>
      <c r="G2340">
        <v>106237</v>
      </c>
      <c r="H2340">
        <v>44220184</v>
      </c>
      <c r="I2340">
        <v>0.67</v>
      </c>
      <c r="J2340" t="s">
        <v>2226</v>
      </c>
      <c r="K2340" t="s">
        <v>356</v>
      </c>
      <c r="L2340">
        <v>0.24</v>
      </c>
      <c r="M2340">
        <v>4.16</v>
      </c>
      <c r="N2340">
        <v>61601</v>
      </c>
      <c r="O2340">
        <v>44636</v>
      </c>
      <c r="P2340">
        <v>1.38</v>
      </c>
      <c r="Q2340">
        <v>500</v>
      </c>
      <c r="R2340">
        <v>631</v>
      </c>
      <c r="S2340" t="s">
        <v>3</v>
      </c>
      <c r="T2340">
        <v>58131.57</v>
      </c>
      <c r="U2340" t="s">
        <v>3742</v>
      </c>
      <c r="V2340" t="s">
        <v>3742</v>
      </c>
      <c r="W2340">
        <v>0.24</v>
      </c>
    </row>
    <row r="2341" spans="1:23">
      <c r="A2341" t="str">
        <f>"600897"</f>
        <v>600897</v>
      </c>
      <c r="B2341" t="s">
        <v>5807</v>
      </c>
      <c r="C2341">
        <v>16.920000000000002</v>
      </c>
      <c r="D2341">
        <v>17.18</v>
      </c>
      <c r="E2341">
        <v>16.600000000000001</v>
      </c>
      <c r="F2341">
        <v>17.07</v>
      </c>
      <c r="G2341">
        <v>53333</v>
      </c>
      <c r="H2341">
        <v>89695272</v>
      </c>
      <c r="I2341">
        <v>1.45</v>
      </c>
      <c r="J2341" t="s">
        <v>198</v>
      </c>
      <c r="K2341" t="s">
        <v>414</v>
      </c>
      <c r="L2341">
        <v>0.95</v>
      </c>
      <c r="M2341">
        <v>16.82</v>
      </c>
      <c r="N2341">
        <v>32024</v>
      </c>
      <c r="O2341">
        <v>21309</v>
      </c>
      <c r="P2341">
        <v>1.5</v>
      </c>
      <c r="Q2341">
        <v>40</v>
      </c>
      <c r="R2341">
        <v>73</v>
      </c>
      <c r="S2341" t="s">
        <v>3</v>
      </c>
      <c r="T2341">
        <v>29781</v>
      </c>
      <c r="U2341" t="s">
        <v>5269</v>
      </c>
      <c r="V2341" t="s">
        <v>5269</v>
      </c>
      <c r="W2341">
        <v>0.94</v>
      </c>
    </row>
    <row r="2342" spans="1:23">
      <c r="A2342" t="str">
        <f>"600898"</f>
        <v>600898</v>
      </c>
      <c r="B2342" t="s">
        <v>5808</v>
      </c>
      <c r="C2342">
        <v>7.13</v>
      </c>
      <c r="D2342">
        <v>7.16</v>
      </c>
      <c r="E2342">
        <v>7</v>
      </c>
      <c r="F2342">
        <v>7.14</v>
      </c>
      <c r="G2342">
        <v>48158</v>
      </c>
      <c r="H2342">
        <v>34079308</v>
      </c>
      <c r="I2342">
        <v>1.0900000000000001</v>
      </c>
      <c r="J2342" t="s">
        <v>1431</v>
      </c>
      <c r="K2342" t="s">
        <v>250</v>
      </c>
      <c r="L2342">
        <v>0</v>
      </c>
      <c r="M2342">
        <v>7.08</v>
      </c>
      <c r="N2342">
        <v>28049</v>
      </c>
      <c r="O2342">
        <v>20109</v>
      </c>
      <c r="P2342">
        <v>1.39</v>
      </c>
      <c r="Q2342">
        <v>164</v>
      </c>
      <c r="R2342">
        <v>427</v>
      </c>
      <c r="S2342" t="s">
        <v>3</v>
      </c>
      <c r="T2342">
        <v>25252.38</v>
      </c>
      <c r="U2342" t="s">
        <v>5809</v>
      </c>
      <c r="V2342" t="s">
        <v>5809</v>
      </c>
      <c r="W2342">
        <v>0</v>
      </c>
    </row>
    <row r="2343" spans="1:23">
      <c r="A2343" t="str">
        <f>"600900"</f>
        <v>600900</v>
      </c>
      <c r="B2343" t="s">
        <v>5810</v>
      </c>
      <c r="C2343">
        <v>7.68</v>
      </c>
      <c r="D2343">
        <v>7.78</v>
      </c>
      <c r="E2343">
        <v>7.53</v>
      </c>
      <c r="F2343">
        <v>7.58</v>
      </c>
      <c r="G2343">
        <v>246976</v>
      </c>
      <c r="H2343">
        <v>188568656</v>
      </c>
      <c r="I2343">
        <v>0.9</v>
      </c>
      <c r="J2343" t="s">
        <v>852</v>
      </c>
      <c r="K2343" t="s">
        <v>34</v>
      </c>
      <c r="L2343">
        <v>-1.04</v>
      </c>
      <c r="M2343">
        <v>7.64</v>
      </c>
      <c r="N2343">
        <v>139097</v>
      </c>
      <c r="O2343">
        <v>107878</v>
      </c>
      <c r="P2343">
        <v>1.29</v>
      </c>
      <c r="Q2343">
        <v>1139</v>
      </c>
      <c r="R2343">
        <v>1423</v>
      </c>
      <c r="S2343" t="s">
        <v>3</v>
      </c>
      <c r="T2343">
        <v>974594.13</v>
      </c>
      <c r="U2343" t="s">
        <v>5811</v>
      </c>
      <c r="V2343" t="s">
        <v>5812</v>
      </c>
      <c r="W2343">
        <v>-1.05</v>
      </c>
    </row>
    <row r="2344" spans="1:23">
      <c r="A2344" t="str">
        <f>"600960"</f>
        <v>600960</v>
      </c>
      <c r="B2344" t="s">
        <v>5813</v>
      </c>
      <c r="C2344">
        <v>12.02</v>
      </c>
      <c r="D2344">
        <v>12.02</v>
      </c>
      <c r="E2344">
        <v>11.65</v>
      </c>
      <c r="F2344">
        <v>11.71</v>
      </c>
      <c r="G2344">
        <v>37301</v>
      </c>
      <c r="H2344">
        <v>43841324</v>
      </c>
      <c r="I2344">
        <v>1.05</v>
      </c>
      <c r="J2344" t="s">
        <v>98</v>
      </c>
      <c r="K2344" t="s">
        <v>250</v>
      </c>
      <c r="L2344">
        <v>-2.58</v>
      </c>
      <c r="M2344">
        <v>11.75</v>
      </c>
      <c r="N2344">
        <v>23315</v>
      </c>
      <c r="O2344">
        <v>13985</v>
      </c>
      <c r="P2344">
        <v>1.67</v>
      </c>
      <c r="Q2344">
        <v>338</v>
      </c>
      <c r="R2344">
        <v>50</v>
      </c>
      <c r="S2344" t="s">
        <v>3</v>
      </c>
      <c r="T2344">
        <v>21167.05</v>
      </c>
      <c r="U2344" t="s">
        <v>887</v>
      </c>
      <c r="V2344" t="s">
        <v>1326</v>
      </c>
      <c r="W2344">
        <v>-2.58</v>
      </c>
    </row>
    <row r="2345" spans="1:23">
      <c r="A2345" t="str">
        <f>"600961"</f>
        <v>600961</v>
      </c>
      <c r="B2345" t="s">
        <v>5814</v>
      </c>
      <c r="C2345">
        <v>9.74</v>
      </c>
      <c r="D2345">
        <v>9.74</v>
      </c>
      <c r="E2345">
        <v>9.4700000000000006</v>
      </c>
      <c r="F2345">
        <v>9.52</v>
      </c>
      <c r="G2345">
        <v>55941</v>
      </c>
      <c r="H2345">
        <v>53422028</v>
      </c>
      <c r="I2345">
        <v>0.98</v>
      </c>
      <c r="J2345" t="s">
        <v>165</v>
      </c>
      <c r="K2345" t="s">
        <v>234</v>
      </c>
      <c r="L2345">
        <v>-2.06</v>
      </c>
      <c r="M2345">
        <v>9.5500000000000007</v>
      </c>
      <c r="N2345">
        <v>33473</v>
      </c>
      <c r="O2345">
        <v>22467</v>
      </c>
      <c r="P2345">
        <v>1.49</v>
      </c>
      <c r="Q2345">
        <v>174</v>
      </c>
      <c r="R2345">
        <v>157</v>
      </c>
      <c r="S2345" t="s">
        <v>3</v>
      </c>
      <c r="T2345">
        <v>52745.78</v>
      </c>
      <c r="U2345" t="s">
        <v>5815</v>
      </c>
      <c r="V2345" t="s">
        <v>5815</v>
      </c>
      <c r="W2345">
        <v>-2.06</v>
      </c>
    </row>
    <row r="2346" spans="1:23">
      <c r="A2346" t="str">
        <f>"600962"</f>
        <v>600962</v>
      </c>
      <c r="B2346" t="s">
        <v>5816</v>
      </c>
      <c r="C2346" t="s">
        <v>3</v>
      </c>
      <c r="D2346" t="s">
        <v>3</v>
      </c>
      <c r="E2346" t="s">
        <v>3</v>
      </c>
      <c r="F2346">
        <v>7.38</v>
      </c>
      <c r="G2346">
        <v>0</v>
      </c>
      <c r="H2346">
        <v>0</v>
      </c>
      <c r="I2346">
        <v>0</v>
      </c>
      <c r="J2346" t="s">
        <v>59</v>
      </c>
      <c r="K2346" t="s">
        <v>34</v>
      </c>
      <c r="L2346">
        <v>0</v>
      </c>
      <c r="M2346">
        <v>7.38</v>
      </c>
      <c r="N2346">
        <v>0</v>
      </c>
      <c r="O2346">
        <v>0</v>
      </c>
      <c r="P2346" t="s">
        <v>3</v>
      </c>
      <c r="Q2346">
        <v>0</v>
      </c>
      <c r="R2346">
        <v>0</v>
      </c>
      <c r="S2346" t="s">
        <v>3</v>
      </c>
      <c r="T2346">
        <v>25402</v>
      </c>
      <c r="U2346" t="s">
        <v>1068</v>
      </c>
      <c r="V2346" t="s">
        <v>3339</v>
      </c>
      <c r="W2346">
        <v>0</v>
      </c>
    </row>
    <row r="2347" spans="1:23">
      <c r="A2347" t="str">
        <f>"600963"</f>
        <v>600963</v>
      </c>
      <c r="B2347" t="s">
        <v>5817</v>
      </c>
      <c r="C2347">
        <v>4.96</v>
      </c>
      <c r="D2347">
        <v>5.05</v>
      </c>
      <c r="E2347">
        <v>4.8499999999999996</v>
      </c>
      <c r="F2347">
        <v>4.96</v>
      </c>
      <c r="G2347">
        <v>299612</v>
      </c>
      <c r="H2347">
        <v>148223360</v>
      </c>
      <c r="I2347">
        <v>1.3</v>
      </c>
      <c r="J2347" t="s">
        <v>343</v>
      </c>
      <c r="K2347" t="s">
        <v>234</v>
      </c>
      <c r="L2347">
        <v>0.2</v>
      </c>
      <c r="M2347">
        <v>4.95</v>
      </c>
      <c r="N2347">
        <v>185604</v>
      </c>
      <c r="O2347">
        <v>114008</v>
      </c>
      <c r="P2347">
        <v>1.63</v>
      </c>
      <c r="Q2347">
        <v>1367</v>
      </c>
      <c r="R2347">
        <v>182</v>
      </c>
      <c r="S2347" t="s">
        <v>3</v>
      </c>
      <c r="T2347">
        <v>84315.9</v>
      </c>
      <c r="U2347" t="s">
        <v>5818</v>
      </c>
      <c r="V2347" t="s">
        <v>5819</v>
      </c>
      <c r="W2347">
        <v>0.2</v>
      </c>
    </row>
    <row r="2348" spans="1:23">
      <c r="A2348" t="str">
        <f>"600965"</f>
        <v>600965</v>
      </c>
      <c r="B2348" t="s">
        <v>5820</v>
      </c>
      <c r="C2348" t="s">
        <v>3</v>
      </c>
      <c r="D2348" t="s">
        <v>3</v>
      </c>
      <c r="E2348" t="s">
        <v>3</v>
      </c>
      <c r="F2348">
        <v>5.47</v>
      </c>
      <c r="G2348">
        <v>0</v>
      </c>
      <c r="H2348">
        <v>0</v>
      </c>
      <c r="I2348">
        <v>0</v>
      </c>
      <c r="J2348" t="s">
        <v>169</v>
      </c>
      <c r="K2348" t="s">
        <v>238</v>
      </c>
      <c r="L2348">
        <v>0</v>
      </c>
      <c r="M2348">
        <v>5.47</v>
      </c>
      <c r="N2348">
        <v>0</v>
      </c>
      <c r="O2348">
        <v>0</v>
      </c>
      <c r="P2348" t="s">
        <v>3</v>
      </c>
      <c r="Q2348">
        <v>0</v>
      </c>
      <c r="R2348">
        <v>0</v>
      </c>
      <c r="S2348" t="s">
        <v>3</v>
      </c>
      <c r="T2348">
        <v>36322.42</v>
      </c>
      <c r="U2348" t="s">
        <v>2993</v>
      </c>
      <c r="V2348" t="s">
        <v>5821</v>
      </c>
      <c r="W2348">
        <v>0</v>
      </c>
    </row>
    <row r="2349" spans="1:23">
      <c r="A2349" t="str">
        <f>"600966"</f>
        <v>600966</v>
      </c>
      <c r="B2349" t="s">
        <v>5822</v>
      </c>
      <c r="C2349">
        <v>6.08</v>
      </c>
      <c r="D2349">
        <v>6.1</v>
      </c>
      <c r="E2349">
        <v>6.05</v>
      </c>
      <c r="F2349">
        <v>6.07</v>
      </c>
      <c r="G2349">
        <v>103242</v>
      </c>
      <c r="H2349">
        <v>62640632</v>
      </c>
      <c r="I2349">
        <v>0.69</v>
      </c>
      <c r="J2349" t="s">
        <v>343</v>
      </c>
      <c r="K2349" t="s">
        <v>250</v>
      </c>
      <c r="L2349">
        <v>0</v>
      </c>
      <c r="M2349">
        <v>6.07</v>
      </c>
      <c r="N2349">
        <v>63580</v>
      </c>
      <c r="O2349">
        <v>39661</v>
      </c>
      <c r="P2349">
        <v>1.6</v>
      </c>
      <c r="Q2349">
        <v>614</v>
      </c>
      <c r="R2349">
        <v>5</v>
      </c>
      <c r="S2349" t="s">
        <v>3</v>
      </c>
      <c r="T2349">
        <v>60799.55</v>
      </c>
      <c r="U2349" t="s">
        <v>5823</v>
      </c>
      <c r="V2349" t="s">
        <v>5823</v>
      </c>
      <c r="W2349">
        <v>0</v>
      </c>
    </row>
    <row r="2350" spans="1:23">
      <c r="A2350" t="str">
        <f>"600967"</f>
        <v>600967</v>
      </c>
      <c r="B2350" t="s">
        <v>5824</v>
      </c>
      <c r="C2350">
        <v>17.2</v>
      </c>
      <c r="D2350">
        <v>17.21</v>
      </c>
      <c r="E2350">
        <v>16.649999999999999</v>
      </c>
      <c r="F2350">
        <v>16.84</v>
      </c>
      <c r="G2350">
        <v>219484</v>
      </c>
      <c r="H2350">
        <v>370699232</v>
      </c>
      <c r="I2350">
        <v>1.19</v>
      </c>
      <c r="J2350" t="s">
        <v>1208</v>
      </c>
      <c r="K2350" t="s">
        <v>329</v>
      </c>
      <c r="L2350">
        <v>-2.15</v>
      </c>
      <c r="M2350">
        <v>16.89</v>
      </c>
      <c r="N2350">
        <v>114305</v>
      </c>
      <c r="O2350">
        <v>105178</v>
      </c>
      <c r="P2350">
        <v>1.0900000000000001</v>
      </c>
      <c r="Q2350">
        <v>223</v>
      </c>
      <c r="R2350">
        <v>353</v>
      </c>
      <c r="S2350" t="s">
        <v>3</v>
      </c>
      <c r="T2350">
        <v>77302.789999999994</v>
      </c>
      <c r="U2350" t="s">
        <v>5825</v>
      </c>
      <c r="V2350" t="s">
        <v>5826</v>
      </c>
      <c r="W2350">
        <v>-2.15</v>
      </c>
    </row>
    <row r="2351" spans="1:23">
      <c r="A2351" t="str">
        <f>"600969"</f>
        <v>600969</v>
      </c>
      <c r="B2351" t="s">
        <v>5827</v>
      </c>
      <c r="C2351">
        <v>14.25</v>
      </c>
      <c r="D2351">
        <v>14.3</v>
      </c>
      <c r="E2351">
        <v>14.02</v>
      </c>
      <c r="F2351">
        <v>14.13</v>
      </c>
      <c r="G2351">
        <v>45679</v>
      </c>
      <c r="H2351">
        <v>64517868</v>
      </c>
      <c r="I2351">
        <v>0.94</v>
      </c>
      <c r="J2351" t="s">
        <v>852</v>
      </c>
      <c r="K2351" t="s">
        <v>234</v>
      </c>
      <c r="L2351">
        <v>-0.7</v>
      </c>
      <c r="M2351">
        <v>14.12</v>
      </c>
      <c r="N2351">
        <v>27001</v>
      </c>
      <c r="O2351">
        <v>18678</v>
      </c>
      <c r="P2351">
        <v>1.45</v>
      </c>
      <c r="Q2351">
        <v>140</v>
      </c>
      <c r="R2351">
        <v>23</v>
      </c>
      <c r="S2351" t="s">
        <v>3</v>
      </c>
      <c r="T2351">
        <v>21026.76</v>
      </c>
      <c r="U2351" t="s">
        <v>5828</v>
      </c>
      <c r="V2351" t="s">
        <v>5828</v>
      </c>
      <c r="W2351">
        <v>-0.71</v>
      </c>
    </row>
    <row r="2352" spans="1:23">
      <c r="A2352" t="str">
        <f>"600970"</f>
        <v>600970</v>
      </c>
      <c r="B2352" t="s">
        <v>5829</v>
      </c>
      <c r="C2352">
        <v>7.81</v>
      </c>
      <c r="D2352">
        <v>7.89</v>
      </c>
      <c r="E2352">
        <v>7.79</v>
      </c>
      <c r="F2352">
        <v>7.84</v>
      </c>
      <c r="G2352">
        <v>121549</v>
      </c>
      <c r="H2352">
        <v>95255384</v>
      </c>
      <c r="I2352">
        <v>1.1100000000000001</v>
      </c>
      <c r="J2352" t="s">
        <v>33</v>
      </c>
      <c r="K2352" t="s">
        <v>244</v>
      </c>
      <c r="L2352">
        <v>0.51</v>
      </c>
      <c r="M2352">
        <v>7.84</v>
      </c>
      <c r="N2352">
        <v>67367</v>
      </c>
      <c r="O2352">
        <v>54182</v>
      </c>
      <c r="P2352">
        <v>1.24</v>
      </c>
      <c r="Q2352">
        <v>81</v>
      </c>
      <c r="R2352">
        <v>715</v>
      </c>
      <c r="S2352" t="s">
        <v>3</v>
      </c>
      <c r="T2352">
        <v>109329.72</v>
      </c>
      <c r="U2352" t="s">
        <v>5830</v>
      </c>
      <c r="V2352" t="s">
        <v>5830</v>
      </c>
      <c r="W2352">
        <v>0.51</v>
      </c>
    </row>
    <row r="2353" spans="1:23">
      <c r="A2353" t="str">
        <f>"600971"</f>
        <v>600971</v>
      </c>
      <c r="B2353" t="s">
        <v>5831</v>
      </c>
      <c r="C2353">
        <v>6.32</v>
      </c>
      <c r="D2353">
        <v>6.43</v>
      </c>
      <c r="E2353">
        <v>6.23</v>
      </c>
      <c r="F2353">
        <v>6.32</v>
      </c>
      <c r="G2353">
        <v>133946</v>
      </c>
      <c r="H2353">
        <v>84562088</v>
      </c>
      <c r="I2353">
        <v>1.43</v>
      </c>
      <c r="J2353" t="s">
        <v>482</v>
      </c>
      <c r="K2353" t="s">
        <v>220</v>
      </c>
      <c r="L2353">
        <v>0</v>
      </c>
      <c r="M2353">
        <v>6.31</v>
      </c>
      <c r="N2353">
        <v>65259</v>
      </c>
      <c r="O2353">
        <v>68686</v>
      </c>
      <c r="P2353">
        <v>0.95</v>
      </c>
      <c r="Q2353">
        <v>578</v>
      </c>
      <c r="R2353">
        <v>924</v>
      </c>
      <c r="S2353" t="s">
        <v>3</v>
      </c>
      <c r="T2353">
        <v>100000.4</v>
      </c>
      <c r="U2353" t="s">
        <v>5832</v>
      </c>
      <c r="V2353" t="s">
        <v>5832</v>
      </c>
      <c r="W2353">
        <v>0</v>
      </c>
    </row>
    <row r="2354" spans="1:23">
      <c r="A2354" t="str">
        <f>"600973"</f>
        <v>600973</v>
      </c>
      <c r="B2354" t="s">
        <v>5833</v>
      </c>
      <c r="C2354" t="s">
        <v>3</v>
      </c>
      <c r="D2354" t="s">
        <v>3</v>
      </c>
      <c r="E2354" t="s">
        <v>3</v>
      </c>
      <c r="F2354">
        <v>8.1</v>
      </c>
      <c r="G2354">
        <v>0</v>
      </c>
      <c r="H2354">
        <v>0</v>
      </c>
      <c r="I2354">
        <v>0</v>
      </c>
      <c r="J2354" t="s">
        <v>145</v>
      </c>
      <c r="K2354" t="s">
        <v>244</v>
      </c>
      <c r="L2354">
        <v>0</v>
      </c>
      <c r="M2354">
        <v>8.1</v>
      </c>
      <c r="N2354">
        <v>0</v>
      </c>
      <c r="O2354">
        <v>0</v>
      </c>
      <c r="P2354" t="s">
        <v>3</v>
      </c>
      <c r="Q2354">
        <v>0</v>
      </c>
      <c r="R2354">
        <v>0</v>
      </c>
      <c r="S2354" t="s">
        <v>3</v>
      </c>
      <c r="T2354">
        <v>41138.75</v>
      </c>
      <c r="U2354" t="s">
        <v>3131</v>
      </c>
      <c r="V2354" t="s">
        <v>3131</v>
      </c>
      <c r="W2354">
        <v>0</v>
      </c>
    </row>
    <row r="2355" spans="1:23">
      <c r="A2355" t="str">
        <f>"600975"</f>
        <v>600975</v>
      </c>
      <c r="B2355" t="s">
        <v>5834</v>
      </c>
      <c r="C2355">
        <v>7.69</v>
      </c>
      <c r="D2355">
        <v>7.75</v>
      </c>
      <c r="E2355">
        <v>7.66</v>
      </c>
      <c r="F2355">
        <v>7.74</v>
      </c>
      <c r="G2355">
        <v>35110</v>
      </c>
      <c r="H2355">
        <v>27054552</v>
      </c>
      <c r="I2355">
        <v>0.74</v>
      </c>
      <c r="J2355" t="s">
        <v>169</v>
      </c>
      <c r="K2355" t="s">
        <v>234</v>
      </c>
      <c r="L2355">
        <v>0.39</v>
      </c>
      <c r="M2355">
        <v>7.71</v>
      </c>
      <c r="N2355">
        <v>16251</v>
      </c>
      <c r="O2355">
        <v>18859</v>
      </c>
      <c r="P2355">
        <v>0.86</v>
      </c>
      <c r="Q2355">
        <v>349</v>
      </c>
      <c r="R2355">
        <v>85</v>
      </c>
      <c r="S2355" t="s">
        <v>3</v>
      </c>
      <c r="T2355">
        <v>23436</v>
      </c>
      <c r="U2355" t="s">
        <v>3636</v>
      </c>
      <c r="V2355" t="s">
        <v>3636</v>
      </c>
      <c r="W2355">
        <v>0.38</v>
      </c>
    </row>
    <row r="2356" spans="1:23">
      <c r="A2356" t="str">
        <f>"600976"</f>
        <v>600976</v>
      </c>
      <c r="B2356" t="s">
        <v>5835</v>
      </c>
      <c r="C2356">
        <v>25.58</v>
      </c>
      <c r="D2356">
        <v>25.6</v>
      </c>
      <c r="E2356">
        <v>25.31</v>
      </c>
      <c r="F2356">
        <v>25.42</v>
      </c>
      <c r="G2356">
        <v>28632</v>
      </c>
      <c r="H2356">
        <v>72950080</v>
      </c>
      <c r="I2356">
        <v>1.1599999999999999</v>
      </c>
      <c r="J2356" t="s">
        <v>321</v>
      </c>
      <c r="K2356" t="s">
        <v>317</v>
      </c>
      <c r="L2356">
        <v>-0.63</v>
      </c>
      <c r="M2356">
        <v>25.48</v>
      </c>
      <c r="N2356">
        <v>16574</v>
      </c>
      <c r="O2356">
        <v>12057</v>
      </c>
      <c r="P2356">
        <v>1.37</v>
      </c>
      <c r="Q2356">
        <v>97</v>
      </c>
      <c r="R2356">
        <v>21</v>
      </c>
      <c r="S2356" t="s">
        <v>3</v>
      </c>
      <c r="T2356">
        <v>15329.86</v>
      </c>
      <c r="U2356" t="s">
        <v>5836</v>
      </c>
      <c r="V2356" t="s">
        <v>5837</v>
      </c>
      <c r="W2356">
        <v>-0.63</v>
      </c>
    </row>
    <row r="2357" spans="1:23">
      <c r="A2357" t="str">
        <f>"600978"</f>
        <v>600978</v>
      </c>
      <c r="B2357" t="s">
        <v>5838</v>
      </c>
      <c r="C2357" t="s">
        <v>3</v>
      </c>
      <c r="D2357" t="s">
        <v>3</v>
      </c>
      <c r="E2357" t="s">
        <v>3</v>
      </c>
      <c r="F2357">
        <v>5.13</v>
      </c>
      <c r="G2357">
        <v>0</v>
      </c>
      <c r="H2357">
        <v>0</v>
      </c>
      <c r="I2357">
        <v>0</v>
      </c>
      <c r="J2357" t="s">
        <v>1183</v>
      </c>
      <c r="K2357" t="s">
        <v>211</v>
      </c>
      <c r="L2357">
        <v>0</v>
      </c>
      <c r="M2357">
        <v>5.13</v>
      </c>
      <c r="N2357">
        <v>0</v>
      </c>
      <c r="O2357">
        <v>0</v>
      </c>
      <c r="P2357" t="s">
        <v>3</v>
      </c>
      <c r="Q2357">
        <v>0</v>
      </c>
      <c r="R2357">
        <v>0</v>
      </c>
      <c r="S2357" t="s">
        <v>3</v>
      </c>
      <c r="T2357">
        <v>148287</v>
      </c>
      <c r="U2357" t="s">
        <v>5839</v>
      </c>
      <c r="V2357" t="s">
        <v>5839</v>
      </c>
      <c r="W2357">
        <v>0</v>
      </c>
    </row>
    <row r="2358" spans="1:23">
      <c r="A2358" t="str">
        <f>"600979"</f>
        <v>600979</v>
      </c>
      <c r="B2358" t="s">
        <v>5840</v>
      </c>
      <c r="C2358">
        <v>6.49</v>
      </c>
      <c r="D2358">
        <v>6.64</v>
      </c>
      <c r="E2358">
        <v>6.22</v>
      </c>
      <c r="F2358">
        <v>6.3</v>
      </c>
      <c r="G2358">
        <v>134694</v>
      </c>
      <c r="H2358">
        <v>85916920</v>
      </c>
      <c r="I2358">
        <v>0.9</v>
      </c>
      <c r="J2358" t="s">
        <v>852</v>
      </c>
      <c r="K2358" t="s">
        <v>225</v>
      </c>
      <c r="L2358">
        <v>-2.48</v>
      </c>
      <c r="M2358">
        <v>6.38</v>
      </c>
      <c r="N2358">
        <v>85063</v>
      </c>
      <c r="O2358">
        <v>49630</v>
      </c>
      <c r="P2358">
        <v>1.71</v>
      </c>
      <c r="Q2358">
        <v>247</v>
      </c>
      <c r="R2358">
        <v>8</v>
      </c>
      <c r="S2358" t="s">
        <v>3</v>
      </c>
      <c r="T2358">
        <v>71789.210000000006</v>
      </c>
      <c r="U2358" t="s">
        <v>5841</v>
      </c>
      <c r="V2358" t="s">
        <v>5841</v>
      </c>
      <c r="W2358">
        <v>-2.48</v>
      </c>
    </row>
    <row r="2359" spans="1:23">
      <c r="A2359" t="str">
        <f>"600980"</f>
        <v>600980</v>
      </c>
      <c r="B2359" t="s">
        <v>5842</v>
      </c>
      <c r="C2359">
        <v>16.53</v>
      </c>
      <c r="D2359">
        <v>16.690000000000001</v>
      </c>
      <c r="E2359">
        <v>16.309999999999999</v>
      </c>
      <c r="F2359">
        <v>16.670000000000002</v>
      </c>
      <c r="G2359">
        <v>39909</v>
      </c>
      <c r="H2359">
        <v>65880192</v>
      </c>
      <c r="I2359">
        <v>0.64</v>
      </c>
      <c r="J2359" t="s">
        <v>62</v>
      </c>
      <c r="K2359" t="s">
        <v>34</v>
      </c>
      <c r="L2359">
        <v>0.73</v>
      </c>
      <c r="M2359">
        <v>16.510000000000002</v>
      </c>
      <c r="N2359">
        <v>18401</v>
      </c>
      <c r="O2359">
        <v>21508</v>
      </c>
      <c r="P2359">
        <v>0.86</v>
      </c>
      <c r="Q2359">
        <v>20</v>
      </c>
      <c r="R2359">
        <v>188</v>
      </c>
      <c r="S2359" t="s">
        <v>3</v>
      </c>
      <c r="T2359">
        <v>13000</v>
      </c>
      <c r="U2359" t="s">
        <v>1686</v>
      </c>
      <c r="V2359" t="s">
        <v>1686</v>
      </c>
      <c r="W2359">
        <v>0.72</v>
      </c>
    </row>
    <row r="2360" spans="1:23">
      <c r="A2360" t="str">
        <f>"600981"</f>
        <v>600981</v>
      </c>
      <c r="B2360" t="s">
        <v>5843</v>
      </c>
      <c r="C2360" t="s">
        <v>3</v>
      </c>
      <c r="D2360" t="s">
        <v>3</v>
      </c>
      <c r="E2360" t="s">
        <v>3</v>
      </c>
      <c r="F2360">
        <v>4.21</v>
      </c>
      <c r="G2360">
        <v>0</v>
      </c>
      <c r="H2360">
        <v>0</v>
      </c>
      <c r="I2360">
        <v>0</v>
      </c>
      <c r="J2360" t="s">
        <v>173</v>
      </c>
      <c r="K2360" t="s">
        <v>244</v>
      </c>
      <c r="L2360">
        <v>0</v>
      </c>
      <c r="M2360">
        <v>4.21</v>
      </c>
      <c r="N2360">
        <v>0</v>
      </c>
      <c r="O2360">
        <v>0</v>
      </c>
      <c r="P2360" t="s">
        <v>3</v>
      </c>
      <c r="Q2360">
        <v>0</v>
      </c>
      <c r="R2360">
        <v>0</v>
      </c>
      <c r="S2360" t="s">
        <v>3</v>
      </c>
      <c r="T2360">
        <v>51610.64</v>
      </c>
      <c r="U2360" t="s">
        <v>5844</v>
      </c>
      <c r="V2360" t="s">
        <v>5844</v>
      </c>
      <c r="W2360">
        <v>0</v>
      </c>
    </row>
    <row r="2361" spans="1:23">
      <c r="A2361" t="str">
        <f>"600982"</f>
        <v>600982</v>
      </c>
      <c r="B2361" t="s">
        <v>5845</v>
      </c>
      <c r="C2361">
        <v>7.61</v>
      </c>
      <c r="D2361">
        <v>7.72</v>
      </c>
      <c r="E2361">
        <v>7.5</v>
      </c>
      <c r="F2361">
        <v>7.61</v>
      </c>
      <c r="G2361">
        <v>354189</v>
      </c>
      <c r="H2361">
        <v>269166240</v>
      </c>
      <c r="I2361">
        <v>0.63</v>
      </c>
      <c r="J2361" t="s">
        <v>581</v>
      </c>
      <c r="K2361" t="s">
        <v>229</v>
      </c>
      <c r="L2361">
        <v>-0.52</v>
      </c>
      <c r="M2361">
        <v>7.6</v>
      </c>
      <c r="N2361">
        <v>192220</v>
      </c>
      <c r="O2361">
        <v>161968</v>
      </c>
      <c r="P2361">
        <v>1.19</v>
      </c>
      <c r="Q2361">
        <v>133</v>
      </c>
      <c r="R2361">
        <v>501</v>
      </c>
      <c r="S2361" t="s">
        <v>3</v>
      </c>
      <c r="T2361">
        <v>42000</v>
      </c>
      <c r="U2361" t="s">
        <v>5846</v>
      </c>
      <c r="V2361" t="s">
        <v>509</v>
      </c>
      <c r="W2361">
        <v>-0.53</v>
      </c>
    </row>
    <row r="2362" spans="1:23">
      <c r="A2362" t="str">
        <f>"600983"</f>
        <v>600983</v>
      </c>
      <c r="B2362" t="s">
        <v>5847</v>
      </c>
      <c r="C2362">
        <v>14.07</v>
      </c>
      <c r="D2362">
        <v>14.1</v>
      </c>
      <c r="E2362">
        <v>13.89</v>
      </c>
      <c r="F2362">
        <v>13.99</v>
      </c>
      <c r="G2362">
        <v>31646</v>
      </c>
      <c r="H2362">
        <v>44166560</v>
      </c>
      <c r="I2362">
        <v>0.85</v>
      </c>
      <c r="J2362" t="s">
        <v>47</v>
      </c>
      <c r="K2362" t="s">
        <v>220</v>
      </c>
      <c r="L2362">
        <v>-0.78</v>
      </c>
      <c r="M2362">
        <v>13.96</v>
      </c>
      <c r="N2362">
        <v>19166</v>
      </c>
      <c r="O2362">
        <v>12480</v>
      </c>
      <c r="P2362">
        <v>1.54</v>
      </c>
      <c r="Q2362">
        <v>27</v>
      </c>
      <c r="R2362">
        <v>149</v>
      </c>
      <c r="S2362" t="s">
        <v>3</v>
      </c>
      <c r="T2362">
        <v>53280</v>
      </c>
      <c r="U2362" t="s">
        <v>5848</v>
      </c>
      <c r="V2362" t="s">
        <v>5848</v>
      </c>
      <c r="W2362">
        <v>-0.78</v>
      </c>
    </row>
    <row r="2363" spans="1:23">
      <c r="A2363" t="str">
        <f>"600984"</f>
        <v>600984</v>
      </c>
      <c r="B2363" t="s">
        <v>5849</v>
      </c>
      <c r="C2363">
        <v>7.42</v>
      </c>
      <c r="D2363">
        <v>7.48</v>
      </c>
      <c r="E2363">
        <v>7.35</v>
      </c>
      <c r="F2363">
        <v>7.43</v>
      </c>
      <c r="G2363">
        <v>26988</v>
      </c>
      <c r="H2363">
        <v>19990280</v>
      </c>
      <c r="I2363">
        <v>0.76</v>
      </c>
      <c r="J2363" t="s">
        <v>233</v>
      </c>
      <c r="K2363" t="s">
        <v>389</v>
      </c>
      <c r="L2363">
        <v>0.27</v>
      </c>
      <c r="M2363">
        <v>7.41</v>
      </c>
      <c r="N2363">
        <v>14497</v>
      </c>
      <c r="O2363">
        <v>12491</v>
      </c>
      <c r="P2363">
        <v>1.1599999999999999</v>
      </c>
      <c r="Q2363">
        <v>1</v>
      </c>
      <c r="R2363">
        <v>647</v>
      </c>
      <c r="S2363" t="s">
        <v>3</v>
      </c>
      <c r="T2363">
        <v>14155.59</v>
      </c>
      <c r="U2363" t="s">
        <v>3077</v>
      </c>
      <c r="V2363" t="s">
        <v>3552</v>
      </c>
      <c r="W2363">
        <v>0.27</v>
      </c>
    </row>
    <row r="2364" spans="1:23">
      <c r="A2364" t="str">
        <f>"600985"</f>
        <v>600985</v>
      </c>
      <c r="B2364" t="s">
        <v>5850</v>
      </c>
      <c r="C2364">
        <v>13.33</v>
      </c>
      <c r="D2364">
        <v>13.41</v>
      </c>
      <c r="E2364">
        <v>13.17</v>
      </c>
      <c r="F2364">
        <v>13.36</v>
      </c>
      <c r="G2364">
        <v>19653</v>
      </c>
      <c r="H2364">
        <v>26152856</v>
      </c>
      <c r="I2364">
        <v>1.04</v>
      </c>
      <c r="J2364" t="s">
        <v>376</v>
      </c>
      <c r="K2364" t="s">
        <v>220</v>
      </c>
      <c r="L2364">
        <v>0.91</v>
      </c>
      <c r="M2364">
        <v>13.31</v>
      </c>
      <c r="N2364">
        <v>8996</v>
      </c>
      <c r="O2364">
        <v>10657</v>
      </c>
      <c r="P2364">
        <v>0.84</v>
      </c>
      <c r="Q2364">
        <v>37</v>
      </c>
      <c r="R2364">
        <v>8</v>
      </c>
      <c r="S2364" t="s">
        <v>3</v>
      </c>
      <c r="T2364">
        <v>12960</v>
      </c>
      <c r="U2364" t="s">
        <v>5851</v>
      </c>
      <c r="V2364" t="s">
        <v>1124</v>
      </c>
      <c r="W2364">
        <v>0.9</v>
      </c>
    </row>
    <row r="2365" spans="1:23">
      <c r="A2365" t="str">
        <f>"600986"</f>
        <v>600986</v>
      </c>
      <c r="B2365" t="s">
        <v>5852</v>
      </c>
      <c r="C2365" t="s">
        <v>3</v>
      </c>
      <c r="D2365" t="s">
        <v>3</v>
      </c>
      <c r="E2365" t="s">
        <v>3</v>
      </c>
      <c r="F2365">
        <v>7.05</v>
      </c>
      <c r="G2365">
        <v>0</v>
      </c>
      <c r="H2365">
        <v>0</v>
      </c>
      <c r="I2365">
        <v>0</v>
      </c>
      <c r="J2365" t="s">
        <v>33</v>
      </c>
      <c r="K2365" t="s">
        <v>250</v>
      </c>
      <c r="L2365">
        <v>0</v>
      </c>
      <c r="M2365">
        <v>7.05</v>
      </c>
      <c r="N2365">
        <v>0</v>
      </c>
      <c r="O2365">
        <v>0</v>
      </c>
      <c r="P2365" t="s">
        <v>3</v>
      </c>
      <c r="Q2365">
        <v>0</v>
      </c>
      <c r="R2365">
        <v>0</v>
      </c>
      <c r="S2365" t="s">
        <v>3</v>
      </c>
      <c r="T2365">
        <v>33526.959999999999</v>
      </c>
      <c r="U2365" t="s">
        <v>5853</v>
      </c>
      <c r="V2365" t="s">
        <v>5853</v>
      </c>
      <c r="W2365">
        <v>0</v>
      </c>
    </row>
    <row r="2366" spans="1:23">
      <c r="A2366" t="str">
        <f>"600987"</f>
        <v>600987</v>
      </c>
      <c r="B2366" t="s">
        <v>5854</v>
      </c>
      <c r="C2366">
        <v>8.34</v>
      </c>
      <c r="D2366">
        <v>8.4499999999999993</v>
      </c>
      <c r="E2366">
        <v>8.23</v>
      </c>
      <c r="F2366">
        <v>8.41</v>
      </c>
      <c r="G2366">
        <v>103296</v>
      </c>
      <c r="H2366">
        <v>86222200</v>
      </c>
      <c r="I2366">
        <v>1.07</v>
      </c>
      <c r="J2366" t="s">
        <v>55</v>
      </c>
      <c r="K2366" t="s">
        <v>229</v>
      </c>
      <c r="L2366">
        <v>0.72</v>
      </c>
      <c r="M2366">
        <v>8.35</v>
      </c>
      <c r="N2366">
        <v>47942</v>
      </c>
      <c r="O2366">
        <v>55354</v>
      </c>
      <c r="P2366">
        <v>0.87</v>
      </c>
      <c r="Q2366">
        <v>85</v>
      </c>
      <c r="R2366">
        <v>366</v>
      </c>
      <c r="S2366" t="s">
        <v>3</v>
      </c>
      <c r="T2366">
        <v>63531</v>
      </c>
      <c r="U2366" t="s">
        <v>5855</v>
      </c>
      <c r="V2366" t="s">
        <v>5855</v>
      </c>
      <c r="W2366">
        <v>0.71</v>
      </c>
    </row>
    <row r="2367" spans="1:23">
      <c r="A2367" t="str">
        <f>"600988"</f>
        <v>600988</v>
      </c>
      <c r="B2367" t="s">
        <v>5856</v>
      </c>
      <c r="C2367">
        <v>11.57</v>
      </c>
      <c r="D2367">
        <v>11.69</v>
      </c>
      <c r="E2367">
        <v>11.35</v>
      </c>
      <c r="F2367">
        <v>11.48</v>
      </c>
      <c r="G2367">
        <v>144933</v>
      </c>
      <c r="H2367">
        <v>165982544</v>
      </c>
      <c r="I2367">
        <v>0.8</v>
      </c>
      <c r="J2367" t="s">
        <v>1783</v>
      </c>
      <c r="K2367" t="s">
        <v>329</v>
      </c>
      <c r="L2367">
        <v>-2.2999999999999998</v>
      </c>
      <c r="M2367">
        <v>11.45</v>
      </c>
      <c r="N2367">
        <v>81500</v>
      </c>
      <c r="O2367">
        <v>63433</v>
      </c>
      <c r="P2367">
        <v>1.28</v>
      </c>
      <c r="Q2367">
        <v>79</v>
      </c>
      <c r="R2367">
        <v>681</v>
      </c>
      <c r="S2367" t="s">
        <v>3</v>
      </c>
      <c r="T2367">
        <v>28100.63</v>
      </c>
      <c r="U2367" t="s">
        <v>2335</v>
      </c>
      <c r="V2367" t="s">
        <v>5857</v>
      </c>
      <c r="W2367">
        <v>-2.2999999999999998</v>
      </c>
    </row>
    <row r="2368" spans="1:23">
      <c r="A2368" t="str">
        <f>"600990"</f>
        <v>600990</v>
      </c>
      <c r="B2368" t="s">
        <v>5858</v>
      </c>
      <c r="C2368">
        <v>40.4</v>
      </c>
      <c r="D2368">
        <v>41.45</v>
      </c>
      <c r="E2368">
        <v>39.6</v>
      </c>
      <c r="F2368">
        <v>39.79</v>
      </c>
      <c r="G2368">
        <v>30384</v>
      </c>
      <c r="H2368">
        <v>122908840</v>
      </c>
      <c r="I2368">
        <v>0.68</v>
      </c>
      <c r="J2368" t="s">
        <v>112</v>
      </c>
      <c r="K2368" t="s">
        <v>220</v>
      </c>
      <c r="L2368">
        <v>-0.56999999999999995</v>
      </c>
      <c r="M2368">
        <v>40.450000000000003</v>
      </c>
      <c r="N2368">
        <v>16424</v>
      </c>
      <c r="O2368">
        <v>13960</v>
      </c>
      <c r="P2368">
        <v>1.18</v>
      </c>
      <c r="Q2368">
        <v>9</v>
      </c>
      <c r="R2368">
        <v>48</v>
      </c>
      <c r="S2368" t="s">
        <v>3</v>
      </c>
      <c r="T2368">
        <v>13670.2</v>
      </c>
      <c r="U2368" t="s">
        <v>5859</v>
      </c>
      <c r="V2368" t="s">
        <v>5859</v>
      </c>
      <c r="W2368">
        <v>-0.57999999999999996</v>
      </c>
    </row>
    <row r="2369" spans="1:23">
      <c r="A2369" t="str">
        <f>"600992"</f>
        <v>600992</v>
      </c>
      <c r="B2369" t="s">
        <v>5860</v>
      </c>
      <c r="C2369">
        <v>9.34</v>
      </c>
      <c r="D2369">
        <v>9.39</v>
      </c>
      <c r="E2369">
        <v>9.19</v>
      </c>
      <c r="F2369">
        <v>9.26</v>
      </c>
      <c r="G2369">
        <v>16621</v>
      </c>
      <c r="H2369">
        <v>15406599</v>
      </c>
      <c r="I2369">
        <v>1.08</v>
      </c>
      <c r="J2369" t="s">
        <v>838</v>
      </c>
      <c r="K2369" t="s">
        <v>452</v>
      </c>
      <c r="L2369">
        <v>-0.43</v>
      </c>
      <c r="M2369">
        <v>9.27</v>
      </c>
      <c r="N2369">
        <v>9750</v>
      </c>
      <c r="O2369">
        <v>6871</v>
      </c>
      <c r="P2369">
        <v>1.42</v>
      </c>
      <c r="Q2369">
        <v>1</v>
      </c>
      <c r="R2369">
        <v>75</v>
      </c>
      <c r="S2369" t="s">
        <v>3</v>
      </c>
      <c r="T2369">
        <v>16437</v>
      </c>
      <c r="U2369" t="s">
        <v>5861</v>
      </c>
      <c r="V2369" t="s">
        <v>5862</v>
      </c>
      <c r="W2369">
        <v>-0.43</v>
      </c>
    </row>
    <row r="2370" spans="1:23">
      <c r="A2370" t="str">
        <f>"600993"</f>
        <v>600993</v>
      </c>
      <c r="B2370" t="s">
        <v>5863</v>
      </c>
      <c r="C2370">
        <v>18.09</v>
      </c>
      <c r="D2370">
        <v>19</v>
      </c>
      <c r="E2370">
        <v>18.079999999999998</v>
      </c>
      <c r="F2370">
        <v>18.88</v>
      </c>
      <c r="G2370">
        <v>140006</v>
      </c>
      <c r="H2370">
        <v>261913952</v>
      </c>
      <c r="I2370">
        <v>1.73</v>
      </c>
      <c r="J2370" t="s">
        <v>321</v>
      </c>
      <c r="K2370" t="s">
        <v>317</v>
      </c>
      <c r="L2370">
        <v>4.42</v>
      </c>
      <c r="M2370">
        <v>18.71</v>
      </c>
      <c r="N2370">
        <v>65589</v>
      </c>
      <c r="O2370">
        <v>74417</v>
      </c>
      <c r="P2370">
        <v>0.88</v>
      </c>
      <c r="Q2370">
        <v>377</v>
      </c>
      <c r="R2370">
        <v>42</v>
      </c>
      <c r="S2370" t="s">
        <v>3</v>
      </c>
      <c r="T2370">
        <v>33087.71</v>
      </c>
      <c r="U2370" t="s">
        <v>5864</v>
      </c>
      <c r="V2370" t="s">
        <v>5865</v>
      </c>
      <c r="W2370">
        <v>4.42</v>
      </c>
    </row>
    <row r="2371" spans="1:23">
      <c r="A2371" t="str">
        <f>"600995"</f>
        <v>600995</v>
      </c>
      <c r="B2371" t="s">
        <v>5866</v>
      </c>
      <c r="C2371">
        <v>7.49</v>
      </c>
      <c r="D2371">
        <v>8.06</v>
      </c>
      <c r="E2371">
        <v>7.23</v>
      </c>
      <c r="F2371">
        <v>7.48</v>
      </c>
      <c r="G2371">
        <v>161959</v>
      </c>
      <c r="H2371">
        <v>121823872</v>
      </c>
      <c r="I2371">
        <v>1.45</v>
      </c>
      <c r="J2371" t="s">
        <v>852</v>
      </c>
      <c r="K2371" t="s">
        <v>445</v>
      </c>
      <c r="L2371">
        <v>1.08</v>
      </c>
      <c r="M2371">
        <v>7.52</v>
      </c>
      <c r="N2371">
        <v>84524</v>
      </c>
      <c r="O2371">
        <v>77435</v>
      </c>
      <c r="P2371">
        <v>1.0900000000000001</v>
      </c>
      <c r="Q2371">
        <v>131</v>
      </c>
      <c r="R2371">
        <v>101</v>
      </c>
      <c r="S2371" t="s">
        <v>3</v>
      </c>
      <c r="T2371">
        <v>47852.639999999999</v>
      </c>
      <c r="U2371" t="s">
        <v>2793</v>
      </c>
      <c r="V2371" t="s">
        <v>2793</v>
      </c>
      <c r="W2371">
        <v>1.08</v>
      </c>
    </row>
    <row r="2372" spans="1:23">
      <c r="A2372" t="str">
        <f>"600997"</f>
        <v>600997</v>
      </c>
      <c r="B2372" t="s">
        <v>5867</v>
      </c>
      <c r="C2372">
        <v>5.28</v>
      </c>
      <c r="D2372">
        <v>5.34</v>
      </c>
      <c r="E2372">
        <v>5.2</v>
      </c>
      <c r="F2372">
        <v>5.3</v>
      </c>
      <c r="G2372">
        <v>149123</v>
      </c>
      <c r="H2372">
        <v>78576208</v>
      </c>
      <c r="I2372">
        <v>0.92</v>
      </c>
      <c r="J2372" t="s">
        <v>482</v>
      </c>
      <c r="K2372" t="s">
        <v>238</v>
      </c>
      <c r="L2372">
        <v>0.76</v>
      </c>
      <c r="M2372">
        <v>5.27</v>
      </c>
      <c r="N2372">
        <v>81899</v>
      </c>
      <c r="O2372">
        <v>67224</v>
      </c>
      <c r="P2372">
        <v>1.22</v>
      </c>
      <c r="Q2372">
        <v>808</v>
      </c>
      <c r="R2372">
        <v>1863</v>
      </c>
      <c r="S2372" t="s">
        <v>3</v>
      </c>
      <c r="T2372">
        <v>123464</v>
      </c>
      <c r="U2372" t="s">
        <v>5868</v>
      </c>
      <c r="V2372" t="s">
        <v>5868</v>
      </c>
      <c r="W2372">
        <v>0.76</v>
      </c>
    </row>
    <row r="2373" spans="1:23">
      <c r="A2373" t="str">
        <f>"600998"</f>
        <v>600998</v>
      </c>
      <c r="B2373" t="s">
        <v>5869</v>
      </c>
      <c r="C2373">
        <v>16.77</v>
      </c>
      <c r="D2373">
        <v>17.97</v>
      </c>
      <c r="E2373">
        <v>16.77</v>
      </c>
      <c r="F2373">
        <v>17.489999999999998</v>
      </c>
      <c r="G2373">
        <v>182007</v>
      </c>
      <c r="H2373">
        <v>317118304</v>
      </c>
      <c r="I2373">
        <v>2.09</v>
      </c>
      <c r="J2373" t="s">
        <v>91</v>
      </c>
      <c r="K2373" t="s">
        <v>317</v>
      </c>
      <c r="L2373">
        <v>4.3600000000000003</v>
      </c>
      <c r="M2373">
        <v>17.420000000000002</v>
      </c>
      <c r="N2373">
        <v>77634</v>
      </c>
      <c r="O2373">
        <v>104372</v>
      </c>
      <c r="P2373">
        <v>0.74</v>
      </c>
      <c r="Q2373">
        <v>32</v>
      </c>
      <c r="R2373">
        <v>15</v>
      </c>
      <c r="S2373" t="s">
        <v>3</v>
      </c>
      <c r="T2373">
        <v>142051.56</v>
      </c>
      <c r="U2373" t="s">
        <v>5870</v>
      </c>
      <c r="V2373" t="s">
        <v>5871</v>
      </c>
      <c r="W2373">
        <v>4.3499999999999996</v>
      </c>
    </row>
    <row r="2374" spans="1:23">
      <c r="A2374" t="str">
        <f>"600999"</f>
        <v>600999</v>
      </c>
      <c r="B2374" t="s">
        <v>5872</v>
      </c>
      <c r="C2374">
        <v>11.26</v>
      </c>
      <c r="D2374">
        <v>11.3</v>
      </c>
      <c r="E2374">
        <v>11.12</v>
      </c>
      <c r="F2374">
        <v>11.16</v>
      </c>
      <c r="G2374">
        <v>237370</v>
      </c>
      <c r="H2374">
        <v>265470144</v>
      </c>
      <c r="I2374">
        <v>0.71</v>
      </c>
      <c r="J2374" t="s">
        <v>512</v>
      </c>
      <c r="K2374" t="s">
        <v>2</v>
      </c>
      <c r="L2374">
        <v>-0.71</v>
      </c>
      <c r="M2374">
        <v>11.18</v>
      </c>
      <c r="N2374">
        <v>135033</v>
      </c>
      <c r="O2374">
        <v>102336</v>
      </c>
      <c r="P2374">
        <v>1.32</v>
      </c>
      <c r="Q2374">
        <v>30</v>
      </c>
      <c r="R2374">
        <v>868</v>
      </c>
      <c r="S2374" t="s">
        <v>3</v>
      </c>
      <c r="T2374">
        <v>466109.97</v>
      </c>
      <c r="U2374" t="s">
        <v>5873</v>
      </c>
      <c r="V2374" t="s">
        <v>5874</v>
      </c>
      <c r="W2374">
        <v>-0.72</v>
      </c>
    </row>
    <row r="2375" spans="1:23">
      <c r="A2375" t="str">
        <f>"601000"</f>
        <v>601000</v>
      </c>
      <c r="B2375" t="s">
        <v>5875</v>
      </c>
      <c r="C2375">
        <v>5.84</v>
      </c>
      <c r="D2375">
        <v>5.85</v>
      </c>
      <c r="E2375">
        <v>5.65</v>
      </c>
      <c r="F2375">
        <v>5.67</v>
      </c>
      <c r="G2375">
        <v>958631</v>
      </c>
      <c r="H2375">
        <v>546861120</v>
      </c>
      <c r="I2375">
        <v>0.59</v>
      </c>
      <c r="J2375" t="s">
        <v>70</v>
      </c>
      <c r="K2375" t="s">
        <v>238</v>
      </c>
      <c r="L2375">
        <v>-2.41</v>
      </c>
      <c r="M2375">
        <v>5.7</v>
      </c>
      <c r="N2375">
        <v>526696</v>
      </c>
      <c r="O2375">
        <v>431934</v>
      </c>
      <c r="P2375">
        <v>1.22</v>
      </c>
      <c r="Q2375">
        <v>840</v>
      </c>
      <c r="R2375">
        <v>1057</v>
      </c>
      <c r="S2375" t="s">
        <v>3</v>
      </c>
      <c r="T2375">
        <v>203035.16</v>
      </c>
      <c r="U2375" t="s">
        <v>5876</v>
      </c>
      <c r="V2375" t="s">
        <v>5876</v>
      </c>
      <c r="W2375">
        <v>-2.41</v>
      </c>
    </row>
    <row r="2376" spans="1:23">
      <c r="A2376" t="str">
        <f>"601001"</f>
        <v>601001</v>
      </c>
      <c r="B2376" t="s">
        <v>5877</v>
      </c>
      <c r="C2376">
        <v>6.4</v>
      </c>
      <c r="D2376">
        <v>6.52</v>
      </c>
      <c r="E2376">
        <v>6.32</v>
      </c>
      <c r="F2376">
        <v>6.47</v>
      </c>
      <c r="G2376">
        <v>284289</v>
      </c>
      <c r="H2376">
        <v>182862224</v>
      </c>
      <c r="I2376">
        <v>1.3</v>
      </c>
      <c r="J2376" t="s">
        <v>482</v>
      </c>
      <c r="K2376" t="s">
        <v>742</v>
      </c>
      <c r="L2376">
        <v>0.78</v>
      </c>
      <c r="M2376">
        <v>6.43</v>
      </c>
      <c r="N2376">
        <v>142823</v>
      </c>
      <c r="O2376">
        <v>141466</v>
      </c>
      <c r="P2376">
        <v>1.01</v>
      </c>
      <c r="Q2376">
        <v>288</v>
      </c>
      <c r="R2376">
        <v>520</v>
      </c>
      <c r="S2376" t="s">
        <v>3</v>
      </c>
      <c r="T2376">
        <v>167370</v>
      </c>
      <c r="U2376" t="s">
        <v>5878</v>
      </c>
      <c r="V2376" t="s">
        <v>5878</v>
      </c>
      <c r="W2376">
        <v>0.77</v>
      </c>
    </row>
    <row r="2377" spans="1:23">
      <c r="A2377" t="str">
        <f>"601002"</f>
        <v>601002</v>
      </c>
      <c r="B2377" t="s">
        <v>5879</v>
      </c>
      <c r="C2377">
        <v>10.210000000000001</v>
      </c>
      <c r="D2377">
        <v>10.55</v>
      </c>
      <c r="E2377">
        <v>10.130000000000001</v>
      </c>
      <c r="F2377">
        <v>10.41</v>
      </c>
      <c r="G2377">
        <v>405752</v>
      </c>
      <c r="H2377">
        <v>421204384</v>
      </c>
      <c r="I2377">
        <v>2.02</v>
      </c>
      <c r="J2377" t="s">
        <v>398</v>
      </c>
      <c r="K2377" t="s">
        <v>229</v>
      </c>
      <c r="L2377">
        <v>1.66</v>
      </c>
      <c r="M2377">
        <v>10.38</v>
      </c>
      <c r="N2377">
        <v>190850</v>
      </c>
      <c r="O2377">
        <v>214901</v>
      </c>
      <c r="P2377">
        <v>0.89</v>
      </c>
      <c r="Q2377">
        <v>668</v>
      </c>
      <c r="R2377">
        <v>1801</v>
      </c>
      <c r="S2377" t="s">
        <v>3</v>
      </c>
      <c r="T2377">
        <v>73847</v>
      </c>
      <c r="U2377" t="s">
        <v>5880</v>
      </c>
      <c r="V2377" t="s">
        <v>5881</v>
      </c>
      <c r="W2377">
        <v>1.66</v>
      </c>
    </row>
    <row r="2378" spans="1:23">
      <c r="A2378" t="str">
        <f>"601003"</f>
        <v>601003</v>
      </c>
      <c r="B2378" t="s">
        <v>5882</v>
      </c>
      <c r="C2378">
        <v>2.77</v>
      </c>
      <c r="D2378">
        <v>3.08</v>
      </c>
      <c r="E2378">
        <v>2.75</v>
      </c>
      <c r="F2378">
        <v>3.03</v>
      </c>
      <c r="G2378">
        <v>296066</v>
      </c>
      <c r="H2378">
        <v>87890880</v>
      </c>
      <c r="I2378">
        <v>1.95</v>
      </c>
      <c r="J2378" t="s">
        <v>279</v>
      </c>
      <c r="K2378" t="s">
        <v>417</v>
      </c>
      <c r="L2378">
        <v>8.2100000000000009</v>
      </c>
      <c r="M2378">
        <v>2.97</v>
      </c>
      <c r="N2378">
        <v>121946</v>
      </c>
      <c r="O2378">
        <v>174120</v>
      </c>
      <c r="P2378">
        <v>0.7</v>
      </c>
      <c r="Q2378">
        <v>3211</v>
      </c>
      <c r="R2378">
        <v>2553</v>
      </c>
      <c r="S2378" t="s">
        <v>3</v>
      </c>
      <c r="T2378">
        <v>256279.31</v>
      </c>
      <c r="U2378" t="s">
        <v>5883</v>
      </c>
      <c r="V2378" t="s">
        <v>5883</v>
      </c>
      <c r="W2378">
        <v>8.2100000000000009</v>
      </c>
    </row>
    <row r="2379" spans="1:23">
      <c r="A2379" t="str">
        <f>"601005"</f>
        <v>601005</v>
      </c>
      <c r="B2379" t="s">
        <v>5884</v>
      </c>
      <c r="C2379">
        <v>2.79</v>
      </c>
      <c r="D2379">
        <v>2.86</v>
      </c>
      <c r="E2379">
        <v>2.77</v>
      </c>
      <c r="F2379">
        <v>2.82</v>
      </c>
      <c r="G2379">
        <v>211854</v>
      </c>
      <c r="H2379">
        <v>59795492</v>
      </c>
      <c r="I2379">
        <v>1.22</v>
      </c>
      <c r="J2379" t="s">
        <v>279</v>
      </c>
      <c r="K2379" t="s">
        <v>386</v>
      </c>
      <c r="L2379">
        <v>1.08</v>
      </c>
      <c r="M2379">
        <v>2.82</v>
      </c>
      <c r="N2379">
        <v>105384</v>
      </c>
      <c r="O2379">
        <v>106470</v>
      </c>
      <c r="P2379">
        <v>0.99</v>
      </c>
      <c r="Q2379">
        <v>4565</v>
      </c>
      <c r="R2379">
        <v>2276</v>
      </c>
      <c r="S2379" t="s">
        <v>3</v>
      </c>
      <c r="T2379">
        <v>119500</v>
      </c>
      <c r="U2379" t="s">
        <v>2342</v>
      </c>
      <c r="V2379" t="s">
        <v>5885</v>
      </c>
      <c r="W2379">
        <v>1.07</v>
      </c>
    </row>
    <row r="2380" spans="1:23">
      <c r="A2380" t="str">
        <f>"601006"</f>
        <v>601006</v>
      </c>
      <c r="B2380" t="s">
        <v>5886</v>
      </c>
      <c r="C2380">
        <v>8.0500000000000007</v>
      </c>
      <c r="D2380">
        <v>8.0500000000000007</v>
      </c>
      <c r="E2380">
        <v>7.9</v>
      </c>
      <c r="F2380">
        <v>7.95</v>
      </c>
      <c r="G2380">
        <v>403878</v>
      </c>
      <c r="H2380">
        <v>321638592</v>
      </c>
      <c r="I2380">
        <v>0.75</v>
      </c>
      <c r="J2380" t="s">
        <v>4442</v>
      </c>
      <c r="K2380" t="s">
        <v>742</v>
      </c>
      <c r="L2380">
        <v>-0.87</v>
      </c>
      <c r="M2380">
        <v>7.96</v>
      </c>
      <c r="N2380">
        <v>203602</v>
      </c>
      <c r="O2380">
        <v>200276</v>
      </c>
      <c r="P2380">
        <v>1.02</v>
      </c>
      <c r="Q2380">
        <v>457</v>
      </c>
      <c r="R2380">
        <v>372</v>
      </c>
      <c r="S2380" t="s">
        <v>3</v>
      </c>
      <c r="T2380">
        <v>1486679.13</v>
      </c>
      <c r="U2380" t="s">
        <v>5887</v>
      </c>
      <c r="V2380" t="s">
        <v>5887</v>
      </c>
      <c r="W2380">
        <v>-0.88</v>
      </c>
    </row>
    <row r="2381" spans="1:23">
      <c r="A2381" t="str">
        <f>"601007"</f>
        <v>601007</v>
      </c>
      <c r="B2381" t="s">
        <v>5888</v>
      </c>
      <c r="C2381">
        <v>9.42</v>
      </c>
      <c r="D2381">
        <v>9.42</v>
      </c>
      <c r="E2381">
        <v>9.2799999999999994</v>
      </c>
      <c r="F2381">
        <v>9.3800000000000008</v>
      </c>
      <c r="G2381">
        <v>51305</v>
      </c>
      <c r="H2381">
        <v>47969612</v>
      </c>
      <c r="I2381">
        <v>0.7</v>
      </c>
      <c r="J2381" t="s">
        <v>22</v>
      </c>
      <c r="K2381" t="s">
        <v>244</v>
      </c>
      <c r="L2381">
        <v>-0.74</v>
      </c>
      <c r="M2381">
        <v>9.35</v>
      </c>
      <c r="N2381">
        <v>29395</v>
      </c>
      <c r="O2381">
        <v>21910</v>
      </c>
      <c r="P2381">
        <v>1.34</v>
      </c>
      <c r="Q2381">
        <v>14</v>
      </c>
      <c r="R2381">
        <v>100</v>
      </c>
      <c r="S2381" t="s">
        <v>3</v>
      </c>
      <c r="T2381">
        <v>30000</v>
      </c>
      <c r="U2381" t="s">
        <v>1261</v>
      </c>
      <c r="V2381" t="s">
        <v>1261</v>
      </c>
      <c r="W2381">
        <v>-0.75</v>
      </c>
    </row>
    <row r="2382" spans="1:23">
      <c r="A2382" t="str">
        <f>"601008"</f>
        <v>601008</v>
      </c>
      <c r="B2382" t="s">
        <v>5889</v>
      </c>
      <c r="C2382">
        <v>4.72</v>
      </c>
      <c r="D2382">
        <v>4.8899999999999997</v>
      </c>
      <c r="E2382">
        <v>4.66</v>
      </c>
      <c r="F2382">
        <v>4.78</v>
      </c>
      <c r="G2382">
        <v>385353</v>
      </c>
      <c r="H2382">
        <v>184441776</v>
      </c>
      <c r="I2382">
        <v>1.1299999999999999</v>
      </c>
      <c r="J2382" t="s">
        <v>70</v>
      </c>
      <c r="K2382" t="s">
        <v>244</v>
      </c>
      <c r="L2382">
        <v>1.7</v>
      </c>
      <c r="M2382">
        <v>4.79</v>
      </c>
      <c r="N2382">
        <v>185490</v>
      </c>
      <c r="O2382">
        <v>199862</v>
      </c>
      <c r="P2382">
        <v>0.93</v>
      </c>
      <c r="Q2382">
        <v>1515</v>
      </c>
      <c r="R2382">
        <v>772</v>
      </c>
      <c r="S2382" t="s">
        <v>3</v>
      </c>
      <c r="T2382">
        <v>81163.5</v>
      </c>
      <c r="U2382" t="s">
        <v>5890</v>
      </c>
      <c r="V2382" t="s">
        <v>5891</v>
      </c>
      <c r="W2382">
        <v>1.7</v>
      </c>
    </row>
    <row r="2383" spans="1:23">
      <c r="A2383" t="str">
        <f>"601009"</f>
        <v>601009</v>
      </c>
      <c r="B2383" t="s">
        <v>5892</v>
      </c>
      <c r="C2383">
        <v>8.4700000000000006</v>
      </c>
      <c r="D2383">
        <v>8.57</v>
      </c>
      <c r="E2383">
        <v>8.4499999999999993</v>
      </c>
      <c r="F2383">
        <v>8.48</v>
      </c>
      <c r="G2383">
        <v>290677</v>
      </c>
      <c r="H2383">
        <v>247161056</v>
      </c>
      <c r="I2383">
        <v>1.04</v>
      </c>
      <c r="J2383" t="s">
        <v>1</v>
      </c>
      <c r="K2383" t="s">
        <v>244</v>
      </c>
      <c r="L2383">
        <v>0.24</v>
      </c>
      <c r="M2383">
        <v>8.5</v>
      </c>
      <c r="N2383">
        <v>158103</v>
      </c>
      <c r="O2383">
        <v>132574</v>
      </c>
      <c r="P2383">
        <v>1.19</v>
      </c>
      <c r="Q2383">
        <v>2731</v>
      </c>
      <c r="R2383">
        <v>396</v>
      </c>
      <c r="S2383" t="s">
        <v>3</v>
      </c>
      <c r="T2383">
        <v>296893.31</v>
      </c>
      <c r="U2383" t="s">
        <v>5893</v>
      </c>
      <c r="V2383" t="s">
        <v>5893</v>
      </c>
      <c r="W2383">
        <v>0.23</v>
      </c>
    </row>
    <row r="2384" spans="1:23">
      <c r="A2384" t="str">
        <f>"601010"</f>
        <v>601010</v>
      </c>
      <c r="B2384" t="s">
        <v>5894</v>
      </c>
      <c r="C2384">
        <v>8.67</v>
      </c>
      <c r="D2384">
        <v>8.7799999999999994</v>
      </c>
      <c r="E2384">
        <v>8.41</v>
      </c>
      <c r="F2384">
        <v>8.65</v>
      </c>
      <c r="G2384">
        <v>205747</v>
      </c>
      <c r="H2384">
        <v>177535456</v>
      </c>
      <c r="I2384">
        <v>0.65</v>
      </c>
      <c r="J2384" t="s">
        <v>920</v>
      </c>
      <c r="K2384" t="s">
        <v>244</v>
      </c>
      <c r="L2384">
        <v>0.57999999999999996</v>
      </c>
      <c r="M2384">
        <v>8.6300000000000008</v>
      </c>
      <c r="N2384">
        <v>100757</v>
      </c>
      <c r="O2384">
        <v>104989</v>
      </c>
      <c r="P2384">
        <v>0.96</v>
      </c>
      <c r="Q2384">
        <v>240</v>
      </c>
      <c r="R2384">
        <v>66</v>
      </c>
      <c r="S2384" t="s">
        <v>3</v>
      </c>
      <c r="T2384">
        <v>73920</v>
      </c>
      <c r="U2384" t="s">
        <v>5895</v>
      </c>
      <c r="V2384" t="s">
        <v>5895</v>
      </c>
      <c r="W2384">
        <v>0.57999999999999996</v>
      </c>
    </row>
    <row r="2385" spans="1:23">
      <c r="A2385" t="str">
        <f>"601011"</f>
        <v>601011</v>
      </c>
      <c r="B2385" t="s">
        <v>5896</v>
      </c>
      <c r="C2385">
        <v>11.65</v>
      </c>
      <c r="D2385">
        <v>11.72</v>
      </c>
      <c r="E2385">
        <v>11.37</v>
      </c>
      <c r="F2385">
        <v>11.42</v>
      </c>
      <c r="G2385">
        <v>82700</v>
      </c>
      <c r="H2385">
        <v>95208488</v>
      </c>
      <c r="I2385">
        <v>1.41</v>
      </c>
      <c r="J2385" t="s">
        <v>856</v>
      </c>
      <c r="K2385" t="s">
        <v>565</v>
      </c>
      <c r="L2385">
        <v>-1.89</v>
      </c>
      <c r="M2385">
        <v>11.51</v>
      </c>
      <c r="N2385">
        <v>47269</v>
      </c>
      <c r="O2385">
        <v>35430</v>
      </c>
      <c r="P2385">
        <v>1.33</v>
      </c>
      <c r="Q2385">
        <v>32</v>
      </c>
      <c r="R2385">
        <v>141</v>
      </c>
      <c r="S2385" t="s">
        <v>3</v>
      </c>
      <c r="T2385">
        <v>38700</v>
      </c>
      <c r="U2385" t="s">
        <v>2185</v>
      </c>
      <c r="V2385" t="s">
        <v>2185</v>
      </c>
      <c r="W2385">
        <v>-1.89</v>
      </c>
    </row>
    <row r="2386" spans="1:23">
      <c r="A2386" t="str">
        <f>"601012"</f>
        <v>601012</v>
      </c>
      <c r="B2386" t="s">
        <v>5897</v>
      </c>
      <c r="C2386">
        <v>20.5</v>
      </c>
      <c r="D2386">
        <v>20.81</v>
      </c>
      <c r="E2386">
        <v>19.96</v>
      </c>
      <c r="F2386">
        <v>20.61</v>
      </c>
      <c r="G2386">
        <v>59861</v>
      </c>
      <c r="H2386">
        <v>122912024</v>
      </c>
      <c r="I2386">
        <v>0.62</v>
      </c>
      <c r="J2386" t="s">
        <v>1581</v>
      </c>
      <c r="K2386" t="s">
        <v>389</v>
      </c>
      <c r="L2386">
        <v>0.1</v>
      </c>
      <c r="M2386">
        <v>20.53</v>
      </c>
      <c r="N2386">
        <v>35587</v>
      </c>
      <c r="O2386">
        <v>24273</v>
      </c>
      <c r="P2386">
        <v>1.47</v>
      </c>
      <c r="Q2386">
        <v>151</v>
      </c>
      <c r="R2386">
        <v>73</v>
      </c>
      <c r="S2386" t="s">
        <v>3</v>
      </c>
      <c r="T2386">
        <v>31102.74</v>
      </c>
      <c r="U2386" t="s">
        <v>5898</v>
      </c>
      <c r="V2386" t="s">
        <v>5899</v>
      </c>
      <c r="W2386">
        <v>0.09</v>
      </c>
    </row>
    <row r="2387" spans="1:23">
      <c r="A2387" t="str">
        <f>"601018"</f>
        <v>601018</v>
      </c>
      <c r="B2387" t="s">
        <v>5900</v>
      </c>
      <c r="C2387">
        <v>2.9</v>
      </c>
      <c r="D2387">
        <v>3.1</v>
      </c>
      <c r="E2387">
        <v>2.86</v>
      </c>
      <c r="F2387">
        <v>3.1</v>
      </c>
      <c r="G2387">
        <v>2692564</v>
      </c>
      <c r="H2387">
        <v>821280768</v>
      </c>
      <c r="I2387">
        <v>2.08</v>
      </c>
      <c r="J2387" t="s">
        <v>70</v>
      </c>
      <c r="K2387" t="s">
        <v>229</v>
      </c>
      <c r="L2387">
        <v>9.93</v>
      </c>
      <c r="M2387">
        <v>3.05</v>
      </c>
      <c r="N2387">
        <v>1515447</v>
      </c>
      <c r="O2387">
        <v>1177116</v>
      </c>
      <c r="P2387">
        <v>1.29</v>
      </c>
      <c r="Q2387">
        <v>512442</v>
      </c>
      <c r="R2387">
        <v>0</v>
      </c>
      <c r="S2387" t="s">
        <v>3</v>
      </c>
      <c r="T2387">
        <v>1280000</v>
      </c>
      <c r="U2387" t="s">
        <v>5901</v>
      </c>
      <c r="V2387" t="s">
        <v>5901</v>
      </c>
      <c r="W2387">
        <v>9.92</v>
      </c>
    </row>
    <row r="2388" spans="1:23">
      <c r="A2388" t="str">
        <f>"601028"</f>
        <v>601028</v>
      </c>
      <c r="B2388" t="s">
        <v>5902</v>
      </c>
      <c r="C2388">
        <v>14.28</v>
      </c>
      <c r="D2388">
        <v>14.7</v>
      </c>
      <c r="E2388">
        <v>14.15</v>
      </c>
      <c r="F2388">
        <v>14.55</v>
      </c>
      <c r="G2388">
        <v>55068</v>
      </c>
      <c r="H2388">
        <v>79922352</v>
      </c>
      <c r="I2388">
        <v>0.85</v>
      </c>
      <c r="J2388" t="s">
        <v>838</v>
      </c>
      <c r="K2388" t="s">
        <v>244</v>
      </c>
      <c r="L2388">
        <v>1.89</v>
      </c>
      <c r="M2388">
        <v>14.51</v>
      </c>
      <c r="N2388">
        <v>23259</v>
      </c>
      <c r="O2388">
        <v>31808</v>
      </c>
      <c r="P2388">
        <v>0.73</v>
      </c>
      <c r="Q2388">
        <v>22</v>
      </c>
      <c r="R2388">
        <v>541</v>
      </c>
      <c r="S2388" t="s">
        <v>3</v>
      </c>
      <c r="T2388">
        <v>9722.5</v>
      </c>
      <c r="U2388" t="s">
        <v>5903</v>
      </c>
      <c r="V2388" t="s">
        <v>5904</v>
      </c>
      <c r="W2388">
        <v>1.89</v>
      </c>
    </row>
    <row r="2389" spans="1:23">
      <c r="A2389" t="str">
        <f>"601038"</f>
        <v>601038</v>
      </c>
      <c r="B2389" t="s">
        <v>5905</v>
      </c>
      <c r="C2389">
        <v>9</v>
      </c>
      <c r="D2389">
        <v>9.09</v>
      </c>
      <c r="E2389">
        <v>8.91</v>
      </c>
      <c r="F2389">
        <v>9.0399999999999991</v>
      </c>
      <c r="G2389">
        <v>109527</v>
      </c>
      <c r="H2389">
        <v>98627648</v>
      </c>
      <c r="I2389">
        <v>0.48</v>
      </c>
      <c r="J2389" t="s">
        <v>535</v>
      </c>
      <c r="K2389" t="s">
        <v>254</v>
      </c>
      <c r="L2389">
        <v>0.22</v>
      </c>
      <c r="M2389">
        <v>9</v>
      </c>
      <c r="N2389">
        <v>64166</v>
      </c>
      <c r="O2389">
        <v>45360</v>
      </c>
      <c r="P2389">
        <v>1.41</v>
      </c>
      <c r="Q2389">
        <v>140</v>
      </c>
      <c r="R2389">
        <v>64</v>
      </c>
      <c r="S2389" t="s">
        <v>3</v>
      </c>
      <c r="T2389">
        <v>15000</v>
      </c>
      <c r="U2389" t="s">
        <v>2579</v>
      </c>
      <c r="V2389" t="s">
        <v>1985</v>
      </c>
      <c r="W2389">
        <v>0.22</v>
      </c>
    </row>
    <row r="2390" spans="1:23">
      <c r="A2390" t="str">
        <f>"601058"</f>
        <v>601058</v>
      </c>
      <c r="B2390" t="s">
        <v>5906</v>
      </c>
      <c r="C2390">
        <v>14.35</v>
      </c>
      <c r="D2390">
        <v>14.7</v>
      </c>
      <c r="E2390">
        <v>14.35</v>
      </c>
      <c r="F2390">
        <v>14.64</v>
      </c>
      <c r="G2390">
        <v>35235</v>
      </c>
      <c r="H2390">
        <v>51302468</v>
      </c>
      <c r="I2390">
        <v>0.9</v>
      </c>
      <c r="J2390" t="s">
        <v>98</v>
      </c>
      <c r="K2390" t="s">
        <v>250</v>
      </c>
      <c r="L2390">
        <v>1.74</v>
      </c>
      <c r="M2390">
        <v>14.56</v>
      </c>
      <c r="N2390">
        <v>16184</v>
      </c>
      <c r="O2390">
        <v>19051</v>
      </c>
      <c r="P2390">
        <v>0.85</v>
      </c>
      <c r="Q2390">
        <v>83</v>
      </c>
      <c r="R2390">
        <v>37</v>
      </c>
      <c r="S2390" t="s">
        <v>3</v>
      </c>
      <c r="T2390">
        <v>37800</v>
      </c>
      <c r="U2390" t="s">
        <v>5907</v>
      </c>
      <c r="V2390" t="s">
        <v>5908</v>
      </c>
      <c r="W2390">
        <v>1.73</v>
      </c>
    </row>
    <row r="2391" spans="1:23">
      <c r="A2391" t="str">
        <f>"601088"</f>
        <v>601088</v>
      </c>
      <c r="B2391" t="s">
        <v>5909</v>
      </c>
      <c r="C2391">
        <v>15.7</v>
      </c>
      <c r="D2391">
        <v>15.81</v>
      </c>
      <c r="E2391">
        <v>15.63</v>
      </c>
      <c r="F2391">
        <v>15.7</v>
      </c>
      <c r="G2391">
        <v>144633</v>
      </c>
      <c r="H2391">
        <v>227290416</v>
      </c>
      <c r="I2391">
        <v>0.9</v>
      </c>
      <c r="J2391" t="s">
        <v>482</v>
      </c>
      <c r="K2391" t="s">
        <v>34</v>
      </c>
      <c r="L2391">
        <v>0.06</v>
      </c>
      <c r="M2391">
        <v>15.71</v>
      </c>
      <c r="N2391">
        <v>75539</v>
      </c>
      <c r="O2391">
        <v>69093</v>
      </c>
      <c r="P2391">
        <v>1.0900000000000001</v>
      </c>
      <c r="Q2391">
        <v>656</v>
      </c>
      <c r="R2391">
        <v>100</v>
      </c>
      <c r="S2391" t="s">
        <v>3</v>
      </c>
      <c r="T2391">
        <v>1649103.75</v>
      </c>
      <c r="U2391" t="s">
        <v>5910</v>
      </c>
      <c r="V2391" t="s">
        <v>5910</v>
      </c>
      <c r="W2391">
        <v>0.06</v>
      </c>
    </row>
    <row r="2392" spans="1:23">
      <c r="A2392" t="str">
        <f>"601098"</f>
        <v>601098</v>
      </c>
      <c r="B2392" t="s">
        <v>5911</v>
      </c>
      <c r="C2392">
        <v>15.47</v>
      </c>
      <c r="D2392">
        <v>15.69</v>
      </c>
      <c r="E2392">
        <v>15.17</v>
      </c>
      <c r="F2392">
        <v>15.6</v>
      </c>
      <c r="G2392">
        <v>139446</v>
      </c>
      <c r="H2392">
        <v>214850032</v>
      </c>
      <c r="I2392">
        <v>0.8</v>
      </c>
      <c r="J2392" t="s">
        <v>360</v>
      </c>
      <c r="K2392" t="s">
        <v>234</v>
      </c>
      <c r="L2392">
        <v>0.97</v>
      </c>
      <c r="M2392">
        <v>15.41</v>
      </c>
      <c r="N2392">
        <v>64861</v>
      </c>
      <c r="O2392">
        <v>74584</v>
      </c>
      <c r="P2392">
        <v>0.87</v>
      </c>
      <c r="Q2392">
        <v>676</v>
      </c>
      <c r="R2392">
        <v>577</v>
      </c>
      <c r="S2392" t="s">
        <v>3</v>
      </c>
      <c r="T2392">
        <v>179600</v>
      </c>
      <c r="U2392" t="s">
        <v>5912</v>
      </c>
      <c r="V2392" t="s">
        <v>5912</v>
      </c>
      <c r="W2392">
        <v>0.97</v>
      </c>
    </row>
    <row r="2393" spans="1:23">
      <c r="A2393" t="str">
        <f>"601099"</f>
        <v>601099</v>
      </c>
      <c r="B2393" t="s">
        <v>5913</v>
      </c>
      <c r="C2393">
        <v>8.7799999999999994</v>
      </c>
      <c r="D2393">
        <v>8.7799999999999994</v>
      </c>
      <c r="E2393">
        <v>8.56</v>
      </c>
      <c r="F2393">
        <v>8.57</v>
      </c>
      <c r="G2393">
        <v>484872</v>
      </c>
      <c r="H2393">
        <v>417834976</v>
      </c>
      <c r="I2393">
        <v>0.83</v>
      </c>
      <c r="J2393" t="s">
        <v>512</v>
      </c>
      <c r="K2393" t="s">
        <v>445</v>
      </c>
      <c r="L2393">
        <v>-2.5</v>
      </c>
      <c r="M2393">
        <v>8.6199999999999992</v>
      </c>
      <c r="N2393">
        <v>262423</v>
      </c>
      <c r="O2393">
        <v>222449</v>
      </c>
      <c r="P2393">
        <v>1.18</v>
      </c>
      <c r="Q2393">
        <v>2594</v>
      </c>
      <c r="R2393">
        <v>1767</v>
      </c>
      <c r="S2393" t="s">
        <v>3</v>
      </c>
      <c r="T2393">
        <v>165364.45000000001</v>
      </c>
      <c r="U2393" t="s">
        <v>5914</v>
      </c>
      <c r="V2393" t="s">
        <v>5915</v>
      </c>
      <c r="W2393">
        <v>-2.5099999999999998</v>
      </c>
    </row>
    <row r="2394" spans="1:23">
      <c r="A2394" t="str">
        <f>"601100"</f>
        <v>601100</v>
      </c>
      <c r="B2394" t="s">
        <v>5916</v>
      </c>
      <c r="C2394">
        <v>11</v>
      </c>
      <c r="D2394">
        <v>11.1</v>
      </c>
      <c r="E2394">
        <v>10.8</v>
      </c>
      <c r="F2394">
        <v>10.89</v>
      </c>
      <c r="G2394">
        <v>28794</v>
      </c>
      <c r="H2394">
        <v>31509112</v>
      </c>
      <c r="I2394">
        <v>0.81</v>
      </c>
      <c r="J2394" t="s">
        <v>233</v>
      </c>
      <c r="K2394" t="s">
        <v>244</v>
      </c>
      <c r="L2394">
        <v>-0.37</v>
      </c>
      <c r="M2394">
        <v>10.94</v>
      </c>
      <c r="N2394">
        <v>14761</v>
      </c>
      <c r="O2394">
        <v>14032</v>
      </c>
      <c r="P2394">
        <v>1.05</v>
      </c>
      <c r="Q2394">
        <v>136</v>
      </c>
      <c r="R2394">
        <v>57</v>
      </c>
      <c r="S2394" t="s">
        <v>3</v>
      </c>
      <c r="T2394">
        <v>15750</v>
      </c>
      <c r="U2394" t="s">
        <v>5917</v>
      </c>
      <c r="V2394" t="s">
        <v>5918</v>
      </c>
      <c r="W2394">
        <v>-0.37</v>
      </c>
    </row>
    <row r="2395" spans="1:23">
      <c r="A2395" t="str">
        <f>"601101"</f>
        <v>601101</v>
      </c>
      <c r="B2395" t="s">
        <v>5919</v>
      </c>
      <c r="C2395">
        <v>6.39</v>
      </c>
      <c r="D2395">
        <v>6.46</v>
      </c>
      <c r="E2395">
        <v>6.32</v>
      </c>
      <c r="F2395">
        <v>6.41</v>
      </c>
      <c r="G2395">
        <v>127937</v>
      </c>
      <c r="H2395">
        <v>81608808</v>
      </c>
      <c r="I2395">
        <v>1.2</v>
      </c>
      <c r="J2395" t="s">
        <v>482</v>
      </c>
      <c r="K2395" t="s">
        <v>34</v>
      </c>
      <c r="L2395">
        <v>0.31</v>
      </c>
      <c r="M2395">
        <v>6.38</v>
      </c>
      <c r="N2395">
        <v>62354</v>
      </c>
      <c r="O2395">
        <v>65583</v>
      </c>
      <c r="P2395">
        <v>0.95</v>
      </c>
      <c r="Q2395">
        <v>570</v>
      </c>
      <c r="R2395">
        <v>878</v>
      </c>
      <c r="S2395" t="s">
        <v>3</v>
      </c>
      <c r="T2395">
        <v>119999.82</v>
      </c>
      <c r="U2395" t="s">
        <v>5920</v>
      </c>
      <c r="V2395" t="s">
        <v>5920</v>
      </c>
      <c r="W2395">
        <v>0.31</v>
      </c>
    </row>
    <row r="2396" spans="1:23">
      <c r="A2396" t="str">
        <f>"601106"</f>
        <v>601106</v>
      </c>
      <c r="B2396" t="s">
        <v>5921</v>
      </c>
      <c r="C2396">
        <v>2.25</v>
      </c>
      <c r="D2396">
        <v>2.27</v>
      </c>
      <c r="E2396">
        <v>2.2400000000000002</v>
      </c>
      <c r="F2396">
        <v>2.25</v>
      </c>
      <c r="G2396">
        <v>474129</v>
      </c>
      <c r="H2396">
        <v>106788400</v>
      </c>
      <c r="I2396">
        <v>1.1299999999999999</v>
      </c>
      <c r="J2396" t="s">
        <v>233</v>
      </c>
      <c r="K2396" t="s">
        <v>565</v>
      </c>
      <c r="L2396">
        <v>-0.88</v>
      </c>
      <c r="M2396">
        <v>2.25</v>
      </c>
      <c r="N2396">
        <v>265317</v>
      </c>
      <c r="O2396">
        <v>208811</v>
      </c>
      <c r="P2396">
        <v>1.27</v>
      </c>
      <c r="Q2396">
        <v>49062</v>
      </c>
      <c r="R2396">
        <v>13788</v>
      </c>
      <c r="S2396" t="s">
        <v>3</v>
      </c>
      <c r="T2396">
        <v>653800</v>
      </c>
      <c r="U2396" t="s">
        <v>5922</v>
      </c>
      <c r="V2396" t="s">
        <v>5923</v>
      </c>
      <c r="W2396">
        <v>-0.89</v>
      </c>
    </row>
    <row r="2397" spans="1:23">
      <c r="A2397" t="str">
        <f>"601107"</f>
        <v>601107</v>
      </c>
      <c r="B2397" t="s">
        <v>5924</v>
      </c>
      <c r="C2397">
        <v>3.04</v>
      </c>
      <c r="D2397">
        <v>3.06</v>
      </c>
      <c r="E2397">
        <v>3.02</v>
      </c>
      <c r="F2397">
        <v>3.05</v>
      </c>
      <c r="G2397">
        <v>117477</v>
      </c>
      <c r="H2397">
        <v>35817392</v>
      </c>
      <c r="I2397">
        <v>1.28</v>
      </c>
      <c r="J2397" t="s">
        <v>336</v>
      </c>
      <c r="K2397" t="s">
        <v>225</v>
      </c>
      <c r="L2397">
        <v>0.33</v>
      </c>
      <c r="M2397">
        <v>3.05</v>
      </c>
      <c r="N2397">
        <v>39536</v>
      </c>
      <c r="O2397">
        <v>77940</v>
      </c>
      <c r="P2397">
        <v>0.51</v>
      </c>
      <c r="Q2397">
        <v>4245</v>
      </c>
      <c r="R2397">
        <v>125</v>
      </c>
      <c r="S2397" t="s">
        <v>3</v>
      </c>
      <c r="T2397">
        <v>216274</v>
      </c>
      <c r="U2397" t="s">
        <v>5925</v>
      </c>
      <c r="V2397" t="s">
        <v>5925</v>
      </c>
      <c r="W2397">
        <v>0.32</v>
      </c>
    </row>
    <row r="2398" spans="1:23">
      <c r="A2398" t="str">
        <f>"601111"</f>
        <v>601111</v>
      </c>
      <c r="B2398" t="s">
        <v>5926</v>
      </c>
      <c r="C2398">
        <v>3.76</v>
      </c>
      <c r="D2398">
        <v>3.83</v>
      </c>
      <c r="E2398">
        <v>3.73</v>
      </c>
      <c r="F2398">
        <v>3.8</v>
      </c>
      <c r="G2398">
        <v>700747</v>
      </c>
      <c r="H2398">
        <v>264712656</v>
      </c>
      <c r="I2398">
        <v>2.4700000000000002</v>
      </c>
      <c r="J2398" t="s">
        <v>208</v>
      </c>
      <c r="K2398" t="s">
        <v>34</v>
      </c>
      <c r="L2398">
        <v>1.88</v>
      </c>
      <c r="M2398">
        <v>3.78</v>
      </c>
      <c r="N2398">
        <v>280274</v>
      </c>
      <c r="O2398">
        <v>420473</v>
      </c>
      <c r="P2398">
        <v>0.67</v>
      </c>
      <c r="Q2398">
        <v>2102</v>
      </c>
      <c r="R2398">
        <v>1322</v>
      </c>
      <c r="S2398" t="s">
        <v>3</v>
      </c>
      <c r="T2398">
        <v>832927.13</v>
      </c>
      <c r="U2398" t="s">
        <v>5927</v>
      </c>
      <c r="V2398" t="s">
        <v>5928</v>
      </c>
      <c r="W2398">
        <v>1.87</v>
      </c>
    </row>
    <row r="2399" spans="1:23">
      <c r="A2399" t="str">
        <f>"601113"</f>
        <v>601113</v>
      </c>
      <c r="B2399" t="s">
        <v>5929</v>
      </c>
      <c r="C2399">
        <v>4.9400000000000004</v>
      </c>
      <c r="D2399">
        <v>4.9800000000000004</v>
      </c>
      <c r="E2399">
        <v>4.84</v>
      </c>
      <c r="F2399">
        <v>4.9400000000000004</v>
      </c>
      <c r="G2399">
        <v>49148</v>
      </c>
      <c r="H2399">
        <v>24162412</v>
      </c>
      <c r="I2399">
        <v>0.57999999999999996</v>
      </c>
      <c r="J2399" t="s">
        <v>310</v>
      </c>
      <c r="K2399" t="s">
        <v>229</v>
      </c>
      <c r="L2399">
        <v>0.2</v>
      </c>
      <c r="M2399">
        <v>4.92</v>
      </c>
      <c r="N2399">
        <v>25577</v>
      </c>
      <c r="O2399">
        <v>23570</v>
      </c>
      <c r="P2399">
        <v>1.0900000000000001</v>
      </c>
      <c r="Q2399">
        <v>650</v>
      </c>
      <c r="R2399">
        <v>1543</v>
      </c>
      <c r="S2399" t="s">
        <v>3</v>
      </c>
      <c r="T2399">
        <v>64000</v>
      </c>
      <c r="U2399" t="s">
        <v>1272</v>
      </c>
      <c r="V2399" t="s">
        <v>1272</v>
      </c>
      <c r="W2399">
        <v>0.2</v>
      </c>
    </row>
    <row r="2400" spans="1:23">
      <c r="A2400" t="str">
        <f>"601116"</f>
        <v>601116</v>
      </c>
      <c r="B2400" t="s">
        <v>5930</v>
      </c>
      <c r="C2400">
        <v>8.2899999999999991</v>
      </c>
      <c r="D2400">
        <v>8.4600000000000009</v>
      </c>
      <c r="E2400">
        <v>8.18</v>
      </c>
      <c r="F2400">
        <v>8.41</v>
      </c>
      <c r="G2400">
        <v>96954</v>
      </c>
      <c r="H2400">
        <v>80805744</v>
      </c>
      <c r="I2400">
        <v>1.36</v>
      </c>
      <c r="J2400" t="s">
        <v>920</v>
      </c>
      <c r="K2400" t="s">
        <v>229</v>
      </c>
      <c r="L2400">
        <v>1.57</v>
      </c>
      <c r="M2400">
        <v>8.33</v>
      </c>
      <c r="N2400">
        <v>42015</v>
      </c>
      <c r="O2400">
        <v>54939</v>
      </c>
      <c r="P2400">
        <v>0.76</v>
      </c>
      <c r="Q2400">
        <v>103</v>
      </c>
      <c r="R2400">
        <v>793</v>
      </c>
      <c r="S2400" t="s">
        <v>3</v>
      </c>
      <c r="T2400">
        <v>40189.300000000003</v>
      </c>
      <c r="U2400" t="s">
        <v>5931</v>
      </c>
      <c r="V2400" t="s">
        <v>5932</v>
      </c>
      <c r="W2400">
        <v>1.57</v>
      </c>
    </row>
    <row r="2401" spans="1:23">
      <c r="A2401" t="str">
        <f>"601117"</f>
        <v>601117</v>
      </c>
      <c r="B2401" t="s">
        <v>5933</v>
      </c>
      <c r="C2401">
        <v>6.04</v>
      </c>
      <c r="D2401">
        <v>6.09</v>
      </c>
      <c r="E2401">
        <v>6.01</v>
      </c>
      <c r="F2401">
        <v>6.01</v>
      </c>
      <c r="G2401">
        <v>487899</v>
      </c>
      <c r="H2401">
        <v>294500352</v>
      </c>
      <c r="I2401">
        <v>1.1399999999999999</v>
      </c>
      <c r="J2401" t="s">
        <v>33</v>
      </c>
      <c r="K2401" t="s">
        <v>34</v>
      </c>
      <c r="L2401">
        <v>-0.83</v>
      </c>
      <c r="M2401">
        <v>6.04</v>
      </c>
      <c r="N2401">
        <v>255382</v>
      </c>
      <c r="O2401">
        <v>232516</v>
      </c>
      <c r="P2401">
        <v>1.1000000000000001</v>
      </c>
      <c r="Q2401">
        <v>3498</v>
      </c>
      <c r="R2401">
        <v>1613</v>
      </c>
      <c r="S2401" t="s">
        <v>3</v>
      </c>
      <c r="T2401">
        <v>493300</v>
      </c>
      <c r="U2401" t="s">
        <v>5934</v>
      </c>
      <c r="V2401" t="s">
        <v>5934</v>
      </c>
      <c r="W2401">
        <v>-0.83</v>
      </c>
    </row>
    <row r="2402" spans="1:23">
      <c r="A2402" t="str">
        <f>"601118"</f>
        <v>601118</v>
      </c>
      <c r="B2402" t="s">
        <v>5935</v>
      </c>
      <c r="C2402">
        <v>6.96</v>
      </c>
      <c r="D2402">
        <v>6.98</v>
      </c>
      <c r="E2402">
        <v>6.83</v>
      </c>
      <c r="F2402">
        <v>6.93</v>
      </c>
      <c r="G2402">
        <v>306488</v>
      </c>
      <c r="H2402">
        <v>211884064</v>
      </c>
      <c r="I2402">
        <v>0.78</v>
      </c>
      <c r="J2402" t="s">
        <v>1137</v>
      </c>
      <c r="K2402" t="s">
        <v>356</v>
      </c>
      <c r="L2402">
        <v>-0.14000000000000001</v>
      </c>
      <c r="M2402">
        <v>6.91</v>
      </c>
      <c r="N2402">
        <v>154085</v>
      </c>
      <c r="O2402">
        <v>152402</v>
      </c>
      <c r="P2402">
        <v>1.01</v>
      </c>
      <c r="Q2402">
        <v>1054</v>
      </c>
      <c r="R2402">
        <v>1187</v>
      </c>
      <c r="S2402" t="s">
        <v>3</v>
      </c>
      <c r="T2402">
        <v>393117.16</v>
      </c>
      <c r="U2402" t="s">
        <v>5936</v>
      </c>
      <c r="V2402" t="s">
        <v>5936</v>
      </c>
      <c r="W2402">
        <v>-0.15</v>
      </c>
    </row>
    <row r="2403" spans="1:23">
      <c r="A2403" t="str">
        <f>"601126"</f>
        <v>601126</v>
      </c>
      <c r="B2403" t="s">
        <v>5937</v>
      </c>
      <c r="C2403">
        <v>16.399999999999999</v>
      </c>
      <c r="D2403">
        <v>16.420000000000002</v>
      </c>
      <c r="E2403">
        <v>16.18</v>
      </c>
      <c r="F2403">
        <v>16.23</v>
      </c>
      <c r="G2403">
        <v>42446</v>
      </c>
      <c r="H2403">
        <v>69002840</v>
      </c>
      <c r="I2403">
        <v>1.1100000000000001</v>
      </c>
      <c r="J2403" t="s">
        <v>145</v>
      </c>
      <c r="K2403" t="s">
        <v>34</v>
      </c>
      <c r="L2403">
        <v>-1.04</v>
      </c>
      <c r="M2403">
        <v>16.260000000000002</v>
      </c>
      <c r="N2403">
        <v>26274</v>
      </c>
      <c r="O2403">
        <v>16172</v>
      </c>
      <c r="P2403">
        <v>1.62</v>
      </c>
      <c r="Q2403">
        <v>20</v>
      </c>
      <c r="R2403">
        <v>21</v>
      </c>
      <c r="S2403" t="s">
        <v>3</v>
      </c>
      <c r="T2403">
        <v>40647.35</v>
      </c>
      <c r="U2403" t="s">
        <v>5938</v>
      </c>
      <c r="V2403" t="s">
        <v>5939</v>
      </c>
      <c r="W2403">
        <v>-1.04</v>
      </c>
    </row>
    <row r="2404" spans="1:23">
      <c r="A2404" t="str">
        <f>"601137"</f>
        <v>601137</v>
      </c>
      <c r="B2404" t="s">
        <v>5940</v>
      </c>
      <c r="C2404">
        <v>17.52</v>
      </c>
      <c r="D2404">
        <v>18.18</v>
      </c>
      <c r="E2404">
        <v>17.43</v>
      </c>
      <c r="F2404">
        <v>17.809999999999999</v>
      </c>
      <c r="G2404">
        <v>31743</v>
      </c>
      <c r="H2404">
        <v>56841860</v>
      </c>
      <c r="I2404">
        <v>2.2400000000000002</v>
      </c>
      <c r="J2404" t="s">
        <v>670</v>
      </c>
      <c r="K2404" t="s">
        <v>229</v>
      </c>
      <c r="L2404">
        <v>1.77</v>
      </c>
      <c r="M2404">
        <v>17.91</v>
      </c>
      <c r="N2404">
        <v>15963</v>
      </c>
      <c r="O2404">
        <v>15780</v>
      </c>
      <c r="P2404">
        <v>1.01</v>
      </c>
      <c r="Q2404">
        <v>97</v>
      </c>
      <c r="R2404">
        <v>10</v>
      </c>
      <c r="S2404" t="s">
        <v>3</v>
      </c>
      <c r="T2404">
        <v>21500</v>
      </c>
      <c r="U2404" t="s">
        <v>557</v>
      </c>
      <c r="V2404" t="s">
        <v>557</v>
      </c>
      <c r="W2404">
        <v>1.77</v>
      </c>
    </row>
    <row r="2405" spans="1:23">
      <c r="A2405" t="str">
        <f>"601139"</f>
        <v>601139</v>
      </c>
      <c r="B2405" t="s">
        <v>5941</v>
      </c>
      <c r="C2405">
        <v>7.3</v>
      </c>
      <c r="D2405">
        <v>7.3</v>
      </c>
      <c r="E2405">
        <v>7.22</v>
      </c>
      <c r="F2405">
        <v>7.26</v>
      </c>
      <c r="G2405">
        <v>67699</v>
      </c>
      <c r="H2405">
        <v>49110032</v>
      </c>
      <c r="I2405">
        <v>0.81</v>
      </c>
      <c r="J2405" t="s">
        <v>581</v>
      </c>
      <c r="K2405" t="s">
        <v>2</v>
      </c>
      <c r="L2405">
        <v>-0.14000000000000001</v>
      </c>
      <c r="M2405">
        <v>7.25</v>
      </c>
      <c r="N2405">
        <v>35143</v>
      </c>
      <c r="O2405">
        <v>32555</v>
      </c>
      <c r="P2405">
        <v>1.08</v>
      </c>
      <c r="Q2405">
        <v>680</v>
      </c>
      <c r="R2405">
        <v>2477</v>
      </c>
      <c r="S2405" t="s">
        <v>3</v>
      </c>
      <c r="T2405">
        <v>190458.56</v>
      </c>
      <c r="U2405" t="s">
        <v>5942</v>
      </c>
      <c r="V2405" t="s">
        <v>5943</v>
      </c>
      <c r="W2405">
        <v>-0.14000000000000001</v>
      </c>
    </row>
    <row r="2406" spans="1:23">
      <c r="A2406" t="str">
        <f>"601158"</f>
        <v>601158</v>
      </c>
      <c r="B2406" t="s">
        <v>5944</v>
      </c>
      <c r="C2406">
        <v>5.67</v>
      </c>
      <c r="D2406">
        <v>5.74</v>
      </c>
      <c r="E2406">
        <v>5.62</v>
      </c>
      <c r="F2406">
        <v>5.67</v>
      </c>
      <c r="G2406">
        <v>215917</v>
      </c>
      <c r="H2406">
        <v>122482640</v>
      </c>
      <c r="I2406">
        <v>0.74</v>
      </c>
      <c r="J2406" t="s">
        <v>609</v>
      </c>
      <c r="K2406" t="s">
        <v>386</v>
      </c>
      <c r="L2406">
        <v>0</v>
      </c>
      <c r="M2406">
        <v>5.67</v>
      </c>
      <c r="N2406">
        <v>122681</v>
      </c>
      <c r="O2406">
        <v>93236</v>
      </c>
      <c r="P2406">
        <v>1.32</v>
      </c>
      <c r="Q2406">
        <v>1226</v>
      </c>
      <c r="R2406">
        <v>333</v>
      </c>
      <c r="S2406" t="s">
        <v>3</v>
      </c>
      <c r="T2406">
        <v>480000</v>
      </c>
      <c r="U2406" t="s">
        <v>5945</v>
      </c>
      <c r="V2406" t="s">
        <v>5945</v>
      </c>
      <c r="W2406">
        <v>0</v>
      </c>
    </row>
    <row r="2407" spans="1:23">
      <c r="A2407" t="str">
        <f>"601166"</f>
        <v>601166</v>
      </c>
      <c r="B2407" t="s">
        <v>5946</v>
      </c>
      <c r="C2407">
        <v>10.62</v>
      </c>
      <c r="D2407">
        <v>10.64</v>
      </c>
      <c r="E2407">
        <v>10.47</v>
      </c>
      <c r="F2407">
        <v>10.49</v>
      </c>
      <c r="G2407">
        <v>971585</v>
      </c>
      <c r="H2407">
        <v>1022496000</v>
      </c>
      <c r="I2407">
        <v>0.92</v>
      </c>
      <c r="J2407" t="s">
        <v>1</v>
      </c>
      <c r="K2407" t="s">
        <v>414</v>
      </c>
      <c r="L2407">
        <v>-1.22</v>
      </c>
      <c r="M2407">
        <v>10.52</v>
      </c>
      <c r="N2407">
        <v>571548</v>
      </c>
      <c r="O2407">
        <v>400037</v>
      </c>
      <c r="P2407">
        <v>1.43</v>
      </c>
      <c r="Q2407">
        <v>8484</v>
      </c>
      <c r="R2407">
        <v>2873</v>
      </c>
      <c r="S2407" t="s">
        <v>3</v>
      </c>
      <c r="T2407">
        <v>1617961.63</v>
      </c>
      <c r="U2407" t="s">
        <v>5947</v>
      </c>
      <c r="V2407" t="s">
        <v>5948</v>
      </c>
      <c r="W2407">
        <v>-1.23</v>
      </c>
    </row>
    <row r="2408" spans="1:23">
      <c r="A2408" t="str">
        <f>"601168"</f>
        <v>601168</v>
      </c>
      <c r="B2408" t="s">
        <v>5949</v>
      </c>
      <c r="C2408">
        <v>6.34</v>
      </c>
      <c r="D2408">
        <v>6.36</v>
      </c>
      <c r="E2408">
        <v>6.28</v>
      </c>
      <c r="F2408">
        <v>6.31</v>
      </c>
      <c r="G2408">
        <v>223847</v>
      </c>
      <c r="H2408">
        <v>141281136</v>
      </c>
      <c r="I2408">
        <v>0.81</v>
      </c>
      <c r="J2408" t="s">
        <v>670</v>
      </c>
      <c r="K2408" t="s">
        <v>613</v>
      </c>
      <c r="L2408">
        <v>-0.63</v>
      </c>
      <c r="M2408">
        <v>6.31</v>
      </c>
      <c r="N2408">
        <v>119375</v>
      </c>
      <c r="O2408">
        <v>104471</v>
      </c>
      <c r="P2408">
        <v>1.1399999999999999</v>
      </c>
      <c r="Q2408">
        <v>449</v>
      </c>
      <c r="R2408">
        <v>1785</v>
      </c>
      <c r="S2408" t="s">
        <v>3</v>
      </c>
      <c r="T2408">
        <v>238300</v>
      </c>
      <c r="U2408" t="s">
        <v>5950</v>
      </c>
      <c r="V2408" t="s">
        <v>5950</v>
      </c>
      <c r="W2408">
        <v>-0.63</v>
      </c>
    </row>
    <row r="2409" spans="1:23">
      <c r="A2409" t="str">
        <f>"601169"</f>
        <v>601169</v>
      </c>
      <c r="B2409" t="s">
        <v>5951</v>
      </c>
      <c r="C2409">
        <v>7.91</v>
      </c>
      <c r="D2409">
        <v>7.94</v>
      </c>
      <c r="E2409">
        <v>7.65</v>
      </c>
      <c r="F2409">
        <v>7.71</v>
      </c>
      <c r="G2409">
        <v>576402</v>
      </c>
      <c r="H2409">
        <v>446156672</v>
      </c>
      <c r="I2409">
        <v>0.87</v>
      </c>
      <c r="J2409" t="s">
        <v>1</v>
      </c>
      <c r="K2409" t="s">
        <v>34</v>
      </c>
      <c r="L2409">
        <v>-2.5299999999999998</v>
      </c>
      <c r="M2409">
        <v>7.74</v>
      </c>
      <c r="N2409">
        <v>330746</v>
      </c>
      <c r="O2409">
        <v>245655</v>
      </c>
      <c r="P2409">
        <v>1.35</v>
      </c>
      <c r="Q2409">
        <v>3092</v>
      </c>
      <c r="R2409">
        <v>197</v>
      </c>
      <c r="S2409" t="s">
        <v>3</v>
      </c>
      <c r="T2409">
        <v>896768.94</v>
      </c>
      <c r="U2409" t="s">
        <v>5952</v>
      </c>
      <c r="V2409" t="s">
        <v>5953</v>
      </c>
      <c r="W2409">
        <v>-2.5299999999999998</v>
      </c>
    </row>
    <row r="2410" spans="1:23">
      <c r="A2410" t="str">
        <f>"601177"</f>
        <v>601177</v>
      </c>
      <c r="B2410" t="s">
        <v>5954</v>
      </c>
      <c r="C2410">
        <v>8.14</v>
      </c>
      <c r="D2410">
        <v>8.4700000000000006</v>
      </c>
      <c r="E2410">
        <v>8.11</v>
      </c>
      <c r="F2410">
        <v>8.42</v>
      </c>
      <c r="G2410">
        <v>98282</v>
      </c>
      <c r="H2410">
        <v>82074104</v>
      </c>
      <c r="I2410">
        <v>2.13</v>
      </c>
      <c r="J2410" t="s">
        <v>398</v>
      </c>
      <c r="K2410" t="s">
        <v>229</v>
      </c>
      <c r="L2410">
        <v>4.34</v>
      </c>
      <c r="M2410">
        <v>8.35</v>
      </c>
      <c r="N2410">
        <v>45057</v>
      </c>
      <c r="O2410">
        <v>53224</v>
      </c>
      <c r="P2410">
        <v>0.85</v>
      </c>
      <c r="Q2410">
        <v>165</v>
      </c>
      <c r="R2410">
        <v>553</v>
      </c>
      <c r="S2410" t="s">
        <v>3</v>
      </c>
      <c r="T2410">
        <v>40006</v>
      </c>
      <c r="U2410" t="s">
        <v>3832</v>
      </c>
      <c r="V2410" t="s">
        <v>3832</v>
      </c>
      <c r="W2410">
        <v>4.33</v>
      </c>
    </row>
    <row r="2411" spans="1:23">
      <c r="A2411" t="str">
        <f>"601179"</f>
        <v>601179</v>
      </c>
      <c r="B2411" t="s">
        <v>5955</v>
      </c>
      <c r="C2411">
        <v>4.0599999999999996</v>
      </c>
      <c r="D2411">
        <v>4.07</v>
      </c>
      <c r="E2411">
        <v>4.01</v>
      </c>
      <c r="F2411">
        <v>4.05</v>
      </c>
      <c r="G2411">
        <v>216833</v>
      </c>
      <c r="H2411">
        <v>87616040</v>
      </c>
      <c r="I2411">
        <v>0.75</v>
      </c>
      <c r="J2411" t="s">
        <v>145</v>
      </c>
      <c r="K2411" t="s">
        <v>389</v>
      </c>
      <c r="L2411">
        <v>-0.25</v>
      </c>
      <c r="M2411">
        <v>4.04</v>
      </c>
      <c r="N2411">
        <v>119666</v>
      </c>
      <c r="O2411">
        <v>97167</v>
      </c>
      <c r="P2411">
        <v>1.23</v>
      </c>
      <c r="Q2411">
        <v>555</v>
      </c>
      <c r="R2411">
        <v>6647</v>
      </c>
      <c r="S2411" t="s">
        <v>3</v>
      </c>
      <c r="T2411">
        <v>435700</v>
      </c>
      <c r="U2411" t="s">
        <v>5956</v>
      </c>
      <c r="V2411" t="s">
        <v>5957</v>
      </c>
      <c r="W2411">
        <v>-0.25</v>
      </c>
    </row>
    <row r="2412" spans="1:23">
      <c r="A2412" t="str">
        <f>"601186"</f>
        <v>601186</v>
      </c>
      <c r="B2412" t="s">
        <v>5958</v>
      </c>
      <c r="C2412">
        <v>5.19</v>
      </c>
      <c r="D2412">
        <v>5.2</v>
      </c>
      <c r="E2412">
        <v>5.16</v>
      </c>
      <c r="F2412">
        <v>5.17</v>
      </c>
      <c r="G2412">
        <v>224546</v>
      </c>
      <c r="H2412">
        <v>116209960</v>
      </c>
      <c r="I2412">
        <v>0.68</v>
      </c>
      <c r="J2412" t="s">
        <v>33</v>
      </c>
      <c r="K2412" t="s">
        <v>34</v>
      </c>
      <c r="L2412">
        <v>-0.57999999999999996</v>
      </c>
      <c r="M2412">
        <v>5.18</v>
      </c>
      <c r="N2412">
        <v>137141</v>
      </c>
      <c r="O2412">
        <v>87405</v>
      </c>
      <c r="P2412">
        <v>1.57</v>
      </c>
      <c r="Q2412">
        <v>15391</v>
      </c>
      <c r="R2412">
        <v>1811</v>
      </c>
      <c r="S2412" t="s">
        <v>3</v>
      </c>
      <c r="T2412">
        <v>1026124.56</v>
      </c>
      <c r="U2412" t="s">
        <v>5959</v>
      </c>
      <c r="V2412" t="s">
        <v>5959</v>
      </c>
      <c r="W2412">
        <v>-0.57999999999999996</v>
      </c>
    </row>
    <row r="2413" spans="1:23">
      <c r="A2413" t="str">
        <f>"601188"</f>
        <v>601188</v>
      </c>
      <c r="B2413" t="s">
        <v>5960</v>
      </c>
      <c r="C2413">
        <v>3.17</v>
      </c>
      <c r="D2413">
        <v>3.17</v>
      </c>
      <c r="E2413">
        <v>3.12</v>
      </c>
      <c r="F2413">
        <v>3.17</v>
      </c>
      <c r="G2413">
        <v>125647</v>
      </c>
      <c r="H2413">
        <v>39574240</v>
      </c>
      <c r="I2413">
        <v>0.77</v>
      </c>
      <c r="J2413" t="s">
        <v>336</v>
      </c>
      <c r="K2413" t="s">
        <v>565</v>
      </c>
      <c r="L2413">
        <v>0</v>
      </c>
      <c r="M2413">
        <v>3.15</v>
      </c>
      <c r="N2413">
        <v>73924</v>
      </c>
      <c r="O2413">
        <v>51723</v>
      </c>
      <c r="P2413">
        <v>1.43</v>
      </c>
      <c r="Q2413">
        <v>1423</v>
      </c>
      <c r="R2413">
        <v>2900</v>
      </c>
      <c r="S2413" t="s">
        <v>3</v>
      </c>
      <c r="T2413">
        <v>121320</v>
      </c>
      <c r="U2413" t="s">
        <v>536</v>
      </c>
      <c r="V2413" t="s">
        <v>407</v>
      </c>
      <c r="W2413">
        <v>0</v>
      </c>
    </row>
    <row r="2414" spans="1:23">
      <c r="A2414" t="str">
        <f>"601199"</f>
        <v>601199</v>
      </c>
      <c r="B2414" t="s">
        <v>5961</v>
      </c>
      <c r="C2414">
        <v>16.600000000000001</v>
      </c>
      <c r="D2414">
        <v>16.96</v>
      </c>
      <c r="E2414">
        <v>16.46</v>
      </c>
      <c r="F2414">
        <v>16.760000000000002</v>
      </c>
      <c r="G2414">
        <v>53517</v>
      </c>
      <c r="H2414">
        <v>89600984</v>
      </c>
      <c r="I2414">
        <v>1.39</v>
      </c>
      <c r="J2414" t="s">
        <v>609</v>
      </c>
      <c r="K2414" t="s">
        <v>244</v>
      </c>
      <c r="L2414">
        <v>1.02</v>
      </c>
      <c r="M2414">
        <v>16.739999999999998</v>
      </c>
      <c r="N2414">
        <v>26598</v>
      </c>
      <c r="O2414">
        <v>26919</v>
      </c>
      <c r="P2414">
        <v>0.99</v>
      </c>
      <c r="Q2414">
        <v>168</v>
      </c>
      <c r="R2414">
        <v>128</v>
      </c>
      <c r="S2414" t="s">
        <v>3</v>
      </c>
      <c r="T2414">
        <v>23380</v>
      </c>
      <c r="U2414" t="s">
        <v>5962</v>
      </c>
      <c r="V2414" t="s">
        <v>5962</v>
      </c>
      <c r="W2414">
        <v>1.02</v>
      </c>
    </row>
    <row r="2415" spans="1:23">
      <c r="A2415" t="str">
        <f>"601208"</f>
        <v>601208</v>
      </c>
      <c r="B2415" t="s">
        <v>5963</v>
      </c>
      <c r="C2415">
        <v>8.91</v>
      </c>
      <c r="D2415">
        <v>8.91</v>
      </c>
      <c r="E2415">
        <v>8.77</v>
      </c>
      <c r="F2415">
        <v>8.84</v>
      </c>
      <c r="G2415">
        <v>108677</v>
      </c>
      <c r="H2415">
        <v>95982392</v>
      </c>
      <c r="I2415">
        <v>0.74</v>
      </c>
      <c r="J2415" t="s">
        <v>376</v>
      </c>
      <c r="K2415" t="s">
        <v>225</v>
      </c>
      <c r="L2415">
        <v>-1.23</v>
      </c>
      <c r="M2415">
        <v>8.83</v>
      </c>
      <c r="N2415">
        <v>64329</v>
      </c>
      <c r="O2415">
        <v>44347</v>
      </c>
      <c r="P2415">
        <v>1.45</v>
      </c>
      <c r="Q2415">
        <v>120</v>
      </c>
      <c r="R2415">
        <v>379</v>
      </c>
      <c r="S2415" t="s">
        <v>3</v>
      </c>
      <c r="T2415">
        <v>56607.32</v>
      </c>
      <c r="U2415" t="s">
        <v>1893</v>
      </c>
      <c r="V2415" t="s">
        <v>5964</v>
      </c>
      <c r="W2415">
        <v>-1.23</v>
      </c>
    </row>
    <row r="2416" spans="1:23">
      <c r="A2416" t="str">
        <f>"601216"</f>
        <v>601216</v>
      </c>
      <c r="B2416" t="s">
        <v>5965</v>
      </c>
      <c r="C2416">
        <v>8.4</v>
      </c>
      <c r="D2416">
        <v>8.74</v>
      </c>
      <c r="E2416">
        <v>8.33</v>
      </c>
      <c r="F2416">
        <v>8.7100000000000009</v>
      </c>
      <c r="G2416">
        <v>559906</v>
      </c>
      <c r="H2416">
        <v>477775008</v>
      </c>
      <c r="I2416">
        <v>2.21</v>
      </c>
      <c r="J2416" t="s">
        <v>376</v>
      </c>
      <c r="K2416" t="s">
        <v>329</v>
      </c>
      <c r="L2416">
        <v>4.3099999999999996</v>
      </c>
      <c r="M2416">
        <v>8.5299999999999994</v>
      </c>
      <c r="N2416">
        <v>243216</v>
      </c>
      <c r="O2416">
        <v>316689</v>
      </c>
      <c r="P2416">
        <v>0.77</v>
      </c>
      <c r="Q2416">
        <v>243</v>
      </c>
      <c r="R2416">
        <v>200</v>
      </c>
      <c r="S2416" t="s">
        <v>3</v>
      </c>
      <c r="T2416">
        <v>204800</v>
      </c>
      <c r="U2416" t="s">
        <v>5966</v>
      </c>
      <c r="V2416" t="s">
        <v>5966</v>
      </c>
      <c r="W2416">
        <v>4.3099999999999996</v>
      </c>
    </row>
    <row r="2417" spans="1:23">
      <c r="A2417" t="str">
        <f>"601218"</f>
        <v>601218</v>
      </c>
      <c r="B2417" t="s">
        <v>5967</v>
      </c>
      <c r="C2417">
        <v>7.9</v>
      </c>
      <c r="D2417">
        <v>8.0500000000000007</v>
      </c>
      <c r="E2417">
        <v>7.85</v>
      </c>
      <c r="F2417">
        <v>7.93</v>
      </c>
      <c r="G2417">
        <v>96903</v>
      </c>
      <c r="H2417">
        <v>76943424</v>
      </c>
      <c r="I2417">
        <v>0.63</v>
      </c>
      <c r="J2417" t="s">
        <v>398</v>
      </c>
      <c r="K2417" t="s">
        <v>244</v>
      </c>
      <c r="L2417">
        <v>0.13</v>
      </c>
      <c r="M2417">
        <v>7.94</v>
      </c>
      <c r="N2417">
        <v>58459</v>
      </c>
      <c r="O2417">
        <v>38444</v>
      </c>
      <c r="P2417">
        <v>1.52</v>
      </c>
      <c r="Q2417">
        <v>1090</v>
      </c>
      <c r="R2417">
        <v>15</v>
      </c>
      <c r="S2417" t="s">
        <v>3</v>
      </c>
      <c r="T2417">
        <v>99176</v>
      </c>
      <c r="U2417" t="s">
        <v>5968</v>
      </c>
      <c r="V2417" t="s">
        <v>5968</v>
      </c>
      <c r="W2417">
        <v>0.12</v>
      </c>
    </row>
    <row r="2418" spans="1:23">
      <c r="A2418" t="str">
        <f>"601222"</f>
        <v>601222</v>
      </c>
      <c r="B2418" t="s">
        <v>5969</v>
      </c>
      <c r="C2418">
        <v>27.18</v>
      </c>
      <c r="D2418">
        <v>27.21</v>
      </c>
      <c r="E2418">
        <v>26.5</v>
      </c>
      <c r="F2418">
        <v>26.72</v>
      </c>
      <c r="G2418">
        <v>45937</v>
      </c>
      <c r="H2418">
        <v>122543552</v>
      </c>
      <c r="I2418">
        <v>1.29</v>
      </c>
      <c r="J2418" t="s">
        <v>617</v>
      </c>
      <c r="K2418" t="s">
        <v>244</v>
      </c>
      <c r="L2418">
        <v>-2.8</v>
      </c>
      <c r="M2418">
        <v>26.68</v>
      </c>
      <c r="N2418">
        <v>25324</v>
      </c>
      <c r="O2418">
        <v>20612</v>
      </c>
      <c r="P2418">
        <v>1.23</v>
      </c>
      <c r="Q2418">
        <v>193</v>
      </c>
      <c r="R2418">
        <v>36</v>
      </c>
      <c r="S2418" t="s">
        <v>3</v>
      </c>
      <c r="T2418">
        <v>35194.730000000003</v>
      </c>
      <c r="U2418" t="s">
        <v>5970</v>
      </c>
      <c r="V2418" t="s">
        <v>5971</v>
      </c>
      <c r="W2418">
        <v>-2.81</v>
      </c>
    </row>
    <row r="2419" spans="1:23">
      <c r="A2419" t="str">
        <f>"601225"</f>
        <v>601225</v>
      </c>
      <c r="B2419" t="s">
        <v>5972</v>
      </c>
      <c r="C2419">
        <v>4.66</v>
      </c>
      <c r="D2419">
        <v>4.6900000000000004</v>
      </c>
      <c r="E2419">
        <v>4.6100000000000003</v>
      </c>
      <c r="F2419">
        <v>4.6500000000000004</v>
      </c>
      <c r="G2419">
        <v>252908</v>
      </c>
      <c r="H2419">
        <v>117339576</v>
      </c>
      <c r="I2419">
        <v>0.9</v>
      </c>
      <c r="J2419" t="s">
        <v>482</v>
      </c>
      <c r="K2419" t="s">
        <v>389</v>
      </c>
      <c r="L2419">
        <v>-0.21</v>
      </c>
      <c r="M2419">
        <v>4.6399999999999997</v>
      </c>
      <c r="N2419">
        <v>131318</v>
      </c>
      <c r="O2419">
        <v>121590</v>
      </c>
      <c r="P2419">
        <v>1.08</v>
      </c>
      <c r="Q2419">
        <v>3914</v>
      </c>
      <c r="R2419">
        <v>152</v>
      </c>
      <c r="S2419" t="s">
        <v>3</v>
      </c>
      <c r="T2419">
        <v>50000</v>
      </c>
      <c r="U2419" t="s">
        <v>830</v>
      </c>
      <c r="V2419" t="s">
        <v>5973</v>
      </c>
      <c r="W2419">
        <v>-0.22</v>
      </c>
    </row>
    <row r="2420" spans="1:23">
      <c r="A2420" t="str">
        <f>"601231"</f>
        <v>601231</v>
      </c>
      <c r="B2420" t="s">
        <v>5974</v>
      </c>
      <c r="C2420">
        <v>33.18</v>
      </c>
      <c r="D2420">
        <v>33.270000000000003</v>
      </c>
      <c r="E2420">
        <v>32.659999999999997</v>
      </c>
      <c r="F2420">
        <v>32.99</v>
      </c>
      <c r="G2420">
        <v>29620</v>
      </c>
      <c r="H2420">
        <v>97547528</v>
      </c>
      <c r="I2420">
        <v>0.78</v>
      </c>
      <c r="J2420" t="s">
        <v>62</v>
      </c>
      <c r="K2420" t="s">
        <v>727</v>
      </c>
      <c r="L2420">
        <v>-0.56999999999999995</v>
      </c>
      <c r="M2420">
        <v>32.93</v>
      </c>
      <c r="N2420">
        <v>16076</v>
      </c>
      <c r="O2420">
        <v>13544</v>
      </c>
      <c r="P2420">
        <v>1.19</v>
      </c>
      <c r="Q2420">
        <v>162</v>
      </c>
      <c r="R2420">
        <v>471</v>
      </c>
      <c r="S2420" t="s">
        <v>3</v>
      </c>
      <c r="T2420">
        <v>10680</v>
      </c>
      <c r="U2420" t="s">
        <v>5975</v>
      </c>
      <c r="V2420" t="s">
        <v>5976</v>
      </c>
      <c r="W2420">
        <v>-0.57999999999999996</v>
      </c>
    </row>
    <row r="2421" spans="1:23">
      <c r="A2421" t="str">
        <f>"601233"</f>
        <v>601233</v>
      </c>
      <c r="B2421" t="s">
        <v>5977</v>
      </c>
      <c r="C2421">
        <v>6.91</v>
      </c>
      <c r="D2421">
        <v>7.04</v>
      </c>
      <c r="E2421">
        <v>6.86</v>
      </c>
      <c r="F2421">
        <v>6.97</v>
      </c>
      <c r="G2421">
        <v>74718</v>
      </c>
      <c r="H2421">
        <v>52077000</v>
      </c>
      <c r="I2421">
        <v>0.97</v>
      </c>
      <c r="J2421" t="s">
        <v>310</v>
      </c>
      <c r="K2421" t="s">
        <v>229</v>
      </c>
      <c r="L2421">
        <v>0.87</v>
      </c>
      <c r="M2421">
        <v>6.97</v>
      </c>
      <c r="N2421">
        <v>34534</v>
      </c>
      <c r="O2421">
        <v>40183</v>
      </c>
      <c r="P2421">
        <v>0.86</v>
      </c>
      <c r="Q2421">
        <v>493</v>
      </c>
      <c r="R2421">
        <v>597</v>
      </c>
      <c r="S2421" t="s">
        <v>3</v>
      </c>
      <c r="T2421">
        <v>95927.07</v>
      </c>
      <c r="U2421" t="s">
        <v>5978</v>
      </c>
      <c r="V2421" t="s">
        <v>5979</v>
      </c>
      <c r="W2421">
        <v>0.86</v>
      </c>
    </row>
    <row r="2422" spans="1:23">
      <c r="A2422" t="str">
        <f>"601238"</f>
        <v>601238</v>
      </c>
      <c r="B2422" t="s">
        <v>5980</v>
      </c>
      <c r="C2422">
        <v>8.35</v>
      </c>
      <c r="D2422">
        <v>8.36</v>
      </c>
      <c r="E2422">
        <v>8.2100000000000009</v>
      </c>
      <c r="F2422">
        <v>8.2899999999999991</v>
      </c>
      <c r="G2422">
        <v>75116</v>
      </c>
      <c r="H2422">
        <v>62100896</v>
      </c>
      <c r="I2422">
        <v>0.71</v>
      </c>
      <c r="J2422" t="s">
        <v>476</v>
      </c>
      <c r="K2422" t="s">
        <v>211</v>
      </c>
      <c r="L2422">
        <v>-0.12</v>
      </c>
      <c r="M2422">
        <v>8.27</v>
      </c>
      <c r="N2422">
        <v>46067</v>
      </c>
      <c r="O2422">
        <v>29049</v>
      </c>
      <c r="P2422">
        <v>1.59</v>
      </c>
      <c r="Q2422">
        <v>585</v>
      </c>
      <c r="R2422">
        <v>60</v>
      </c>
      <c r="S2422" t="s">
        <v>3</v>
      </c>
      <c r="T2422">
        <v>60431.64</v>
      </c>
      <c r="U2422" t="s">
        <v>3882</v>
      </c>
      <c r="V2422" t="s">
        <v>5981</v>
      </c>
      <c r="W2422">
        <v>-0.12</v>
      </c>
    </row>
    <row r="2423" spans="1:23">
      <c r="A2423" t="str">
        <f>"601258"</f>
        <v>601258</v>
      </c>
      <c r="B2423" t="s">
        <v>5982</v>
      </c>
      <c r="C2423">
        <v>5.34</v>
      </c>
      <c r="D2423">
        <v>5.46</v>
      </c>
      <c r="E2423">
        <v>5.33</v>
      </c>
      <c r="F2423">
        <v>5.42</v>
      </c>
      <c r="G2423">
        <v>215141</v>
      </c>
      <c r="H2423">
        <v>116200648</v>
      </c>
      <c r="I2423">
        <v>1.26</v>
      </c>
      <c r="J2423" t="s">
        <v>79</v>
      </c>
      <c r="K2423" t="s">
        <v>238</v>
      </c>
      <c r="L2423">
        <v>1.69</v>
      </c>
      <c r="M2423">
        <v>5.4</v>
      </c>
      <c r="N2423">
        <v>108777</v>
      </c>
      <c r="O2423">
        <v>106364</v>
      </c>
      <c r="P2423">
        <v>1.02</v>
      </c>
      <c r="Q2423">
        <v>218</v>
      </c>
      <c r="R2423">
        <v>1750</v>
      </c>
      <c r="S2423" t="s">
        <v>3</v>
      </c>
      <c r="T2423">
        <v>262150</v>
      </c>
      <c r="U2423" t="s">
        <v>5983</v>
      </c>
      <c r="V2423" t="s">
        <v>5983</v>
      </c>
      <c r="W2423">
        <v>1.68</v>
      </c>
    </row>
    <row r="2424" spans="1:23">
      <c r="A2424" t="str">
        <f>"601288"</f>
        <v>601288</v>
      </c>
      <c r="B2424" t="s">
        <v>5984</v>
      </c>
      <c r="C2424">
        <v>2.5299999999999998</v>
      </c>
      <c r="D2424">
        <v>2.5299999999999998</v>
      </c>
      <c r="E2424">
        <v>2.5099999999999998</v>
      </c>
      <c r="F2424">
        <v>2.5099999999999998</v>
      </c>
      <c r="G2424">
        <v>879434</v>
      </c>
      <c r="H2424">
        <v>221355744</v>
      </c>
      <c r="I2424">
        <v>0.73</v>
      </c>
      <c r="J2424" t="s">
        <v>1</v>
      </c>
      <c r="K2424" t="s">
        <v>34</v>
      </c>
      <c r="L2424">
        <v>-0.4</v>
      </c>
      <c r="M2424">
        <v>2.52</v>
      </c>
      <c r="N2424">
        <v>401661</v>
      </c>
      <c r="O2424">
        <v>477773</v>
      </c>
      <c r="P2424">
        <v>0.84</v>
      </c>
      <c r="Q2424">
        <v>54094</v>
      </c>
      <c r="R2424">
        <v>121712</v>
      </c>
      <c r="S2424" t="s">
        <v>3</v>
      </c>
      <c r="T2424">
        <v>28416352</v>
      </c>
      <c r="U2424" t="s">
        <v>5985</v>
      </c>
      <c r="V2424" t="s">
        <v>5986</v>
      </c>
      <c r="W2424">
        <v>-0.4</v>
      </c>
    </row>
    <row r="2425" spans="1:23">
      <c r="A2425" t="str">
        <f>"601299"</f>
        <v>601299</v>
      </c>
      <c r="B2425" t="s">
        <v>5987</v>
      </c>
      <c r="C2425">
        <v>5.25</v>
      </c>
      <c r="D2425">
        <v>5.28</v>
      </c>
      <c r="E2425">
        <v>5.18</v>
      </c>
      <c r="F2425">
        <v>5.26</v>
      </c>
      <c r="G2425">
        <v>671290</v>
      </c>
      <c r="H2425">
        <v>351662560</v>
      </c>
      <c r="I2425">
        <v>0.79</v>
      </c>
      <c r="J2425" t="s">
        <v>1208</v>
      </c>
      <c r="K2425" t="s">
        <v>34</v>
      </c>
      <c r="L2425">
        <v>0.19</v>
      </c>
      <c r="M2425">
        <v>5.24</v>
      </c>
      <c r="N2425">
        <v>323140</v>
      </c>
      <c r="O2425">
        <v>348149</v>
      </c>
      <c r="P2425">
        <v>0.93</v>
      </c>
      <c r="Q2425">
        <v>5009</v>
      </c>
      <c r="R2425">
        <v>3125</v>
      </c>
      <c r="S2425" t="s">
        <v>3</v>
      </c>
      <c r="T2425">
        <v>1012608.38</v>
      </c>
      <c r="U2425" t="s">
        <v>5988</v>
      </c>
      <c r="V2425" t="s">
        <v>5988</v>
      </c>
      <c r="W2425">
        <v>0.19</v>
      </c>
    </row>
    <row r="2426" spans="1:23">
      <c r="A2426" t="str">
        <f>"601311"</f>
        <v>601311</v>
      </c>
      <c r="B2426" t="s">
        <v>5989</v>
      </c>
      <c r="C2426">
        <v>13.59</v>
      </c>
      <c r="D2426">
        <v>13.85</v>
      </c>
      <c r="E2426">
        <v>13.38</v>
      </c>
      <c r="F2426">
        <v>13.73</v>
      </c>
      <c r="G2426">
        <v>131343</v>
      </c>
      <c r="H2426">
        <v>179277296</v>
      </c>
      <c r="I2426">
        <v>0.63</v>
      </c>
      <c r="J2426" t="s">
        <v>145</v>
      </c>
      <c r="K2426" t="s">
        <v>317</v>
      </c>
      <c r="L2426">
        <v>0.59</v>
      </c>
      <c r="M2426">
        <v>13.65</v>
      </c>
      <c r="N2426">
        <v>63465</v>
      </c>
      <c r="O2426">
        <v>67878</v>
      </c>
      <c r="P2426">
        <v>0.93</v>
      </c>
      <c r="Q2426">
        <v>17</v>
      </c>
      <c r="R2426">
        <v>40</v>
      </c>
      <c r="S2426" t="s">
        <v>3</v>
      </c>
      <c r="T2426">
        <v>84461.57</v>
      </c>
      <c r="U2426" t="s">
        <v>5990</v>
      </c>
      <c r="V2426" t="s">
        <v>5991</v>
      </c>
      <c r="W2426">
        <v>0.57999999999999996</v>
      </c>
    </row>
    <row r="2427" spans="1:23">
      <c r="A2427" t="str">
        <f>"601313"</f>
        <v>601313</v>
      </c>
      <c r="B2427" t="s">
        <v>5992</v>
      </c>
      <c r="C2427">
        <v>8.57</v>
      </c>
      <c r="D2427">
        <v>8.6300000000000008</v>
      </c>
      <c r="E2427">
        <v>8.51</v>
      </c>
      <c r="F2427">
        <v>8.6199999999999992</v>
      </c>
      <c r="G2427">
        <v>74045</v>
      </c>
      <c r="H2427">
        <v>63480364</v>
      </c>
      <c r="I2427">
        <v>1.1599999999999999</v>
      </c>
      <c r="J2427" t="s">
        <v>1208</v>
      </c>
      <c r="K2427" t="s">
        <v>244</v>
      </c>
      <c r="L2427">
        <v>0.57999999999999996</v>
      </c>
      <c r="M2427">
        <v>8.57</v>
      </c>
      <c r="N2427">
        <v>38497</v>
      </c>
      <c r="O2427">
        <v>35547</v>
      </c>
      <c r="P2427">
        <v>1.08</v>
      </c>
      <c r="Q2427">
        <v>145</v>
      </c>
      <c r="R2427">
        <v>221</v>
      </c>
      <c r="S2427" t="s">
        <v>3</v>
      </c>
      <c r="T2427">
        <v>26852.53</v>
      </c>
      <c r="U2427" t="s">
        <v>113</v>
      </c>
      <c r="V2427" t="s">
        <v>5993</v>
      </c>
      <c r="W2427">
        <v>0.57999999999999996</v>
      </c>
    </row>
    <row r="2428" spans="1:23">
      <c r="A2428" t="str">
        <f>"601318"</f>
        <v>601318</v>
      </c>
      <c r="B2428" t="s">
        <v>5994</v>
      </c>
      <c r="C2428">
        <v>44.08</v>
      </c>
      <c r="D2428">
        <v>44.45</v>
      </c>
      <c r="E2428">
        <v>43.54</v>
      </c>
      <c r="F2428">
        <v>43.62</v>
      </c>
      <c r="G2428">
        <v>321235</v>
      </c>
      <c r="H2428">
        <v>1411217536</v>
      </c>
      <c r="I2428">
        <v>0.8</v>
      </c>
      <c r="J2428" t="s">
        <v>5995</v>
      </c>
      <c r="K2428" t="s">
        <v>2</v>
      </c>
      <c r="L2428">
        <v>-1.18</v>
      </c>
      <c r="M2428">
        <v>43.93</v>
      </c>
      <c r="N2428">
        <v>180924</v>
      </c>
      <c r="O2428">
        <v>140310</v>
      </c>
      <c r="P2428">
        <v>1.29</v>
      </c>
      <c r="Q2428">
        <v>384</v>
      </c>
      <c r="R2428">
        <v>108</v>
      </c>
      <c r="S2428" t="s">
        <v>3</v>
      </c>
      <c r="T2428">
        <v>478641.59</v>
      </c>
      <c r="U2428" t="s">
        <v>5996</v>
      </c>
      <c r="V2428" t="s">
        <v>5996</v>
      </c>
      <c r="W2428">
        <v>-1.18</v>
      </c>
    </row>
    <row r="2429" spans="1:23">
      <c r="A2429" t="str">
        <f>"601328"</f>
        <v>601328</v>
      </c>
      <c r="B2429" t="s">
        <v>5997</v>
      </c>
      <c r="C2429">
        <v>4.4000000000000004</v>
      </c>
      <c r="D2429">
        <v>4.41</v>
      </c>
      <c r="E2429">
        <v>4.33</v>
      </c>
      <c r="F2429">
        <v>4.34</v>
      </c>
      <c r="G2429">
        <v>760849</v>
      </c>
      <c r="H2429">
        <v>331573504</v>
      </c>
      <c r="I2429">
        <v>0.7</v>
      </c>
      <c r="J2429" t="s">
        <v>1</v>
      </c>
      <c r="K2429" t="s">
        <v>727</v>
      </c>
      <c r="L2429">
        <v>-1.36</v>
      </c>
      <c r="M2429">
        <v>4.3600000000000003</v>
      </c>
      <c r="N2429">
        <v>524824</v>
      </c>
      <c r="O2429">
        <v>236025</v>
      </c>
      <c r="P2429">
        <v>2.2200000000000002</v>
      </c>
      <c r="Q2429">
        <v>8277</v>
      </c>
      <c r="R2429">
        <v>14783</v>
      </c>
      <c r="S2429" t="s">
        <v>3</v>
      </c>
      <c r="T2429">
        <v>3270905.25</v>
      </c>
      <c r="U2429" t="s">
        <v>5998</v>
      </c>
      <c r="V2429" t="s">
        <v>5999</v>
      </c>
      <c r="W2429">
        <v>-1.37</v>
      </c>
    </row>
    <row r="2430" spans="1:23">
      <c r="A2430" t="str">
        <f>"601333"</f>
        <v>601333</v>
      </c>
      <c r="B2430" t="s">
        <v>6000</v>
      </c>
      <c r="C2430">
        <v>2.88</v>
      </c>
      <c r="D2430">
        <v>2.88</v>
      </c>
      <c r="E2430">
        <v>2.85</v>
      </c>
      <c r="F2430">
        <v>2.87</v>
      </c>
      <c r="G2430">
        <v>472781</v>
      </c>
      <c r="H2430">
        <v>135515264</v>
      </c>
      <c r="I2430">
        <v>1.1299999999999999</v>
      </c>
      <c r="J2430" t="s">
        <v>4442</v>
      </c>
      <c r="K2430" t="s">
        <v>2</v>
      </c>
      <c r="L2430">
        <v>-0.35</v>
      </c>
      <c r="M2430">
        <v>2.87</v>
      </c>
      <c r="N2430">
        <v>253141</v>
      </c>
      <c r="O2430">
        <v>219640</v>
      </c>
      <c r="P2430">
        <v>1.1499999999999999</v>
      </c>
      <c r="Q2430">
        <v>7248</v>
      </c>
      <c r="R2430">
        <v>12933</v>
      </c>
      <c r="S2430" t="s">
        <v>3</v>
      </c>
      <c r="T2430">
        <v>565223.68999999994</v>
      </c>
      <c r="U2430" t="s">
        <v>6001</v>
      </c>
      <c r="V2430" t="s">
        <v>6001</v>
      </c>
      <c r="W2430">
        <v>-0.35</v>
      </c>
    </row>
    <row r="2431" spans="1:23">
      <c r="A2431" t="str">
        <f>"601336"</f>
        <v>601336</v>
      </c>
      <c r="B2431" t="s">
        <v>6002</v>
      </c>
      <c r="C2431">
        <v>25.49</v>
      </c>
      <c r="D2431">
        <v>25.82</v>
      </c>
      <c r="E2431">
        <v>25.31</v>
      </c>
      <c r="F2431">
        <v>25.34</v>
      </c>
      <c r="G2431">
        <v>107041</v>
      </c>
      <c r="H2431">
        <v>273992640</v>
      </c>
      <c r="I2431">
        <v>1.05</v>
      </c>
      <c r="J2431" t="s">
        <v>5995</v>
      </c>
      <c r="K2431" t="s">
        <v>34</v>
      </c>
      <c r="L2431">
        <v>-0.55000000000000004</v>
      </c>
      <c r="M2431">
        <v>25.6</v>
      </c>
      <c r="N2431">
        <v>50902</v>
      </c>
      <c r="O2431">
        <v>56138</v>
      </c>
      <c r="P2431">
        <v>0.91</v>
      </c>
      <c r="Q2431">
        <v>9</v>
      </c>
      <c r="R2431">
        <v>1</v>
      </c>
      <c r="S2431" t="s">
        <v>3</v>
      </c>
      <c r="T2431">
        <v>110058.07</v>
      </c>
      <c r="U2431" t="s">
        <v>6003</v>
      </c>
      <c r="V2431" t="s">
        <v>6004</v>
      </c>
      <c r="W2431">
        <v>-0.55000000000000004</v>
      </c>
    </row>
    <row r="2432" spans="1:23">
      <c r="A2432" t="str">
        <f>"601339"</f>
        <v>601339</v>
      </c>
      <c r="B2432" t="s">
        <v>6005</v>
      </c>
      <c r="C2432">
        <v>8.99</v>
      </c>
      <c r="D2432">
        <v>9.11</v>
      </c>
      <c r="E2432">
        <v>8.9</v>
      </c>
      <c r="F2432">
        <v>9.11</v>
      </c>
      <c r="G2432">
        <v>42205</v>
      </c>
      <c r="H2432">
        <v>38164208</v>
      </c>
      <c r="I2432">
        <v>1.32</v>
      </c>
      <c r="J2432" t="s">
        <v>55</v>
      </c>
      <c r="K2432" t="s">
        <v>229</v>
      </c>
      <c r="L2432">
        <v>1.33</v>
      </c>
      <c r="M2432">
        <v>9.0399999999999991</v>
      </c>
      <c r="N2432">
        <v>16513</v>
      </c>
      <c r="O2432">
        <v>25692</v>
      </c>
      <c r="P2432">
        <v>0.64</v>
      </c>
      <c r="Q2432">
        <v>555</v>
      </c>
      <c r="R2432">
        <v>746</v>
      </c>
      <c r="S2432" t="s">
        <v>3</v>
      </c>
      <c r="T2432">
        <v>19200</v>
      </c>
      <c r="U2432" t="s">
        <v>6006</v>
      </c>
      <c r="V2432" t="s">
        <v>697</v>
      </c>
      <c r="W2432">
        <v>1.33</v>
      </c>
    </row>
    <row r="2433" spans="1:23">
      <c r="A2433" t="str">
        <f>"601369"</f>
        <v>601369</v>
      </c>
      <c r="B2433" t="s">
        <v>6007</v>
      </c>
      <c r="C2433">
        <v>6.28</v>
      </c>
      <c r="D2433">
        <v>6.38</v>
      </c>
      <c r="E2433">
        <v>6.26</v>
      </c>
      <c r="F2433">
        <v>6.31</v>
      </c>
      <c r="G2433">
        <v>152928</v>
      </c>
      <c r="H2433">
        <v>96479200</v>
      </c>
      <c r="I2433">
        <v>1.68</v>
      </c>
      <c r="J2433" t="s">
        <v>398</v>
      </c>
      <c r="K2433" t="s">
        <v>389</v>
      </c>
      <c r="L2433">
        <v>0.48</v>
      </c>
      <c r="M2433">
        <v>6.31</v>
      </c>
      <c r="N2433">
        <v>71435</v>
      </c>
      <c r="O2433">
        <v>81492</v>
      </c>
      <c r="P2433">
        <v>0.88</v>
      </c>
      <c r="Q2433">
        <v>636</v>
      </c>
      <c r="R2433">
        <v>341</v>
      </c>
      <c r="S2433" t="s">
        <v>3</v>
      </c>
      <c r="T2433">
        <v>163877.01999999999</v>
      </c>
      <c r="U2433" t="s">
        <v>6008</v>
      </c>
      <c r="V2433" t="s">
        <v>6008</v>
      </c>
      <c r="W2433">
        <v>0.47</v>
      </c>
    </row>
    <row r="2434" spans="1:23">
      <c r="A2434" t="str">
        <f>"601377"</f>
        <v>601377</v>
      </c>
      <c r="B2434" t="s">
        <v>6009</v>
      </c>
      <c r="C2434">
        <v>12.03</v>
      </c>
      <c r="D2434">
        <v>12.05</v>
      </c>
      <c r="E2434">
        <v>11.76</v>
      </c>
      <c r="F2434">
        <v>11.87</v>
      </c>
      <c r="G2434">
        <v>543621</v>
      </c>
      <c r="H2434">
        <v>644797760</v>
      </c>
      <c r="I2434">
        <v>0.85</v>
      </c>
      <c r="J2434" t="s">
        <v>512</v>
      </c>
      <c r="K2434" t="s">
        <v>414</v>
      </c>
      <c r="L2434">
        <v>-1.33</v>
      </c>
      <c r="M2434">
        <v>11.86</v>
      </c>
      <c r="N2434">
        <v>280817</v>
      </c>
      <c r="O2434">
        <v>262804</v>
      </c>
      <c r="P2434">
        <v>1.07</v>
      </c>
      <c r="Q2434">
        <v>102</v>
      </c>
      <c r="R2434">
        <v>2</v>
      </c>
      <c r="S2434" t="s">
        <v>3</v>
      </c>
      <c r="T2434">
        <v>247936</v>
      </c>
      <c r="U2434" t="s">
        <v>6010</v>
      </c>
      <c r="V2434" t="s">
        <v>6011</v>
      </c>
      <c r="W2434">
        <v>-1.33</v>
      </c>
    </row>
    <row r="2435" spans="1:23">
      <c r="A2435" t="str">
        <f>"601388"</f>
        <v>601388</v>
      </c>
      <c r="B2435" t="s">
        <v>6012</v>
      </c>
      <c r="C2435">
        <v>9.15</v>
      </c>
      <c r="D2435">
        <v>9.33</v>
      </c>
      <c r="E2435">
        <v>9.07</v>
      </c>
      <c r="F2435">
        <v>9.2899999999999991</v>
      </c>
      <c r="G2435">
        <v>175949</v>
      </c>
      <c r="H2435">
        <v>161725216</v>
      </c>
      <c r="I2435">
        <v>0.71</v>
      </c>
      <c r="J2435" t="s">
        <v>632</v>
      </c>
      <c r="K2435" t="s">
        <v>244</v>
      </c>
      <c r="L2435">
        <v>1.86</v>
      </c>
      <c r="M2435">
        <v>9.19</v>
      </c>
      <c r="N2435">
        <v>73070</v>
      </c>
      <c r="O2435">
        <v>102878</v>
      </c>
      <c r="P2435">
        <v>0.71</v>
      </c>
      <c r="Q2435">
        <v>1642</v>
      </c>
      <c r="R2435">
        <v>687</v>
      </c>
      <c r="S2435" t="s">
        <v>3</v>
      </c>
      <c r="T2435">
        <v>22254.05</v>
      </c>
      <c r="U2435" t="s">
        <v>6013</v>
      </c>
      <c r="V2435" t="s">
        <v>6014</v>
      </c>
      <c r="W2435">
        <v>1.86</v>
      </c>
    </row>
    <row r="2436" spans="1:23">
      <c r="A2436" t="str">
        <f>"601390"</f>
        <v>601390</v>
      </c>
      <c r="B2436" t="s">
        <v>6015</v>
      </c>
      <c r="C2436">
        <v>2.93</v>
      </c>
      <c r="D2436">
        <v>2.94</v>
      </c>
      <c r="E2436">
        <v>2.91</v>
      </c>
      <c r="F2436">
        <v>2.93</v>
      </c>
      <c r="G2436">
        <v>453765</v>
      </c>
      <c r="H2436">
        <v>132834848</v>
      </c>
      <c r="I2436">
        <v>0.83</v>
      </c>
      <c r="J2436" t="s">
        <v>33</v>
      </c>
      <c r="K2436" t="s">
        <v>34</v>
      </c>
      <c r="L2436">
        <v>0</v>
      </c>
      <c r="M2436">
        <v>2.93</v>
      </c>
      <c r="N2436">
        <v>239546</v>
      </c>
      <c r="O2436">
        <v>214219</v>
      </c>
      <c r="P2436">
        <v>1.1200000000000001</v>
      </c>
      <c r="Q2436">
        <v>7927</v>
      </c>
      <c r="R2436">
        <v>29193</v>
      </c>
      <c r="S2436" t="s">
        <v>3</v>
      </c>
      <c r="T2436">
        <v>1709251</v>
      </c>
      <c r="U2436" t="s">
        <v>6016</v>
      </c>
      <c r="V2436" t="s">
        <v>6016</v>
      </c>
      <c r="W2436">
        <v>0</v>
      </c>
    </row>
    <row r="2437" spans="1:23">
      <c r="A2437" t="str">
        <f>"601398"</f>
        <v>601398</v>
      </c>
      <c r="B2437" t="s">
        <v>6017</v>
      </c>
      <c r="C2437">
        <v>3.61</v>
      </c>
      <c r="D2437">
        <v>3.61</v>
      </c>
      <c r="E2437">
        <v>3.58</v>
      </c>
      <c r="F2437">
        <v>3.59</v>
      </c>
      <c r="G2437">
        <v>499126</v>
      </c>
      <c r="H2437">
        <v>179309280</v>
      </c>
      <c r="I2437">
        <v>0.57999999999999996</v>
      </c>
      <c r="J2437" t="s">
        <v>1</v>
      </c>
      <c r="K2437" t="s">
        <v>34</v>
      </c>
      <c r="L2437">
        <v>-0.55000000000000004</v>
      </c>
      <c r="M2437">
        <v>3.59</v>
      </c>
      <c r="N2437">
        <v>222185</v>
      </c>
      <c r="O2437">
        <v>276941</v>
      </c>
      <c r="P2437">
        <v>0.8</v>
      </c>
      <c r="Q2437">
        <v>32410</v>
      </c>
      <c r="R2437">
        <v>3054</v>
      </c>
      <c r="S2437" t="s">
        <v>3</v>
      </c>
      <c r="T2437">
        <v>26461088</v>
      </c>
      <c r="U2437" t="s">
        <v>6018</v>
      </c>
      <c r="V2437" t="s">
        <v>6018</v>
      </c>
      <c r="W2437">
        <v>-0.56000000000000005</v>
      </c>
    </row>
    <row r="2438" spans="1:23">
      <c r="A2438" t="str">
        <f>"601515"</f>
        <v>601515</v>
      </c>
      <c r="B2438" t="s">
        <v>6019</v>
      </c>
      <c r="C2438">
        <v>11.82</v>
      </c>
      <c r="D2438">
        <v>11.95</v>
      </c>
      <c r="E2438">
        <v>11.56</v>
      </c>
      <c r="F2438">
        <v>11.63</v>
      </c>
      <c r="G2438">
        <v>157514</v>
      </c>
      <c r="H2438">
        <v>183968576</v>
      </c>
      <c r="I2438">
        <v>1.33</v>
      </c>
      <c r="J2438" t="s">
        <v>707</v>
      </c>
      <c r="K2438" t="s">
        <v>211</v>
      </c>
      <c r="L2438">
        <v>-0.85</v>
      </c>
      <c r="M2438">
        <v>11.68</v>
      </c>
      <c r="N2438">
        <v>88847</v>
      </c>
      <c r="O2438">
        <v>68667</v>
      </c>
      <c r="P2438">
        <v>1.29</v>
      </c>
      <c r="Q2438">
        <v>102</v>
      </c>
      <c r="R2438">
        <v>217</v>
      </c>
      <c r="S2438" t="s">
        <v>3</v>
      </c>
      <c r="T2438">
        <v>16930</v>
      </c>
      <c r="U2438" t="s">
        <v>6020</v>
      </c>
      <c r="V2438" t="s">
        <v>6021</v>
      </c>
      <c r="W2438">
        <v>-0.86</v>
      </c>
    </row>
    <row r="2439" spans="1:23">
      <c r="A2439" t="str">
        <f>"601518"</f>
        <v>601518</v>
      </c>
      <c r="B2439" t="s">
        <v>6022</v>
      </c>
      <c r="C2439">
        <v>2.66</v>
      </c>
      <c r="D2439">
        <v>2.68</v>
      </c>
      <c r="E2439">
        <v>2.64</v>
      </c>
      <c r="F2439">
        <v>2.68</v>
      </c>
      <c r="G2439">
        <v>123383</v>
      </c>
      <c r="H2439">
        <v>32903036</v>
      </c>
      <c r="I2439">
        <v>0.98</v>
      </c>
      <c r="J2439" t="s">
        <v>336</v>
      </c>
      <c r="K2439" t="s">
        <v>99</v>
      </c>
      <c r="L2439">
        <v>0.37</v>
      </c>
      <c r="M2439">
        <v>2.67</v>
      </c>
      <c r="N2439">
        <v>59984</v>
      </c>
      <c r="O2439">
        <v>63398</v>
      </c>
      <c r="P2439">
        <v>0.95</v>
      </c>
      <c r="Q2439">
        <v>3970</v>
      </c>
      <c r="R2439">
        <v>6233</v>
      </c>
      <c r="S2439" t="s">
        <v>3</v>
      </c>
      <c r="T2439">
        <v>121320</v>
      </c>
      <c r="U2439" t="s">
        <v>6023</v>
      </c>
      <c r="V2439" t="s">
        <v>6023</v>
      </c>
      <c r="W2439">
        <v>0.37</v>
      </c>
    </row>
    <row r="2440" spans="1:23">
      <c r="A2440" t="str">
        <f>"601519"</f>
        <v>601519</v>
      </c>
      <c r="B2440" t="s">
        <v>6024</v>
      </c>
      <c r="C2440" t="s">
        <v>3</v>
      </c>
      <c r="D2440" t="s">
        <v>3</v>
      </c>
      <c r="E2440" t="s">
        <v>3</v>
      </c>
      <c r="F2440">
        <v>5.98</v>
      </c>
      <c r="G2440">
        <v>0</v>
      </c>
      <c r="H2440">
        <v>0</v>
      </c>
      <c r="I2440">
        <v>0</v>
      </c>
      <c r="J2440" t="s">
        <v>758</v>
      </c>
      <c r="K2440" t="s">
        <v>727</v>
      </c>
      <c r="L2440">
        <v>0</v>
      </c>
      <c r="M2440">
        <v>5.98</v>
      </c>
      <c r="N2440">
        <v>0</v>
      </c>
      <c r="O2440">
        <v>0</v>
      </c>
      <c r="P2440" t="s">
        <v>3</v>
      </c>
      <c r="Q2440">
        <v>0</v>
      </c>
      <c r="R2440">
        <v>0</v>
      </c>
      <c r="S2440" t="s">
        <v>3</v>
      </c>
      <c r="T2440">
        <v>198770</v>
      </c>
      <c r="U2440" t="s">
        <v>4729</v>
      </c>
      <c r="V2440" t="s">
        <v>4729</v>
      </c>
      <c r="W2440">
        <v>0</v>
      </c>
    </row>
    <row r="2441" spans="1:23">
      <c r="A2441" t="str">
        <f>"601555"</f>
        <v>601555</v>
      </c>
      <c r="B2441" t="s">
        <v>6025</v>
      </c>
      <c r="C2441">
        <v>9.3800000000000008</v>
      </c>
      <c r="D2441">
        <v>9.3800000000000008</v>
      </c>
      <c r="E2441">
        <v>9.1199999999999992</v>
      </c>
      <c r="F2441">
        <v>9.16</v>
      </c>
      <c r="G2441">
        <v>326555</v>
      </c>
      <c r="H2441">
        <v>300249088</v>
      </c>
      <c r="I2441">
        <v>0.65</v>
      </c>
      <c r="J2441" t="s">
        <v>512</v>
      </c>
      <c r="K2441" t="s">
        <v>244</v>
      </c>
      <c r="L2441">
        <v>-1.72</v>
      </c>
      <c r="M2441">
        <v>9.19</v>
      </c>
      <c r="N2441">
        <v>195884</v>
      </c>
      <c r="O2441">
        <v>130671</v>
      </c>
      <c r="P2441">
        <v>1.5</v>
      </c>
      <c r="Q2441">
        <v>345</v>
      </c>
      <c r="R2441">
        <v>1782</v>
      </c>
      <c r="S2441" t="s">
        <v>3</v>
      </c>
      <c r="T2441">
        <v>122138</v>
      </c>
      <c r="U2441" t="s">
        <v>6026</v>
      </c>
      <c r="V2441" t="s">
        <v>6027</v>
      </c>
      <c r="W2441">
        <v>-1.72</v>
      </c>
    </row>
    <row r="2442" spans="1:23">
      <c r="A2442" t="str">
        <f>"601558"</f>
        <v>601558</v>
      </c>
      <c r="B2442" t="s">
        <v>6028</v>
      </c>
      <c r="C2442">
        <v>3.49</v>
      </c>
      <c r="D2442">
        <v>3.62</v>
      </c>
      <c r="E2442">
        <v>3.49</v>
      </c>
      <c r="F2442">
        <v>3.59</v>
      </c>
      <c r="G2442">
        <v>85132</v>
      </c>
      <c r="H2442">
        <v>30398202</v>
      </c>
      <c r="I2442">
        <v>1.43</v>
      </c>
      <c r="J2442" t="s">
        <v>145</v>
      </c>
      <c r="K2442" t="s">
        <v>34</v>
      </c>
      <c r="L2442">
        <v>2.57</v>
      </c>
      <c r="M2442">
        <v>3.57</v>
      </c>
      <c r="N2442">
        <v>36811</v>
      </c>
      <c r="O2442">
        <v>48321</v>
      </c>
      <c r="P2442">
        <v>0.76</v>
      </c>
      <c r="Q2442">
        <v>852</v>
      </c>
      <c r="R2442">
        <v>1477</v>
      </c>
      <c r="S2442" t="s">
        <v>3</v>
      </c>
      <c r="T2442">
        <v>42040</v>
      </c>
      <c r="U2442" t="s">
        <v>2547</v>
      </c>
      <c r="V2442" t="s">
        <v>6029</v>
      </c>
      <c r="W2442">
        <v>2.57</v>
      </c>
    </row>
    <row r="2443" spans="1:23">
      <c r="A2443" t="str">
        <f>"601566"</f>
        <v>601566</v>
      </c>
      <c r="B2443" t="s">
        <v>6030</v>
      </c>
      <c r="C2443">
        <v>12.35</v>
      </c>
      <c r="D2443">
        <v>12.96</v>
      </c>
      <c r="E2443">
        <v>12.29</v>
      </c>
      <c r="F2443">
        <v>12.87</v>
      </c>
      <c r="G2443">
        <v>111760</v>
      </c>
      <c r="H2443">
        <v>141703728</v>
      </c>
      <c r="I2443">
        <v>0.88</v>
      </c>
      <c r="J2443" t="s">
        <v>1373</v>
      </c>
      <c r="K2443" t="s">
        <v>414</v>
      </c>
      <c r="L2443">
        <v>4.21</v>
      </c>
      <c r="M2443">
        <v>12.68</v>
      </c>
      <c r="N2443">
        <v>49677</v>
      </c>
      <c r="O2443">
        <v>62083</v>
      </c>
      <c r="P2443">
        <v>0.8</v>
      </c>
      <c r="Q2443">
        <v>1691</v>
      </c>
      <c r="R2443">
        <v>344</v>
      </c>
      <c r="S2443" t="s">
        <v>3</v>
      </c>
      <c r="T2443">
        <v>57463.71</v>
      </c>
      <c r="U2443" t="s">
        <v>6031</v>
      </c>
      <c r="V2443" t="s">
        <v>6031</v>
      </c>
      <c r="W2443">
        <v>4.21</v>
      </c>
    </row>
    <row r="2444" spans="1:23">
      <c r="A2444" t="str">
        <f>"601567"</f>
        <v>601567</v>
      </c>
      <c r="B2444" t="s">
        <v>6032</v>
      </c>
      <c r="C2444" t="s">
        <v>3</v>
      </c>
      <c r="D2444" t="s">
        <v>3</v>
      </c>
      <c r="E2444" t="s">
        <v>3</v>
      </c>
      <c r="F2444">
        <v>14.37</v>
      </c>
      <c r="G2444">
        <v>0</v>
      </c>
      <c r="H2444">
        <v>0</v>
      </c>
      <c r="I2444">
        <v>0</v>
      </c>
      <c r="J2444" t="s">
        <v>617</v>
      </c>
      <c r="K2444" t="s">
        <v>229</v>
      </c>
      <c r="L2444">
        <v>0</v>
      </c>
      <c r="M2444">
        <v>14.37</v>
      </c>
      <c r="N2444">
        <v>0</v>
      </c>
      <c r="O2444">
        <v>0</v>
      </c>
      <c r="P2444" t="s">
        <v>3</v>
      </c>
      <c r="Q2444">
        <v>0</v>
      </c>
      <c r="R2444">
        <v>0</v>
      </c>
      <c r="S2444" t="s">
        <v>3</v>
      </c>
      <c r="T2444">
        <v>34425</v>
      </c>
      <c r="U2444" t="s">
        <v>6033</v>
      </c>
      <c r="V2444" t="s">
        <v>6034</v>
      </c>
      <c r="W2444">
        <v>0</v>
      </c>
    </row>
    <row r="2445" spans="1:23">
      <c r="A2445" t="str">
        <f>"601579"</f>
        <v>601579</v>
      </c>
      <c r="B2445" t="s">
        <v>6035</v>
      </c>
      <c r="C2445">
        <v>14</v>
      </c>
      <c r="D2445">
        <v>14.33</v>
      </c>
      <c r="E2445">
        <v>13.55</v>
      </c>
      <c r="F2445">
        <v>14.23</v>
      </c>
      <c r="G2445">
        <v>337698</v>
      </c>
      <c r="H2445">
        <v>472935200</v>
      </c>
      <c r="I2445">
        <v>1.1200000000000001</v>
      </c>
      <c r="J2445" t="s">
        <v>495</v>
      </c>
      <c r="K2445" t="s">
        <v>229</v>
      </c>
      <c r="L2445">
        <v>-3.2</v>
      </c>
      <c r="M2445">
        <v>14</v>
      </c>
      <c r="N2445">
        <v>170602</v>
      </c>
      <c r="O2445">
        <v>167096</v>
      </c>
      <c r="P2445">
        <v>1.02</v>
      </c>
      <c r="Q2445">
        <v>1145</v>
      </c>
      <c r="R2445">
        <v>31</v>
      </c>
      <c r="S2445" t="s">
        <v>3</v>
      </c>
      <c r="T2445">
        <v>10000</v>
      </c>
      <c r="U2445" t="s">
        <v>6036</v>
      </c>
      <c r="V2445" t="s">
        <v>6037</v>
      </c>
      <c r="W2445">
        <v>-3.2</v>
      </c>
    </row>
    <row r="2446" spans="1:23">
      <c r="A2446" t="str">
        <f>"601588"</f>
        <v>601588</v>
      </c>
      <c r="B2446" t="s">
        <v>6038</v>
      </c>
      <c r="C2446">
        <v>2.77</v>
      </c>
      <c r="D2446">
        <v>2.78</v>
      </c>
      <c r="E2446">
        <v>2.74</v>
      </c>
      <c r="F2446">
        <v>2.77</v>
      </c>
      <c r="G2446">
        <v>134461</v>
      </c>
      <c r="H2446">
        <v>37088040</v>
      </c>
      <c r="I2446">
        <v>1.3</v>
      </c>
      <c r="J2446" t="s">
        <v>15</v>
      </c>
      <c r="K2446" t="s">
        <v>34</v>
      </c>
      <c r="L2446">
        <v>0</v>
      </c>
      <c r="M2446">
        <v>2.76</v>
      </c>
      <c r="N2446">
        <v>70057</v>
      </c>
      <c r="O2446">
        <v>64403</v>
      </c>
      <c r="P2446">
        <v>1.0900000000000001</v>
      </c>
      <c r="Q2446">
        <v>6333</v>
      </c>
      <c r="R2446">
        <v>9035</v>
      </c>
      <c r="S2446" t="s">
        <v>3</v>
      </c>
      <c r="T2446">
        <v>266000</v>
      </c>
      <c r="U2446" t="s">
        <v>6039</v>
      </c>
      <c r="V2446" t="s">
        <v>6039</v>
      </c>
      <c r="W2446">
        <v>0</v>
      </c>
    </row>
    <row r="2447" spans="1:23">
      <c r="A2447" t="str">
        <f>"601599"</f>
        <v>601599</v>
      </c>
      <c r="B2447" t="s">
        <v>6040</v>
      </c>
      <c r="C2447">
        <v>9.5399999999999991</v>
      </c>
      <c r="D2447">
        <v>9.57</v>
      </c>
      <c r="E2447">
        <v>9.44</v>
      </c>
      <c r="F2447">
        <v>9.5500000000000007</v>
      </c>
      <c r="G2447">
        <v>36174</v>
      </c>
      <c r="H2447">
        <v>34420640</v>
      </c>
      <c r="I2447">
        <v>0.49</v>
      </c>
      <c r="J2447" t="s">
        <v>55</v>
      </c>
      <c r="K2447" t="s">
        <v>244</v>
      </c>
      <c r="L2447">
        <v>0.74</v>
      </c>
      <c r="M2447">
        <v>9.52</v>
      </c>
      <c r="N2447">
        <v>18948</v>
      </c>
      <c r="O2447">
        <v>17226</v>
      </c>
      <c r="P2447">
        <v>1.1000000000000001</v>
      </c>
      <c r="Q2447">
        <v>28</v>
      </c>
      <c r="R2447">
        <v>13</v>
      </c>
      <c r="S2447" t="s">
        <v>3</v>
      </c>
      <c r="T2447">
        <v>20620.919999999998</v>
      </c>
      <c r="U2447" t="s">
        <v>6020</v>
      </c>
      <c r="V2447" t="s">
        <v>6041</v>
      </c>
      <c r="W2447">
        <v>0.73</v>
      </c>
    </row>
    <row r="2448" spans="1:23">
      <c r="A2448" t="str">
        <f>"601600"</f>
        <v>601600</v>
      </c>
      <c r="B2448" t="s">
        <v>6042</v>
      </c>
      <c r="C2448">
        <v>3.83</v>
      </c>
      <c r="D2448">
        <v>3.84</v>
      </c>
      <c r="E2448">
        <v>3.77</v>
      </c>
      <c r="F2448">
        <v>3.79</v>
      </c>
      <c r="G2448">
        <v>571782</v>
      </c>
      <c r="H2448">
        <v>216995952</v>
      </c>
      <c r="I2448">
        <v>0.77</v>
      </c>
      <c r="J2448" t="s">
        <v>632</v>
      </c>
      <c r="K2448" t="s">
        <v>34</v>
      </c>
      <c r="L2448">
        <v>-1.56</v>
      </c>
      <c r="M2448">
        <v>3.8</v>
      </c>
      <c r="N2448">
        <v>312921</v>
      </c>
      <c r="O2448">
        <v>258860</v>
      </c>
      <c r="P2448">
        <v>1.21</v>
      </c>
      <c r="Q2448">
        <v>5526</v>
      </c>
      <c r="R2448">
        <v>10326</v>
      </c>
      <c r="S2448" t="s">
        <v>3</v>
      </c>
      <c r="T2448">
        <v>958052.19</v>
      </c>
      <c r="U2448" t="s">
        <v>6043</v>
      </c>
      <c r="V2448" t="s">
        <v>6043</v>
      </c>
      <c r="W2448">
        <v>-1.56</v>
      </c>
    </row>
    <row r="2449" spans="1:23">
      <c r="A2449" t="str">
        <f>"601601"</f>
        <v>601601</v>
      </c>
      <c r="B2449" t="s">
        <v>6044</v>
      </c>
      <c r="C2449">
        <v>20.55</v>
      </c>
      <c r="D2449">
        <v>20.85</v>
      </c>
      <c r="E2449">
        <v>20.25</v>
      </c>
      <c r="F2449">
        <v>20.28</v>
      </c>
      <c r="G2449">
        <v>174746</v>
      </c>
      <c r="H2449">
        <v>359391264</v>
      </c>
      <c r="I2449">
        <v>0.94</v>
      </c>
      <c r="J2449" t="s">
        <v>5995</v>
      </c>
      <c r="K2449" t="s">
        <v>727</v>
      </c>
      <c r="L2449">
        <v>-1.31</v>
      </c>
      <c r="M2449">
        <v>20.57</v>
      </c>
      <c r="N2449">
        <v>73446</v>
      </c>
      <c r="O2449">
        <v>101300</v>
      </c>
      <c r="P2449">
        <v>0.73</v>
      </c>
      <c r="Q2449">
        <v>157</v>
      </c>
      <c r="R2449">
        <v>14</v>
      </c>
      <c r="S2449" t="s">
        <v>3</v>
      </c>
      <c r="T2449">
        <v>628670</v>
      </c>
      <c r="U2449" t="s">
        <v>6045</v>
      </c>
      <c r="V2449" t="s">
        <v>6045</v>
      </c>
      <c r="W2449">
        <v>-1.32</v>
      </c>
    </row>
    <row r="2450" spans="1:23">
      <c r="A2450" t="str">
        <f>"601607"</f>
        <v>601607</v>
      </c>
      <c r="B2450" t="s">
        <v>6046</v>
      </c>
      <c r="C2450">
        <v>13.99</v>
      </c>
      <c r="D2450">
        <v>14.38</v>
      </c>
      <c r="E2450">
        <v>13.99</v>
      </c>
      <c r="F2450">
        <v>14.12</v>
      </c>
      <c r="G2450">
        <v>317417</v>
      </c>
      <c r="H2450">
        <v>450045824</v>
      </c>
      <c r="I2450">
        <v>0.85</v>
      </c>
      <c r="J2450" t="s">
        <v>91</v>
      </c>
      <c r="K2450" t="s">
        <v>727</v>
      </c>
      <c r="L2450">
        <v>1.44</v>
      </c>
      <c r="M2450">
        <v>14.18</v>
      </c>
      <c r="N2450">
        <v>167591</v>
      </c>
      <c r="O2450">
        <v>149825</v>
      </c>
      <c r="P2450">
        <v>1.1200000000000001</v>
      </c>
      <c r="Q2450">
        <v>224</v>
      </c>
      <c r="R2450">
        <v>595</v>
      </c>
      <c r="S2450" t="s">
        <v>3</v>
      </c>
      <c r="T2450">
        <v>192293.5</v>
      </c>
      <c r="U2450" t="s">
        <v>6047</v>
      </c>
      <c r="V2450" t="s">
        <v>6048</v>
      </c>
      <c r="W2450">
        <v>1.43</v>
      </c>
    </row>
    <row r="2451" spans="1:23">
      <c r="A2451" t="str">
        <f>"601608"</f>
        <v>601608</v>
      </c>
      <c r="B2451" t="s">
        <v>6049</v>
      </c>
      <c r="C2451">
        <v>3.5</v>
      </c>
      <c r="D2451">
        <v>3.51</v>
      </c>
      <c r="E2451">
        <v>3.46</v>
      </c>
      <c r="F2451">
        <v>3.51</v>
      </c>
      <c r="G2451">
        <v>168728</v>
      </c>
      <c r="H2451">
        <v>58925848</v>
      </c>
      <c r="I2451">
        <v>1.17</v>
      </c>
      <c r="J2451" t="s">
        <v>269</v>
      </c>
      <c r="K2451" t="s">
        <v>254</v>
      </c>
      <c r="L2451">
        <v>0.28999999999999998</v>
      </c>
      <c r="M2451">
        <v>3.49</v>
      </c>
      <c r="N2451">
        <v>96007</v>
      </c>
      <c r="O2451">
        <v>72720</v>
      </c>
      <c r="P2451">
        <v>1.32</v>
      </c>
      <c r="Q2451">
        <v>1467</v>
      </c>
      <c r="R2451">
        <v>3276</v>
      </c>
      <c r="S2451" t="s">
        <v>3</v>
      </c>
      <c r="T2451">
        <v>75268.289999999994</v>
      </c>
      <c r="U2451" t="s">
        <v>6050</v>
      </c>
      <c r="V2451" t="s">
        <v>6051</v>
      </c>
      <c r="W2451">
        <v>0.28000000000000003</v>
      </c>
    </row>
    <row r="2452" spans="1:23">
      <c r="A2452" t="str">
        <f>"601616"</f>
        <v>601616</v>
      </c>
      <c r="B2452" t="s">
        <v>6052</v>
      </c>
      <c r="C2452">
        <v>4.7300000000000004</v>
      </c>
      <c r="D2452">
        <v>5.12</v>
      </c>
      <c r="E2452">
        <v>4.6900000000000004</v>
      </c>
      <c r="F2452">
        <v>4.8899999999999997</v>
      </c>
      <c r="G2452">
        <v>407909</v>
      </c>
      <c r="H2452">
        <v>200882208</v>
      </c>
      <c r="I2452">
        <v>1.2</v>
      </c>
      <c r="J2452" t="s">
        <v>145</v>
      </c>
      <c r="K2452" t="s">
        <v>727</v>
      </c>
      <c r="L2452">
        <v>2.2999999999999998</v>
      </c>
      <c r="M2452">
        <v>4.92</v>
      </c>
      <c r="N2452">
        <v>200405</v>
      </c>
      <c r="O2452">
        <v>207503</v>
      </c>
      <c r="P2452">
        <v>0.97</v>
      </c>
      <c r="Q2452">
        <v>33</v>
      </c>
      <c r="R2452">
        <v>938</v>
      </c>
      <c r="S2452" t="s">
        <v>3</v>
      </c>
      <c r="T2452">
        <v>93258</v>
      </c>
      <c r="U2452" t="s">
        <v>6053</v>
      </c>
      <c r="V2452" t="s">
        <v>6053</v>
      </c>
      <c r="W2452">
        <v>2.2999999999999998</v>
      </c>
    </row>
    <row r="2453" spans="1:23">
      <c r="A2453" t="str">
        <f>"601618"</f>
        <v>601618</v>
      </c>
      <c r="B2453" t="s">
        <v>6054</v>
      </c>
      <c r="C2453">
        <v>1.96</v>
      </c>
      <c r="D2453">
        <v>1.99</v>
      </c>
      <c r="E2453">
        <v>1.95</v>
      </c>
      <c r="F2453">
        <v>1.98</v>
      </c>
      <c r="G2453">
        <v>1011649</v>
      </c>
      <c r="H2453">
        <v>199459456</v>
      </c>
      <c r="I2453">
        <v>1.35</v>
      </c>
      <c r="J2453" t="s">
        <v>33</v>
      </c>
      <c r="K2453" t="s">
        <v>34</v>
      </c>
      <c r="L2453">
        <v>1.02</v>
      </c>
      <c r="M2453">
        <v>1.97</v>
      </c>
      <c r="N2453">
        <v>389269</v>
      </c>
      <c r="O2453">
        <v>622379</v>
      </c>
      <c r="P2453">
        <v>0.63</v>
      </c>
      <c r="Q2453">
        <v>22306</v>
      </c>
      <c r="R2453">
        <v>57672</v>
      </c>
      <c r="S2453" t="s">
        <v>3</v>
      </c>
      <c r="T2453">
        <v>1623900</v>
      </c>
      <c r="U2453" t="s">
        <v>6055</v>
      </c>
      <c r="V2453" t="s">
        <v>6055</v>
      </c>
      <c r="W2453">
        <v>1.02</v>
      </c>
    </row>
    <row r="2454" spans="1:23">
      <c r="A2454" t="str">
        <f>"601628"</f>
        <v>601628</v>
      </c>
      <c r="B2454" t="s">
        <v>6056</v>
      </c>
      <c r="C2454">
        <v>15.95</v>
      </c>
      <c r="D2454">
        <v>16.28</v>
      </c>
      <c r="E2454">
        <v>15.85</v>
      </c>
      <c r="F2454">
        <v>15.89</v>
      </c>
      <c r="G2454">
        <v>290310</v>
      </c>
      <c r="H2454">
        <v>466948352</v>
      </c>
      <c r="I2454">
        <v>1.73</v>
      </c>
      <c r="J2454" t="s">
        <v>5995</v>
      </c>
      <c r="K2454" t="s">
        <v>34</v>
      </c>
      <c r="L2454">
        <v>-0.06</v>
      </c>
      <c r="M2454">
        <v>16.079999999999998</v>
      </c>
      <c r="N2454">
        <v>147895</v>
      </c>
      <c r="O2454">
        <v>142414</v>
      </c>
      <c r="P2454">
        <v>1.04</v>
      </c>
      <c r="Q2454">
        <v>225</v>
      </c>
      <c r="R2454">
        <v>145</v>
      </c>
      <c r="S2454" t="s">
        <v>3</v>
      </c>
      <c r="T2454">
        <v>2082353</v>
      </c>
      <c r="U2454" t="s">
        <v>6057</v>
      </c>
      <c r="V2454" t="s">
        <v>6057</v>
      </c>
      <c r="W2454">
        <v>-7.0000000000000007E-2</v>
      </c>
    </row>
    <row r="2455" spans="1:23">
      <c r="A2455" t="str">
        <f>"601633"</f>
        <v>601633</v>
      </c>
      <c r="B2455" t="s">
        <v>6058</v>
      </c>
      <c r="C2455">
        <v>33.01</v>
      </c>
      <c r="D2455">
        <v>33.01</v>
      </c>
      <c r="E2455">
        <v>31.94</v>
      </c>
      <c r="F2455">
        <v>32.08</v>
      </c>
      <c r="G2455">
        <v>96179</v>
      </c>
      <c r="H2455">
        <v>310307392</v>
      </c>
      <c r="I2455">
        <v>1.38</v>
      </c>
      <c r="J2455" t="s">
        <v>476</v>
      </c>
      <c r="K2455" t="s">
        <v>238</v>
      </c>
      <c r="L2455">
        <v>-2.82</v>
      </c>
      <c r="M2455">
        <v>32.26</v>
      </c>
      <c r="N2455">
        <v>50976</v>
      </c>
      <c r="O2455">
        <v>45202</v>
      </c>
      <c r="P2455">
        <v>1.1299999999999999</v>
      </c>
      <c r="Q2455">
        <v>16</v>
      </c>
      <c r="R2455">
        <v>0</v>
      </c>
      <c r="S2455" t="s">
        <v>3</v>
      </c>
      <c r="T2455">
        <v>30424.3</v>
      </c>
      <c r="U2455" t="s">
        <v>4228</v>
      </c>
      <c r="V2455" t="s">
        <v>6059</v>
      </c>
      <c r="W2455">
        <v>-2.82</v>
      </c>
    </row>
    <row r="2456" spans="1:23">
      <c r="A2456" t="str">
        <f>"601636"</f>
        <v>601636</v>
      </c>
      <c r="B2456" t="s">
        <v>6060</v>
      </c>
      <c r="C2456">
        <v>7.69</v>
      </c>
      <c r="D2456">
        <v>7.73</v>
      </c>
      <c r="E2456">
        <v>7.63</v>
      </c>
      <c r="F2456">
        <v>7.71</v>
      </c>
      <c r="G2456">
        <v>51431</v>
      </c>
      <c r="H2456">
        <v>39541752</v>
      </c>
      <c r="I2456">
        <v>1.01</v>
      </c>
      <c r="J2456" t="s">
        <v>41</v>
      </c>
      <c r="K2456" t="s">
        <v>234</v>
      </c>
      <c r="L2456">
        <v>0.26</v>
      </c>
      <c r="M2456">
        <v>7.69</v>
      </c>
      <c r="N2456">
        <v>25189</v>
      </c>
      <c r="O2456">
        <v>26242</v>
      </c>
      <c r="P2456">
        <v>0.96</v>
      </c>
      <c r="Q2456">
        <v>352</v>
      </c>
      <c r="R2456">
        <v>142</v>
      </c>
      <c r="S2456" t="s">
        <v>3</v>
      </c>
      <c r="T2456">
        <v>55578.58</v>
      </c>
      <c r="U2456" t="s">
        <v>6061</v>
      </c>
      <c r="V2456" t="s">
        <v>1815</v>
      </c>
      <c r="W2456">
        <v>0.26</v>
      </c>
    </row>
    <row r="2457" spans="1:23">
      <c r="A2457" t="str">
        <f>"601666"</f>
        <v>601666</v>
      </c>
      <c r="B2457" t="s">
        <v>6062</v>
      </c>
      <c r="C2457">
        <v>4.43</v>
      </c>
      <c r="D2457">
        <v>4.4800000000000004</v>
      </c>
      <c r="E2457">
        <v>4.41</v>
      </c>
      <c r="F2457">
        <v>4.47</v>
      </c>
      <c r="G2457">
        <v>242598</v>
      </c>
      <c r="H2457">
        <v>107818840</v>
      </c>
      <c r="I2457">
        <v>1.1100000000000001</v>
      </c>
      <c r="J2457" t="s">
        <v>482</v>
      </c>
      <c r="K2457" t="s">
        <v>254</v>
      </c>
      <c r="L2457">
        <v>0.9</v>
      </c>
      <c r="M2457">
        <v>4.4400000000000004</v>
      </c>
      <c r="N2457">
        <v>112853</v>
      </c>
      <c r="O2457">
        <v>129744</v>
      </c>
      <c r="P2457">
        <v>0.87</v>
      </c>
      <c r="Q2457">
        <v>1810</v>
      </c>
      <c r="R2457">
        <v>2100</v>
      </c>
      <c r="S2457" t="s">
        <v>3</v>
      </c>
      <c r="T2457">
        <v>236116.5</v>
      </c>
      <c r="U2457" t="s">
        <v>6063</v>
      </c>
      <c r="V2457" t="s">
        <v>6063</v>
      </c>
      <c r="W2457">
        <v>0.9</v>
      </c>
    </row>
    <row r="2458" spans="1:23">
      <c r="A2458" t="str">
        <f>"601668"</f>
        <v>601668</v>
      </c>
      <c r="B2458" t="s">
        <v>6064</v>
      </c>
      <c r="C2458">
        <v>3.32</v>
      </c>
      <c r="D2458">
        <v>3.4</v>
      </c>
      <c r="E2458">
        <v>3.32</v>
      </c>
      <c r="F2458">
        <v>3.36</v>
      </c>
      <c r="G2458">
        <v>1970018</v>
      </c>
      <c r="H2458">
        <v>663564992</v>
      </c>
      <c r="I2458">
        <v>1.42</v>
      </c>
      <c r="J2458" t="s">
        <v>33</v>
      </c>
      <c r="K2458" t="s">
        <v>34</v>
      </c>
      <c r="L2458">
        <v>1.51</v>
      </c>
      <c r="M2458">
        <v>3.37</v>
      </c>
      <c r="N2458">
        <v>878357</v>
      </c>
      <c r="O2458">
        <v>1091661</v>
      </c>
      <c r="P2458">
        <v>0.8</v>
      </c>
      <c r="Q2458">
        <v>4301</v>
      </c>
      <c r="R2458">
        <v>25929</v>
      </c>
      <c r="S2458" t="s">
        <v>3</v>
      </c>
      <c r="T2458">
        <v>2985322</v>
      </c>
      <c r="U2458" t="s">
        <v>6065</v>
      </c>
      <c r="V2458" t="s">
        <v>6066</v>
      </c>
      <c r="W2458">
        <v>1.51</v>
      </c>
    </row>
    <row r="2459" spans="1:23">
      <c r="A2459" t="str">
        <f>"601669"</f>
        <v>601669</v>
      </c>
      <c r="B2459" t="s">
        <v>6067</v>
      </c>
      <c r="C2459" t="s">
        <v>3</v>
      </c>
      <c r="D2459" t="s">
        <v>3</v>
      </c>
      <c r="E2459" t="s">
        <v>3</v>
      </c>
      <c r="F2459">
        <v>2.65</v>
      </c>
      <c r="G2459">
        <v>0</v>
      </c>
      <c r="H2459">
        <v>0</v>
      </c>
      <c r="I2459">
        <v>0</v>
      </c>
      <c r="J2459" t="s">
        <v>33</v>
      </c>
      <c r="K2459" t="s">
        <v>34</v>
      </c>
      <c r="L2459">
        <v>0</v>
      </c>
      <c r="M2459">
        <v>2.65</v>
      </c>
      <c r="N2459">
        <v>0</v>
      </c>
      <c r="O2459">
        <v>0</v>
      </c>
      <c r="P2459" t="s">
        <v>3</v>
      </c>
      <c r="Q2459">
        <v>0</v>
      </c>
      <c r="R2459">
        <v>0</v>
      </c>
      <c r="S2459" t="s">
        <v>3</v>
      </c>
      <c r="T2459">
        <v>300300</v>
      </c>
      <c r="U2459" t="s">
        <v>3316</v>
      </c>
      <c r="V2459" t="s">
        <v>6068</v>
      </c>
      <c r="W2459">
        <v>0</v>
      </c>
    </row>
    <row r="2460" spans="1:23">
      <c r="A2460" t="str">
        <f>"601677"</f>
        <v>601677</v>
      </c>
      <c r="B2460" t="s">
        <v>6069</v>
      </c>
      <c r="C2460">
        <v>12.56</v>
      </c>
      <c r="D2460">
        <v>12.62</v>
      </c>
      <c r="E2460">
        <v>12.2</v>
      </c>
      <c r="F2460">
        <v>12.35</v>
      </c>
      <c r="G2460">
        <v>55009</v>
      </c>
      <c r="H2460">
        <v>67905568</v>
      </c>
      <c r="I2460">
        <v>0.85</v>
      </c>
      <c r="J2460" t="s">
        <v>632</v>
      </c>
      <c r="K2460" t="s">
        <v>254</v>
      </c>
      <c r="L2460">
        <v>-1.36</v>
      </c>
      <c r="M2460">
        <v>12.34</v>
      </c>
      <c r="N2460">
        <v>31901</v>
      </c>
      <c r="O2460">
        <v>23107</v>
      </c>
      <c r="P2460">
        <v>1.38</v>
      </c>
      <c r="Q2460">
        <v>7</v>
      </c>
      <c r="R2460">
        <v>30</v>
      </c>
      <c r="S2460" t="s">
        <v>3</v>
      </c>
      <c r="T2460">
        <v>10825</v>
      </c>
      <c r="U2460" t="s">
        <v>6070</v>
      </c>
      <c r="V2460" t="s">
        <v>6014</v>
      </c>
      <c r="W2460">
        <v>-1.36</v>
      </c>
    </row>
    <row r="2461" spans="1:23">
      <c r="A2461" t="str">
        <f>"601678"</f>
        <v>601678</v>
      </c>
      <c r="B2461" t="s">
        <v>6071</v>
      </c>
      <c r="C2461">
        <v>8.8000000000000007</v>
      </c>
      <c r="D2461">
        <v>8.86</v>
      </c>
      <c r="E2461">
        <v>8.73</v>
      </c>
      <c r="F2461">
        <v>8.77</v>
      </c>
      <c r="G2461">
        <v>98350</v>
      </c>
      <c r="H2461">
        <v>86240312</v>
      </c>
      <c r="I2461">
        <v>0.69</v>
      </c>
      <c r="J2461" t="s">
        <v>376</v>
      </c>
      <c r="K2461" t="s">
        <v>250</v>
      </c>
      <c r="L2461">
        <v>-0.23</v>
      </c>
      <c r="M2461">
        <v>8.77</v>
      </c>
      <c r="N2461">
        <v>59846</v>
      </c>
      <c r="O2461">
        <v>38503</v>
      </c>
      <c r="P2461">
        <v>1.55</v>
      </c>
      <c r="Q2461">
        <v>374</v>
      </c>
      <c r="R2461">
        <v>362</v>
      </c>
      <c r="S2461" t="s">
        <v>3</v>
      </c>
      <c r="T2461">
        <v>66000</v>
      </c>
      <c r="U2461" t="s">
        <v>6072</v>
      </c>
      <c r="V2461" t="s">
        <v>6072</v>
      </c>
      <c r="W2461">
        <v>-0.23</v>
      </c>
    </row>
    <row r="2462" spans="1:23">
      <c r="A2462" t="str">
        <f>"601688"</f>
        <v>601688</v>
      </c>
      <c r="B2462" t="s">
        <v>6073</v>
      </c>
      <c r="C2462">
        <v>8.99</v>
      </c>
      <c r="D2462">
        <v>9.06</v>
      </c>
      <c r="E2462">
        <v>8.9</v>
      </c>
      <c r="F2462">
        <v>9.0399999999999991</v>
      </c>
      <c r="G2462">
        <v>567133</v>
      </c>
      <c r="H2462">
        <v>509799616</v>
      </c>
      <c r="I2462">
        <v>0.95</v>
      </c>
      <c r="J2462" t="s">
        <v>512</v>
      </c>
      <c r="K2462" t="s">
        <v>244</v>
      </c>
      <c r="L2462">
        <v>0.67</v>
      </c>
      <c r="M2462">
        <v>8.99</v>
      </c>
      <c r="N2462">
        <v>267000</v>
      </c>
      <c r="O2462">
        <v>300133</v>
      </c>
      <c r="P2462">
        <v>0.89</v>
      </c>
      <c r="Q2462">
        <v>7347</v>
      </c>
      <c r="R2462">
        <v>5865</v>
      </c>
      <c r="S2462" t="s">
        <v>3</v>
      </c>
      <c r="T2462">
        <v>560000</v>
      </c>
      <c r="U2462" t="s">
        <v>6074</v>
      </c>
      <c r="V2462" t="s">
        <v>6074</v>
      </c>
      <c r="W2462">
        <v>0.66</v>
      </c>
    </row>
    <row r="2463" spans="1:23">
      <c r="A2463" t="str">
        <f>"601699"</f>
        <v>601699</v>
      </c>
      <c r="B2463" t="s">
        <v>6075</v>
      </c>
      <c r="C2463">
        <v>9.09</v>
      </c>
      <c r="D2463">
        <v>9.23</v>
      </c>
      <c r="E2463">
        <v>8.9600000000000009</v>
      </c>
      <c r="F2463">
        <v>9.08</v>
      </c>
      <c r="G2463">
        <v>292580</v>
      </c>
      <c r="H2463">
        <v>265501280</v>
      </c>
      <c r="I2463">
        <v>0.94</v>
      </c>
      <c r="J2463" t="s">
        <v>482</v>
      </c>
      <c r="K2463" t="s">
        <v>742</v>
      </c>
      <c r="L2463">
        <v>-0.33</v>
      </c>
      <c r="M2463">
        <v>9.07</v>
      </c>
      <c r="N2463">
        <v>145329</v>
      </c>
      <c r="O2463">
        <v>147250</v>
      </c>
      <c r="P2463">
        <v>0.99</v>
      </c>
      <c r="Q2463">
        <v>256</v>
      </c>
      <c r="R2463">
        <v>772</v>
      </c>
      <c r="S2463" t="s">
        <v>3</v>
      </c>
      <c r="T2463">
        <v>230108.41</v>
      </c>
      <c r="U2463" t="s">
        <v>6076</v>
      </c>
      <c r="V2463" t="s">
        <v>6076</v>
      </c>
      <c r="W2463">
        <v>-0.33</v>
      </c>
    </row>
    <row r="2464" spans="1:23">
      <c r="A2464" t="str">
        <f>"601700"</f>
        <v>601700</v>
      </c>
      <c r="B2464" t="s">
        <v>6077</v>
      </c>
      <c r="C2464">
        <v>15.14</v>
      </c>
      <c r="D2464">
        <v>15.41</v>
      </c>
      <c r="E2464">
        <v>15</v>
      </c>
      <c r="F2464">
        <v>15.1</v>
      </c>
      <c r="G2464">
        <v>57759</v>
      </c>
      <c r="H2464">
        <v>87559624</v>
      </c>
      <c r="I2464">
        <v>1.04</v>
      </c>
      <c r="J2464" t="s">
        <v>145</v>
      </c>
      <c r="K2464" t="s">
        <v>244</v>
      </c>
      <c r="L2464">
        <v>0.6</v>
      </c>
      <c r="M2464">
        <v>15.16</v>
      </c>
      <c r="N2464">
        <v>33542</v>
      </c>
      <c r="O2464">
        <v>24217</v>
      </c>
      <c r="P2464">
        <v>1.39</v>
      </c>
      <c r="Q2464">
        <v>393</v>
      </c>
      <c r="R2464">
        <v>49</v>
      </c>
      <c r="S2464" t="s">
        <v>3</v>
      </c>
      <c r="T2464">
        <v>23576.84</v>
      </c>
      <c r="U2464" t="s">
        <v>5753</v>
      </c>
      <c r="V2464" t="s">
        <v>6078</v>
      </c>
      <c r="W2464">
        <v>0.6</v>
      </c>
    </row>
    <row r="2465" spans="1:23">
      <c r="A2465" t="str">
        <f>"601717"</f>
        <v>601717</v>
      </c>
      <c r="B2465" t="s">
        <v>6079</v>
      </c>
      <c r="C2465">
        <v>6.13</v>
      </c>
      <c r="D2465">
        <v>6.18</v>
      </c>
      <c r="E2465">
        <v>6.07</v>
      </c>
      <c r="F2465">
        <v>6.14</v>
      </c>
      <c r="G2465">
        <v>184655</v>
      </c>
      <c r="H2465">
        <v>113062944</v>
      </c>
      <c r="I2465">
        <v>0.79</v>
      </c>
      <c r="J2465" t="s">
        <v>233</v>
      </c>
      <c r="K2465" t="s">
        <v>254</v>
      </c>
      <c r="L2465">
        <v>0.49</v>
      </c>
      <c r="M2465">
        <v>6.12</v>
      </c>
      <c r="N2465">
        <v>97618</v>
      </c>
      <c r="O2465">
        <v>87036</v>
      </c>
      <c r="P2465">
        <v>1.1200000000000001</v>
      </c>
      <c r="Q2465">
        <v>1056</v>
      </c>
      <c r="R2465">
        <v>1637</v>
      </c>
      <c r="S2465" t="s">
        <v>3</v>
      </c>
      <c r="T2465">
        <v>137788.78</v>
      </c>
      <c r="U2465" t="s">
        <v>6080</v>
      </c>
      <c r="V2465" t="s">
        <v>6080</v>
      </c>
      <c r="W2465">
        <v>0.49</v>
      </c>
    </row>
    <row r="2466" spans="1:23">
      <c r="A2466" t="str">
        <f>"601718"</f>
        <v>601718</v>
      </c>
      <c r="B2466" t="s">
        <v>6081</v>
      </c>
      <c r="C2466">
        <v>3.32</v>
      </c>
      <c r="D2466">
        <v>3.47</v>
      </c>
      <c r="E2466">
        <v>3.28</v>
      </c>
      <c r="F2466">
        <v>3.38</v>
      </c>
      <c r="G2466">
        <v>613860</v>
      </c>
      <c r="H2466">
        <v>207348256</v>
      </c>
      <c r="I2466">
        <v>1.0900000000000001</v>
      </c>
      <c r="J2466" t="s">
        <v>1373</v>
      </c>
      <c r="K2466" t="s">
        <v>34</v>
      </c>
      <c r="L2466">
        <v>1.5</v>
      </c>
      <c r="M2466">
        <v>3.38</v>
      </c>
      <c r="N2466">
        <v>274533</v>
      </c>
      <c r="O2466">
        <v>339327</v>
      </c>
      <c r="P2466">
        <v>0.81</v>
      </c>
      <c r="Q2466">
        <v>600</v>
      </c>
      <c r="R2466">
        <v>5187</v>
      </c>
      <c r="S2466" t="s">
        <v>3</v>
      </c>
      <c r="T2466">
        <v>385700</v>
      </c>
      <c r="U2466" t="s">
        <v>6082</v>
      </c>
      <c r="V2466" t="s">
        <v>6082</v>
      </c>
      <c r="W2466">
        <v>1.5</v>
      </c>
    </row>
    <row r="2467" spans="1:23">
      <c r="A2467" t="str">
        <f>"601727"</f>
        <v>601727</v>
      </c>
      <c r="B2467" t="s">
        <v>6083</v>
      </c>
      <c r="C2467">
        <v>4.29</v>
      </c>
      <c r="D2467">
        <v>4.38</v>
      </c>
      <c r="E2467">
        <v>4.26</v>
      </c>
      <c r="F2467">
        <v>4.3</v>
      </c>
      <c r="G2467">
        <v>208183</v>
      </c>
      <c r="H2467">
        <v>89707736</v>
      </c>
      <c r="I2467">
        <v>0.7</v>
      </c>
      <c r="J2467" t="s">
        <v>145</v>
      </c>
      <c r="K2467" t="s">
        <v>727</v>
      </c>
      <c r="L2467">
        <v>-0.23</v>
      </c>
      <c r="M2467">
        <v>4.3099999999999996</v>
      </c>
      <c r="N2467">
        <v>118298</v>
      </c>
      <c r="O2467">
        <v>89885</v>
      </c>
      <c r="P2467">
        <v>1.32</v>
      </c>
      <c r="Q2467">
        <v>2817</v>
      </c>
      <c r="R2467">
        <v>2</v>
      </c>
      <c r="S2467" t="s">
        <v>3</v>
      </c>
      <c r="T2467">
        <v>985071.44</v>
      </c>
      <c r="U2467" t="s">
        <v>6084</v>
      </c>
      <c r="V2467" t="s">
        <v>6084</v>
      </c>
      <c r="W2467">
        <v>-0.24</v>
      </c>
    </row>
    <row r="2468" spans="1:23">
      <c r="A2468" t="str">
        <f>"601766"</f>
        <v>601766</v>
      </c>
      <c r="B2468" t="s">
        <v>6085</v>
      </c>
      <c r="C2468">
        <v>5.33</v>
      </c>
      <c r="D2468">
        <v>5.38</v>
      </c>
      <c r="E2468">
        <v>5.27</v>
      </c>
      <c r="F2468">
        <v>5.33</v>
      </c>
      <c r="G2468">
        <v>491465</v>
      </c>
      <c r="H2468">
        <v>262049120</v>
      </c>
      <c r="I2468">
        <v>0.85</v>
      </c>
      <c r="J2468" t="s">
        <v>1208</v>
      </c>
      <c r="K2468" t="s">
        <v>34</v>
      </c>
      <c r="L2468">
        <v>0</v>
      </c>
      <c r="M2468">
        <v>5.33</v>
      </c>
      <c r="N2468">
        <v>198213</v>
      </c>
      <c r="O2468">
        <v>293252</v>
      </c>
      <c r="P2468">
        <v>0.68</v>
      </c>
      <c r="Q2468">
        <v>474</v>
      </c>
      <c r="R2468">
        <v>2892</v>
      </c>
      <c r="S2468" t="s">
        <v>3</v>
      </c>
      <c r="T2468">
        <v>1041689.63</v>
      </c>
      <c r="U2468" t="s">
        <v>6086</v>
      </c>
      <c r="V2468" t="s">
        <v>6087</v>
      </c>
      <c r="W2468">
        <v>0</v>
      </c>
    </row>
    <row r="2469" spans="1:23">
      <c r="A2469" t="str">
        <f>"601777"</f>
        <v>601777</v>
      </c>
      <c r="B2469" t="s">
        <v>6088</v>
      </c>
      <c r="C2469">
        <v>8.81</v>
      </c>
      <c r="D2469">
        <v>8.92</v>
      </c>
      <c r="E2469">
        <v>8.76</v>
      </c>
      <c r="F2469">
        <v>8.9</v>
      </c>
      <c r="G2469">
        <v>132792</v>
      </c>
      <c r="H2469">
        <v>117851784</v>
      </c>
      <c r="I2469">
        <v>1.49</v>
      </c>
      <c r="J2469" t="s">
        <v>1191</v>
      </c>
      <c r="K2469" t="s">
        <v>386</v>
      </c>
      <c r="L2469">
        <v>1.71</v>
      </c>
      <c r="M2469">
        <v>8.8699999999999992</v>
      </c>
      <c r="N2469">
        <v>65559</v>
      </c>
      <c r="O2469">
        <v>67233</v>
      </c>
      <c r="P2469">
        <v>0.98</v>
      </c>
      <c r="Q2469">
        <v>66</v>
      </c>
      <c r="R2469">
        <v>2424</v>
      </c>
      <c r="S2469" t="s">
        <v>3</v>
      </c>
      <c r="T2469">
        <v>95144.5</v>
      </c>
      <c r="U2469" t="s">
        <v>6089</v>
      </c>
      <c r="V2469" t="s">
        <v>6090</v>
      </c>
      <c r="W2469">
        <v>1.71</v>
      </c>
    </row>
    <row r="2470" spans="1:23">
      <c r="A2470" t="str">
        <f>"601788"</f>
        <v>601788</v>
      </c>
      <c r="B2470" t="s">
        <v>6091</v>
      </c>
      <c r="C2470">
        <v>9.35</v>
      </c>
      <c r="D2470">
        <v>9.36</v>
      </c>
      <c r="E2470">
        <v>9.2200000000000006</v>
      </c>
      <c r="F2470">
        <v>9.25</v>
      </c>
      <c r="G2470">
        <v>211287</v>
      </c>
      <c r="H2470">
        <v>195574176</v>
      </c>
      <c r="I2470">
        <v>0.73</v>
      </c>
      <c r="J2470" t="s">
        <v>512</v>
      </c>
      <c r="K2470" t="s">
        <v>727</v>
      </c>
      <c r="L2470">
        <v>-0.86</v>
      </c>
      <c r="M2470">
        <v>9.26</v>
      </c>
      <c r="N2470">
        <v>110252</v>
      </c>
      <c r="O2470">
        <v>101034</v>
      </c>
      <c r="P2470">
        <v>1.0900000000000001</v>
      </c>
      <c r="Q2470">
        <v>221</v>
      </c>
      <c r="R2470">
        <v>1524</v>
      </c>
      <c r="S2470" t="s">
        <v>3</v>
      </c>
      <c r="T2470">
        <v>341800</v>
      </c>
      <c r="U2470" t="s">
        <v>6092</v>
      </c>
      <c r="V2470" t="s">
        <v>6092</v>
      </c>
      <c r="W2470">
        <v>-0.86</v>
      </c>
    </row>
    <row r="2471" spans="1:23">
      <c r="A2471" t="str">
        <f>"601789"</f>
        <v>601789</v>
      </c>
      <c r="B2471" t="s">
        <v>6093</v>
      </c>
      <c r="C2471">
        <v>8.35</v>
      </c>
      <c r="D2471">
        <v>8.41</v>
      </c>
      <c r="E2471">
        <v>8.32</v>
      </c>
      <c r="F2471">
        <v>8.3699999999999992</v>
      </c>
      <c r="G2471">
        <v>124021</v>
      </c>
      <c r="H2471">
        <v>103687840</v>
      </c>
      <c r="I2471">
        <v>0.57999999999999996</v>
      </c>
      <c r="J2471" t="s">
        <v>33</v>
      </c>
      <c r="K2471" t="s">
        <v>229</v>
      </c>
      <c r="L2471">
        <v>-0.12</v>
      </c>
      <c r="M2471">
        <v>8.36</v>
      </c>
      <c r="N2471">
        <v>67873</v>
      </c>
      <c r="O2471">
        <v>56147</v>
      </c>
      <c r="P2471">
        <v>1.21</v>
      </c>
      <c r="Q2471">
        <v>81</v>
      </c>
      <c r="R2471">
        <v>1092</v>
      </c>
      <c r="S2471" t="s">
        <v>3</v>
      </c>
      <c r="T2471">
        <v>43807.98</v>
      </c>
      <c r="U2471" t="s">
        <v>2029</v>
      </c>
      <c r="V2471" t="s">
        <v>6094</v>
      </c>
      <c r="W2471">
        <v>-0.12</v>
      </c>
    </row>
    <row r="2472" spans="1:23">
      <c r="A2472" t="str">
        <f>"601798"</f>
        <v>601798</v>
      </c>
      <c r="B2472" t="s">
        <v>6095</v>
      </c>
      <c r="C2472">
        <v>13.01</v>
      </c>
      <c r="D2472">
        <v>13.16</v>
      </c>
      <c r="E2472">
        <v>12.85</v>
      </c>
      <c r="F2472">
        <v>13.15</v>
      </c>
      <c r="G2472">
        <v>76185</v>
      </c>
      <c r="H2472">
        <v>99149544</v>
      </c>
      <c r="I2472">
        <v>1.02</v>
      </c>
      <c r="J2472" t="s">
        <v>1082</v>
      </c>
      <c r="K2472" t="s">
        <v>483</v>
      </c>
      <c r="L2472">
        <v>1.08</v>
      </c>
      <c r="M2472">
        <v>13.01</v>
      </c>
      <c r="N2472">
        <v>37533</v>
      </c>
      <c r="O2472">
        <v>38652</v>
      </c>
      <c r="P2472">
        <v>0.97</v>
      </c>
      <c r="Q2472">
        <v>9</v>
      </c>
      <c r="R2472">
        <v>864</v>
      </c>
      <c r="S2472" t="s">
        <v>3</v>
      </c>
      <c r="T2472">
        <v>35452.82</v>
      </c>
      <c r="U2472" t="s">
        <v>2973</v>
      </c>
      <c r="V2472" t="s">
        <v>2973</v>
      </c>
      <c r="W2472">
        <v>1.07</v>
      </c>
    </row>
    <row r="2473" spans="1:23">
      <c r="A2473" t="str">
        <f>"601799"</f>
        <v>601799</v>
      </c>
      <c r="B2473" t="s">
        <v>6096</v>
      </c>
      <c r="C2473">
        <v>19.75</v>
      </c>
      <c r="D2473">
        <v>19.95</v>
      </c>
      <c r="E2473">
        <v>19.62</v>
      </c>
      <c r="F2473">
        <v>19.649999999999999</v>
      </c>
      <c r="G2473">
        <v>16102</v>
      </c>
      <c r="H2473">
        <v>31842410</v>
      </c>
      <c r="I2473">
        <v>1</v>
      </c>
      <c r="J2473" t="s">
        <v>98</v>
      </c>
      <c r="K2473" t="s">
        <v>244</v>
      </c>
      <c r="L2473">
        <v>-0.51</v>
      </c>
      <c r="M2473">
        <v>19.78</v>
      </c>
      <c r="N2473">
        <v>8599</v>
      </c>
      <c r="O2473">
        <v>7502</v>
      </c>
      <c r="P2473">
        <v>1.1499999999999999</v>
      </c>
      <c r="Q2473">
        <v>31</v>
      </c>
      <c r="R2473">
        <v>4</v>
      </c>
      <c r="S2473" t="s">
        <v>3</v>
      </c>
      <c r="T2473">
        <v>23820.5</v>
      </c>
      <c r="U2473" t="s">
        <v>730</v>
      </c>
      <c r="V2473" t="s">
        <v>6097</v>
      </c>
      <c r="W2473">
        <v>-0.51</v>
      </c>
    </row>
    <row r="2474" spans="1:23">
      <c r="A2474" t="str">
        <f>"601800"</f>
        <v>601800</v>
      </c>
      <c r="B2474" t="s">
        <v>6098</v>
      </c>
      <c r="C2474">
        <v>4.16</v>
      </c>
      <c r="D2474">
        <v>4.18</v>
      </c>
      <c r="E2474">
        <v>4.1399999999999997</v>
      </c>
      <c r="F2474">
        <v>4.17</v>
      </c>
      <c r="G2474">
        <v>308921</v>
      </c>
      <c r="H2474">
        <v>128700544</v>
      </c>
      <c r="I2474">
        <v>1.1399999999999999</v>
      </c>
      <c r="J2474" t="s">
        <v>33</v>
      </c>
      <c r="K2474" t="s">
        <v>34</v>
      </c>
      <c r="L2474">
        <v>0.24</v>
      </c>
      <c r="M2474">
        <v>4.17</v>
      </c>
      <c r="N2474">
        <v>139260</v>
      </c>
      <c r="O2474">
        <v>169660</v>
      </c>
      <c r="P2474">
        <v>0.82</v>
      </c>
      <c r="Q2474">
        <v>4351</v>
      </c>
      <c r="R2474">
        <v>2063</v>
      </c>
      <c r="S2474" t="s">
        <v>3</v>
      </c>
      <c r="T2474">
        <v>134973.54999999999</v>
      </c>
      <c r="U2474" t="s">
        <v>6099</v>
      </c>
      <c r="V2474" t="s">
        <v>6100</v>
      </c>
      <c r="W2474">
        <v>0.24</v>
      </c>
    </row>
    <row r="2475" spans="1:23">
      <c r="A2475" t="str">
        <f>"601801"</f>
        <v>601801</v>
      </c>
      <c r="B2475" t="s">
        <v>6101</v>
      </c>
      <c r="C2475">
        <v>16.79</v>
      </c>
      <c r="D2475">
        <v>16.86</v>
      </c>
      <c r="E2475">
        <v>16.43</v>
      </c>
      <c r="F2475">
        <v>16.8</v>
      </c>
      <c r="G2475">
        <v>68223</v>
      </c>
      <c r="H2475">
        <v>113607488</v>
      </c>
      <c r="I2475">
        <v>0.36</v>
      </c>
      <c r="J2475" t="s">
        <v>360</v>
      </c>
      <c r="K2475" t="s">
        <v>220</v>
      </c>
      <c r="L2475">
        <v>0.36</v>
      </c>
      <c r="M2475">
        <v>16.649999999999999</v>
      </c>
      <c r="N2475">
        <v>37630</v>
      </c>
      <c r="O2475">
        <v>30592</v>
      </c>
      <c r="P2475">
        <v>1.23</v>
      </c>
      <c r="Q2475">
        <v>318</v>
      </c>
      <c r="R2475">
        <v>113</v>
      </c>
      <c r="S2475" t="s">
        <v>3</v>
      </c>
      <c r="T2475">
        <v>91000</v>
      </c>
      <c r="U2475" t="s">
        <v>6102</v>
      </c>
      <c r="V2475" t="s">
        <v>6102</v>
      </c>
      <c r="W2475">
        <v>0.35</v>
      </c>
    </row>
    <row r="2476" spans="1:23">
      <c r="A2476" t="str">
        <f>"601808"</f>
        <v>601808</v>
      </c>
      <c r="B2476" t="s">
        <v>6103</v>
      </c>
      <c r="C2476">
        <v>20.5</v>
      </c>
      <c r="D2476">
        <v>20.54</v>
      </c>
      <c r="E2476">
        <v>20.2</v>
      </c>
      <c r="F2476">
        <v>20.309999999999999</v>
      </c>
      <c r="G2476">
        <v>131380</v>
      </c>
      <c r="H2476">
        <v>267526048</v>
      </c>
      <c r="I2476">
        <v>0.82</v>
      </c>
      <c r="J2476" t="s">
        <v>1924</v>
      </c>
      <c r="K2476" t="s">
        <v>442</v>
      </c>
      <c r="L2476">
        <v>-0.93</v>
      </c>
      <c r="M2476">
        <v>20.36</v>
      </c>
      <c r="N2476">
        <v>69067</v>
      </c>
      <c r="O2476">
        <v>62312</v>
      </c>
      <c r="P2476">
        <v>1.1100000000000001</v>
      </c>
      <c r="Q2476">
        <v>137</v>
      </c>
      <c r="R2476">
        <v>5</v>
      </c>
      <c r="S2476" t="s">
        <v>3</v>
      </c>
      <c r="T2476">
        <v>296046.81</v>
      </c>
      <c r="U2476" t="s">
        <v>6104</v>
      </c>
      <c r="V2476" t="s">
        <v>6104</v>
      </c>
      <c r="W2476">
        <v>-0.93</v>
      </c>
    </row>
    <row r="2477" spans="1:23">
      <c r="A2477" t="str">
        <f>"601818"</f>
        <v>601818</v>
      </c>
      <c r="B2477" t="s">
        <v>6105</v>
      </c>
      <c r="C2477">
        <v>2.75</v>
      </c>
      <c r="D2477">
        <v>2.75</v>
      </c>
      <c r="E2477">
        <v>2.71</v>
      </c>
      <c r="F2477">
        <v>2.73</v>
      </c>
      <c r="G2477">
        <v>1102359</v>
      </c>
      <c r="H2477">
        <v>300735904</v>
      </c>
      <c r="I2477">
        <v>0.97</v>
      </c>
      <c r="J2477" t="s">
        <v>1</v>
      </c>
      <c r="K2477" t="s">
        <v>34</v>
      </c>
      <c r="L2477">
        <v>-0.73</v>
      </c>
      <c r="M2477">
        <v>2.73</v>
      </c>
      <c r="N2477">
        <v>804995</v>
      </c>
      <c r="O2477">
        <v>297363</v>
      </c>
      <c r="P2477">
        <v>2.71</v>
      </c>
      <c r="Q2477">
        <v>8741</v>
      </c>
      <c r="R2477">
        <v>21060</v>
      </c>
      <c r="S2477" t="s">
        <v>3</v>
      </c>
      <c r="T2477">
        <v>3981036</v>
      </c>
      <c r="U2477" t="s">
        <v>6106</v>
      </c>
      <c r="V2477" t="s">
        <v>6106</v>
      </c>
      <c r="W2477">
        <v>-0.73</v>
      </c>
    </row>
    <row r="2478" spans="1:23">
      <c r="A2478" t="str">
        <f>"601857"</f>
        <v>601857</v>
      </c>
      <c r="B2478" t="s">
        <v>6107</v>
      </c>
      <c r="C2478">
        <v>8.1199999999999992</v>
      </c>
      <c r="D2478">
        <v>8.1300000000000008</v>
      </c>
      <c r="E2478">
        <v>8.08</v>
      </c>
      <c r="F2478">
        <v>8.09</v>
      </c>
      <c r="G2478">
        <v>204238</v>
      </c>
      <c r="H2478">
        <v>165360704</v>
      </c>
      <c r="I2478">
        <v>0.61</v>
      </c>
      <c r="J2478" t="s">
        <v>1924</v>
      </c>
      <c r="K2478" t="s">
        <v>34</v>
      </c>
      <c r="L2478">
        <v>-0.37</v>
      </c>
      <c r="M2478">
        <v>8.1</v>
      </c>
      <c r="N2478">
        <v>104306</v>
      </c>
      <c r="O2478">
        <v>99932</v>
      </c>
      <c r="P2478">
        <v>1.04</v>
      </c>
      <c r="Q2478">
        <v>2391</v>
      </c>
      <c r="R2478">
        <v>1646</v>
      </c>
      <c r="S2478" t="s">
        <v>3</v>
      </c>
      <c r="T2478">
        <v>16192208</v>
      </c>
      <c r="U2478" t="s">
        <v>6108</v>
      </c>
      <c r="V2478" t="s">
        <v>6108</v>
      </c>
      <c r="W2478">
        <v>-0.37</v>
      </c>
    </row>
    <row r="2479" spans="1:23">
      <c r="A2479" t="str">
        <f>"601866"</f>
        <v>601866</v>
      </c>
      <c r="B2479" t="s">
        <v>6109</v>
      </c>
      <c r="C2479">
        <v>3.03</v>
      </c>
      <c r="D2479">
        <v>3.06</v>
      </c>
      <c r="E2479">
        <v>2.95</v>
      </c>
      <c r="F2479">
        <v>2.99</v>
      </c>
      <c r="G2479">
        <v>852690</v>
      </c>
      <c r="H2479">
        <v>255136816</v>
      </c>
      <c r="I2479">
        <v>0.66</v>
      </c>
      <c r="J2479" t="s">
        <v>2226</v>
      </c>
      <c r="K2479" t="s">
        <v>727</v>
      </c>
      <c r="L2479">
        <v>-1.32</v>
      </c>
      <c r="M2479">
        <v>2.99</v>
      </c>
      <c r="N2479">
        <v>484305</v>
      </c>
      <c r="O2479">
        <v>368385</v>
      </c>
      <c r="P2479">
        <v>1.31</v>
      </c>
      <c r="Q2479">
        <v>2347</v>
      </c>
      <c r="R2479">
        <v>21710</v>
      </c>
      <c r="S2479" t="s">
        <v>3</v>
      </c>
      <c r="T2479">
        <v>793212.5</v>
      </c>
      <c r="U2479" t="s">
        <v>6110</v>
      </c>
      <c r="V2479" t="s">
        <v>6110</v>
      </c>
      <c r="W2479">
        <v>-1.32</v>
      </c>
    </row>
    <row r="2480" spans="1:23">
      <c r="A2480" t="str">
        <f>"601872"</f>
        <v>601872</v>
      </c>
      <c r="B2480" t="s">
        <v>6111</v>
      </c>
      <c r="C2480">
        <v>3.18</v>
      </c>
      <c r="D2480">
        <v>3.19</v>
      </c>
      <c r="E2480">
        <v>3.13</v>
      </c>
      <c r="F2480">
        <v>3.14</v>
      </c>
      <c r="G2480">
        <v>130929</v>
      </c>
      <c r="H2480">
        <v>41243536</v>
      </c>
      <c r="I2480">
        <v>0.66</v>
      </c>
      <c r="J2480" t="s">
        <v>2226</v>
      </c>
      <c r="K2480" t="s">
        <v>727</v>
      </c>
      <c r="L2480">
        <v>-0.63</v>
      </c>
      <c r="M2480">
        <v>3.15</v>
      </c>
      <c r="N2480">
        <v>86095</v>
      </c>
      <c r="O2480">
        <v>44834</v>
      </c>
      <c r="P2480">
        <v>1.92</v>
      </c>
      <c r="Q2480">
        <v>5253</v>
      </c>
      <c r="R2480">
        <v>3136</v>
      </c>
      <c r="S2480" t="s">
        <v>3</v>
      </c>
      <c r="T2480">
        <v>377673.75</v>
      </c>
      <c r="U2480" t="s">
        <v>6112</v>
      </c>
      <c r="V2480" t="s">
        <v>6113</v>
      </c>
      <c r="W2480">
        <v>-0.64</v>
      </c>
    </row>
    <row r="2481" spans="1:23">
      <c r="A2481" t="str">
        <f>"601877"</f>
        <v>601877</v>
      </c>
      <c r="B2481" t="s">
        <v>6114</v>
      </c>
      <c r="C2481">
        <v>26.06</v>
      </c>
      <c r="D2481">
        <v>26.95</v>
      </c>
      <c r="E2481">
        <v>26.04</v>
      </c>
      <c r="F2481">
        <v>26.59</v>
      </c>
      <c r="G2481">
        <v>28366</v>
      </c>
      <c r="H2481">
        <v>75350256</v>
      </c>
      <c r="I2481">
        <v>1.36</v>
      </c>
      <c r="J2481" t="s">
        <v>145</v>
      </c>
      <c r="K2481" t="s">
        <v>229</v>
      </c>
      <c r="L2481">
        <v>1.37</v>
      </c>
      <c r="M2481">
        <v>26.56</v>
      </c>
      <c r="N2481">
        <v>12107</v>
      </c>
      <c r="O2481">
        <v>16258</v>
      </c>
      <c r="P2481">
        <v>0.74</v>
      </c>
      <c r="Q2481">
        <v>62</v>
      </c>
      <c r="R2481">
        <v>21</v>
      </c>
      <c r="S2481" t="s">
        <v>3</v>
      </c>
      <c r="T2481">
        <v>100825.57</v>
      </c>
      <c r="U2481" t="s">
        <v>6115</v>
      </c>
      <c r="V2481" t="s">
        <v>6115</v>
      </c>
      <c r="W2481">
        <v>1.37</v>
      </c>
    </row>
    <row r="2482" spans="1:23">
      <c r="A2482" t="str">
        <f>"601880"</f>
        <v>601880</v>
      </c>
      <c r="B2482" t="s">
        <v>6116</v>
      </c>
      <c r="C2482">
        <v>3.39</v>
      </c>
      <c r="D2482">
        <v>3.49</v>
      </c>
      <c r="E2482">
        <v>3.33</v>
      </c>
      <c r="F2482">
        <v>3.35</v>
      </c>
      <c r="G2482">
        <v>824403</v>
      </c>
      <c r="H2482">
        <v>279492448</v>
      </c>
      <c r="I2482">
        <v>0.7</v>
      </c>
      <c r="J2482" t="s">
        <v>70</v>
      </c>
      <c r="K2482" t="s">
        <v>162</v>
      </c>
      <c r="L2482">
        <v>-1.47</v>
      </c>
      <c r="M2482">
        <v>3.39</v>
      </c>
      <c r="N2482">
        <v>454092</v>
      </c>
      <c r="O2482">
        <v>370310</v>
      </c>
      <c r="P2482">
        <v>1.23</v>
      </c>
      <c r="Q2482">
        <v>2859</v>
      </c>
      <c r="R2482">
        <v>6883</v>
      </c>
      <c r="S2482" t="s">
        <v>3</v>
      </c>
      <c r="T2482">
        <v>336340</v>
      </c>
      <c r="U2482" t="s">
        <v>6117</v>
      </c>
      <c r="V2482" t="s">
        <v>6117</v>
      </c>
      <c r="W2482">
        <v>-1.47</v>
      </c>
    </row>
    <row r="2483" spans="1:23">
      <c r="A2483" t="str">
        <f>"601886"</f>
        <v>601886</v>
      </c>
      <c r="B2483" t="s">
        <v>6118</v>
      </c>
      <c r="C2483">
        <v>7.06</v>
      </c>
      <c r="D2483">
        <v>7.24</v>
      </c>
      <c r="E2483">
        <v>6.98</v>
      </c>
      <c r="F2483">
        <v>7.19</v>
      </c>
      <c r="G2483">
        <v>207540</v>
      </c>
      <c r="H2483">
        <v>147482736</v>
      </c>
      <c r="I2483">
        <v>1.69</v>
      </c>
      <c r="J2483" t="s">
        <v>1496</v>
      </c>
      <c r="K2483" t="s">
        <v>34</v>
      </c>
      <c r="L2483">
        <v>1.99</v>
      </c>
      <c r="M2483">
        <v>7.11</v>
      </c>
      <c r="N2483">
        <v>98771</v>
      </c>
      <c r="O2483">
        <v>108769</v>
      </c>
      <c r="P2483">
        <v>0.91</v>
      </c>
      <c r="Q2483">
        <v>114</v>
      </c>
      <c r="R2483">
        <v>557</v>
      </c>
      <c r="S2483" t="s">
        <v>3</v>
      </c>
      <c r="T2483">
        <v>90723.520000000004</v>
      </c>
      <c r="U2483" t="s">
        <v>6119</v>
      </c>
      <c r="V2483" t="s">
        <v>6120</v>
      </c>
      <c r="W2483">
        <v>1.98</v>
      </c>
    </row>
    <row r="2484" spans="1:23">
      <c r="A2484" t="str">
        <f>"601888"</f>
        <v>601888</v>
      </c>
      <c r="B2484" t="s">
        <v>6121</v>
      </c>
      <c r="C2484">
        <v>38.32</v>
      </c>
      <c r="D2484">
        <v>38.72</v>
      </c>
      <c r="E2484">
        <v>37.799999999999997</v>
      </c>
      <c r="F2484">
        <v>38.35</v>
      </c>
      <c r="G2484">
        <v>25868</v>
      </c>
      <c r="H2484">
        <v>98666488</v>
      </c>
      <c r="I2484">
        <v>0.53</v>
      </c>
      <c r="J2484" t="s">
        <v>625</v>
      </c>
      <c r="K2484" t="s">
        <v>34</v>
      </c>
      <c r="L2484">
        <v>0.08</v>
      </c>
      <c r="M2484">
        <v>38.14</v>
      </c>
      <c r="N2484">
        <v>14312</v>
      </c>
      <c r="O2484">
        <v>11555</v>
      </c>
      <c r="P2484">
        <v>1.24</v>
      </c>
      <c r="Q2484">
        <v>10</v>
      </c>
      <c r="R2484">
        <v>79</v>
      </c>
      <c r="S2484" t="s">
        <v>3</v>
      </c>
      <c r="T2484">
        <v>97623.77</v>
      </c>
      <c r="U2484" t="s">
        <v>6122</v>
      </c>
      <c r="V2484" t="s">
        <v>6122</v>
      </c>
      <c r="W2484">
        <v>7.0000000000000007E-2</v>
      </c>
    </row>
    <row r="2485" spans="1:23">
      <c r="A2485" t="str">
        <f>"601890"</f>
        <v>601890</v>
      </c>
      <c r="B2485" t="s">
        <v>6123</v>
      </c>
      <c r="C2485">
        <v>10.31</v>
      </c>
      <c r="D2485">
        <v>10.71</v>
      </c>
      <c r="E2485">
        <v>10.14</v>
      </c>
      <c r="F2485">
        <v>10.49</v>
      </c>
      <c r="G2485">
        <v>117028</v>
      </c>
      <c r="H2485">
        <v>122661920</v>
      </c>
      <c r="I2485">
        <v>1.03</v>
      </c>
      <c r="J2485" t="s">
        <v>2960</v>
      </c>
      <c r="K2485" t="s">
        <v>244</v>
      </c>
      <c r="L2485">
        <v>1.1599999999999999</v>
      </c>
      <c r="M2485">
        <v>10.48</v>
      </c>
      <c r="N2485">
        <v>59418</v>
      </c>
      <c r="O2485">
        <v>57610</v>
      </c>
      <c r="P2485">
        <v>1.03</v>
      </c>
      <c r="Q2485">
        <v>1209</v>
      </c>
      <c r="R2485">
        <v>217</v>
      </c>
      <c r="S2485" t="s">
        <v>3</v>
      </c>
      <c r="T2485">
        <v>46800</v>
      </c>
      <c r="U2485" t="s">
        <v>6124</v>
      </c>
      <c r="V2485" t="s">
        <v>6124</v>
      </c>
      <c r="W2485">
        <v>1.1499999999999999</v>
      </c>
    </row>
    <row r="2486" spans="1:23">
      <c r="A2486" t="str">
        <f>"601898"</f>
        <v>601898</v>
      </c>
      <c r="B2486" t="s">
        <v>6125</v>
      </c>
      <c r="C2486">
        <v>4.46</v>
      </c>
      <c r="D2486">
        <v>4.53</v>
      </c>
      <c r="E2486">
        <v>4.45</v>
      </c>
      <c r="F2486">
        <v>4.49</v>
      </c>
      <c r="G2486">
        <v>272931</v>
      </c>
      <c r="H2486">
        <v>122522632</v>
      </c>
      <c r="I2486">
        <v>1.08</v>
      </c>
      <c r="J2486" t="s">
        <v>482</v>
      </c>
      <c r="K2486" t="s">
        <v>34</v>
      </c>
      <c r="L2486">
        <v>0.22</v>
      </c>
      <c r="M2486">
        <v>4.49</v>
      </c>
      <c r="N2486">
        <v>137064</v>
      </c>
      <c r="O2486">
        <v>135866</v>
      </c>
      <c r="P2486">
        <v>1.01</v>
      </c>
      <c r="Q2486">
        <v>4632</v>
      </c>
      <c r="R2486">
        <v>2216</v>
      </c>
      <c r="S2486" t="s">
        <v>3</v>
      </c>
      <c r="T2486">
        <v>915200.06</v>
      </c>
      <c r="U2486" t="s">
        <v>6126</v>
      </c>
      <c r="V2486" t="s">
        <v>6126</v>
      </c>
      <c r="W2486">
        <v>0.22</v>
      </c>
    </row>
    <row r="2487" spans="1:23">
      <c r="A2487" t="str">
        <f>"601899"</f>
        <v>601899</v>
      </c>
      <c r="B2487" t="s">
        <v>6127</v>
      </c>
      <c r="C2487">
        <v>2.37</v>
      </c>
      <c r="D2487">
        <v>2.39</v>
      </c>
      <c r="E2487">
        <v>2.36</v>
      </c>
      <c r="F2487">
        <v>2.38</v>
      </c>
      <c r="G2487">
        <v>1375856</v>
      </c>
      <c r="H2487">
        <v>327030848</v>
      </c>
      <c r="I2487">
        <v>1.48</v>
      </c>
      <c r="J2487" t="s">
        <v>1783</v>
      </c>
      <c r="K2487" t="s">
        <v>414</v>
      </c>
      <c r="L2487">
        <v>0.42</v>
      </c>
      <c r="M2487">
        <v>2.38</v>
      </c>
      <c r="N2487">
        <v>660686</v>
      </c>
      <c r="O2487">
        <v>715170</v>
      </c>
      <c r="P2487">
        <v>0.92</v>
      </c>
      <c r="Q2487">
        <v>7322</v>
      </c>
      <c r="R2487">
        <v>119765</v>
      </c>
      <c r="S2487" t="s">
        <v>3</v>
      </c>
      <c r="T2487">
        <v>1580380.38</v>
      </c>
      <c r="U2487" t="s">
        <v>6128</v>
      </c>
      <c r="V2487" t="s">
        <v>6128</v>
      </c>
      <c r="W2487">
        <v>0.42</v>
      </c>
    </row>
    <row r="2488" spans="1:23">
      <c r="A2488" t="str">
        <f>"601901"</f>
        <v>601901</v>
      </c>
      <c r="B2488" t="s">
        <v>6129</v>
      </c>
      <c r="C2488">
        <v>6.11</v>
      </c>
      <c r="D2488">
        <v>6.12</v>
      </c>
      <c r="E2488">
        <v>6.02</v>
      </c>
      <c r="F2488">
        <v>6.05</v>
      </c>
      <c r="G2488">
        <v>646166</v>
      </c>
      <c r="H2488">
        <v>391033024</v>
      </c>
      <c r="I2488">
        <v>0.79</v>
      </c>
      <c r="J2488" t="s">
        <v>512</v>
      </c>
      <c r="K2488" t="s">
        <v>234</v>
      </c>
      <c r="L2488">
        <v>-0.98</v>
      </c>
      <c r="M2488">
        <v>6.05</v>
      </c>
      <c r="N2488">
        <v>385023</v>
      </c>
      <c r="O2488">
        <v>261142</v>
      </c>
      <c r="P2488">
        <v>1.47</v>
      </c>
      <c r="Q2488">
        <v>6710</v>
      </c>
      <c r="R2488">
        <v>6894</v>
      </c>
      <c r="S2488" t="s">
        <v>3</v>
      </c>
      <c r="T2488">
        <v>610000</v>
      </c>
      <c r="U2488" t="s">
        <v>6130</v>
      </c>
      <c r="V2488" t="s">
        <v>6131</v>
      </c>
      <c r="W2488">
        <v>-0.99</v>
      </c>
    </row>
    <row r="2489" spans="1:23">
      <c r="A2489" t="str">
        <f>"601908"</f>
        <v>601908</v>
      </c>
      <c r="B2489" t="s">
        <v>6132</v>
      </c>
      <c r="C2489">
        <v>9.75</v>
      </c>
      <c r="D2489">
        <v>9.9600000000000009</v>
      </c>
      <c r="E2489">
        <v>9.6999999999999993</v>
      </c>
      <c r="F2489">
        <v>9.8699999999999992</v>
      </c>
      <c r="G2489">
        <v>179320</v>
      </c>
      <c r="H2489">
        <v>176056800</v>
      </c>
      <c r="I2489">
        <v>1.05</v>
      </c>
      <c r="J2489" t="s">
        <v>1581</v>
      </c>
      <c r="K2489" t="s">
        <v>34</v>
      </c>
      <c r="L2489">
        <v>-1.4</v>
      </c>
      <c r="M2489">
        <v>9.82</v>
      </c>
      <c r="N2489">
        <v>96381</v>
      </c>
      <c r="O2489">
        <v>82938</v>
      </c>
      <c r="P2489">
        <v>1.1599999999999999</v>
      </c>
      <c r="Q2489">
        <v>88</v>
      </c>
      <c r="R2489">
        <v>285</v>
      </c>
      <c r="S2489" t="s">
        <v>3</v>
      </c>
      <c r="T2489">
        <v>28451.52</v>
      </c>
      <c r="U2489" t="s">
        <v>6133</v>
      </c>
      <c r="V2489" t="s">
        <v>6134</v>
      </c>
      <c r="W2489">
        <v>-1.4</v>
      </c>
    </row>
    <row r="2490" spans="1:23">
      <c r="A2490" t="str">
        <f>"601918"</f>
        <v>601918</v>
      </c>
      <c r="B2490" t="s">
        <v>6135</v>
      </c>
      <c r="C2490">
        <v>3.76</v>
      </c>
      <c r="D2490">
        <v>3.83</v>
      </c>
      <c r="E2490">
        <v>3.73</v>
      </c>
      <c r="F2490">
        <v>3.79</v>
      </c>
      <c r="G2490">
        <v>283758</v>
      </c>
      <c r="H2490">
        <v>107204784</v>
      </c>
      <c r="I2490">
        <v>0.8</v>
      </c>
      <c r="J2490" t="s">
        <v>482</v>
      </c>
      <c r="K2490" t="s">
        <v>220</v>
      </c>
      <c r="L2490">
        <v>0.53</v>
      </c>
      <c r="M2490">
        <v>3.78</v>
      </c>
      <c r="N2490">
        <v>133224</v>
      </c>
      <c r="O2490">
        <v>150534</v>
      </c>
      <c r="P2490">
        <v>0.89</v>
      </c>
      <c r="Q2490">
        <v>2693</v>
      </c>
      <c r="R2490">
        <v>1686</v>
      </c>
      <c r="S2490" t="s">
        <v>3</v>
      </c>
      <c r="T2490">
        <v>259054.17</v>
      </c>
      <c r="U2490" t="s">
        <v>6136</v>
      </c>
      <c r="V2490" t="s">
        <v>6136</v>
      </c>
      <c r="W2490">
        <v>0.53</v>
      </c>
    </row>
    <row r="2491" spans="1:23">
      <c r="A2491" t="str">
        <f>"601919"</f>
        <v>601919</v>
      </c>
      <c r="B2491" t="s">
        <v>6137</v>
      </c>
      <c r="C2491">
        <v>3.58</v>
      </c>
      <c r="D2491">
        <v>3.64</v>
      </c>
      <c r="E2491">
        <v>3.55</v>
      </c>
      <c r="F2491">
        <v>3.58</v>
      </c>
      <c r="G2491">
        <v>268492</v>
      </c>
      <c r="H2491">
        <v>96413472</v>
      </c>
      <c r="I2491">
        <v>0.78</v>
      </c>
      <c r="J2491" t="s">
        <v>2226</v>
      </c>
      <c r="K2491" t="s">
        <v>442</v>
      </c>
      <c r="L2491">
        <v>0</v>
      </c>
      <c r="M2491">
        <v>3.59</v>
      </c>
      <c r="N2491">
        <v>148711</v>
      </c>
      <c r="O2491">
        <v>119780</v>
      </c>
      <c r="P2491">
        <v>1.24</v>
      </c>
      <c r="Q2491">
        <v>4419</v>
      </c>
      <c r="R2491">
        <v>2908</v>
      </c>
      <c r="S2491" t="s">
        <v>3</v>
      </c>
      <c r="T2491">
        <v>763567.44</v>
      </c>
      <c r="U2491" t="s">
        <v>6138</v>
      </c>
      <c r="V2491" t="s">
        <v>6138</v>
      </c>
      <c r="W2491">
        <v>0</v>
      </c>
    </row>
    <row r="2492" spans="1:23">
      <c r="A2492" t="str">
        <f>"601928"</f>
        <v>601928</v>
      </c>
      <c r="B2492" t="s">
        <v>6139</v>
      </c>
      <c r="C2492">
        <v>11.09</v>
      </c>
      <c r="D2492">
        <v>11.22</v>
      </c>
      <c r="E2492">
        <v>10.88</v>
      </c>
      <c r="F2492">
        <v>11.13</v>
      </c>
      <c r="G2492">
        <v>393269</v>
      </c>
      <c r="H2492">
        <v>434877952</v>
      </c>
      <c r="I2492">
        <v>0.65</v>
      </c>
      <c r="J2492" t="s">
        <v>360</v>
      </c>
      <c r="K2492" t="s">
        <v>244</v>
      </c>
      <c r="L2492">
        <v>-0.54</v>
      </c>
      <c r="M2492">
        <v>11.06</v>
      </c>
      <c r="N2492">
        <v>204586</v>
      </c>
      <c r="O2492">
        <v>188682</v>
      </c>
      <c r="P2492">
        <v>1.08</v>
      </c>
      <c r="Q2492">
        <v>2</v>
      </c>
      <c r="R2492">
        <v>249</v>
      </c>
      <c r="S2492" t="s">
        <v>3</v>
      </c>
      <c r="T2492">
        <v>65788.350000000006</v>
      </c>
      <c r="U2492" t="s">
        <v>6140</v>
      </c>
      <c r="V2492" t="s">
        <v>6141</v>
      </c>
      <c r="W2492">
        <v>-0.54</v>
      </c>
    </row>
    <row r="2493" spans="1:23">
      <c r="A2493" t="str">
        <f>"601929"</f>
        <v>601929</v>
      </c>
      <c r="B2493" t="s">
        <v>6142</v>
      </c>
      <c r="C2493">
        <v>12.42</v>
      </c>
      <c r="D2493">
        <v>12.73</v>
      </c>
      <c r="E2493">
        <v>12.21</v>
      </c>
      <c r="F2493">
        <v>12.66</v>
      </c>
      <c r="G2493">
        <v>229547</v>
      </c>
      <c r="H2493">
        <v>286715552</v>
      </c>
      <c r="I2493">
        <v>1.33</v>
      </c>
      <c r="J2493" t="s">
        <v>228</v>
      </c>
      <c r="K2493" t="s">
        <v>99</v>
      </c>
      <c r="L2493">
        <v>2.4300000000000002</v>
      </c>
      <c r="M2493">
        <v>12.49</v>
      </c>
      <c r="N2493">
        <v>99623</v>
      </c>
      <c r="O2493">
        <v>129923</v>
      </c>
      <c r="P2493">
        <v>0.77</v>
      </c>
      <c r="Q2493">
        <v>31</v>
      </c>
      <c r="R2493">
        <v>245</v>
      </c>
      <c r="S2493" t="s">
        <v>3</v>
      </c>
      <c r="T2493">
        <v>86621.88</v>
      </c>
      <c r="U2493" t="s">
        <v>6143</v>
      </c>
      <c r="V2493" t="s">
        <v>6144</v>
      </c>
      <c r="W2493">
        <v>2.42</v>
      </c>
    </row>
    <row r="2494" spans="1:23">
      <c r="A2494" t="str">
        <f>"601933"</f>
        <v>601933</v>
      </c>
      <c r="B2494" t="s">
        <v>6145</v>
      </c>
      <c r="C2494">
        <v>7.75</v>
      </c>
      <c r="D2494">
        <v>7.98</v>
      </c>
      <c r="E2494">
        <v>7.74</v>
      </c>
      <c r="F2494">
        <v>7.93</v>
      </c>
      <c r="G2494">
        <v>392173</v>
      </c>
      <c r="H2494">
        <v>309313472</v>
      </c>
      <c r="I2494">
        <v>1.34</v>
      </c>
      <c r="J2494" t="s">
        <v>920</v>
      </c>
      <c r="K2494" t="s">
        <v>414</v>
      </c>
      <c r="L2494">
        <v>2.59</v>
      </c>
      <c r="M2494">
        <v>7.89</v>
      </c>
      <c r="N2494">
        <v>169824</v>
      </c>
      <c r="O2494">
        <v>222348</v>
      </c>
      <c r="P2494">
        <v>0.76</v>
      </c>
      <c r="Q2494">
        <v>736</v>
      </c>
      <c r="R2494">
        <v>1624</v>
      </c>
      <c r="S2494" t="s">
        <v>3</v>
      </c>
      <c r="T2494">
        <v>307160</v>
      </c>
      <c r="U2494" t="s">
        <v>6146</v>
      </c>
      <c r="V2494" t="s">
        <v>6147</v>
      </c>
      <c r="W2494">
        <v>2.58</v>
      </c>
    </row>
    <row r="2495" spans="1:23">
      <c r="A2495" t="str">
        <f>"601939"</f>
        <v>601939</v>
      </c>
      <c r="B2495" t="s">
        <v>6148</v>
      </c>
      <c r="C2495">
        <v>4.16</v>
      </c>
      <c r="D2495">
        <v>4.17</v>
      </c>
      <c r="E2495">
        <v>4.1399999999999997</v>
      </c>
      <c r="F2495">
        <v>4.1500000000000004</v>
      </c>
      <c r="G2495">
        <v>249296</v>
      </c>
      <c r="H2495">
        <v>103411408</v>
      </c>
      <c r="I2495">
        <v>0.56999999999999995</v>
      </c>
      <c r="J2495" t="s">
        <v>1</v>
      </c>
      <c r="K2495" t="s">
        <v>34</v>
      </c>
      <c r="L2495">
        <v>-0.24</v>
      </c>
      <c r="M2495">
        <v>4.1500000000000004</v>
      </c>
      <c r="N2495">
        <v>113376</v>
      </c>
      <c r="O2495">
        <v>135920</v>
      </c>
      <c r="P2495">
        <v>0.83</v>
      </c>
      <c r="Q2495">
        <v>15125</v>
      </c>
      <c r="R2495">
        <v>9975</v>
      </c>
      <c r="S2495" t="s">
        <v>3</v>
      </c>
      <c r="T2495">
        <v>959365.75</v>
      </c>
      <c r="U2495" t="s">
        <v>6149</v>
      </c>
      <c r="V2495" t="s">
        <v>6149</v>
      </c>
      <c r="W2495">
        <v>-0.24</v>
      </c>
    </row>
    <row r="2496" spans="1:23">
      <c r="A2496" t="str">
        <f>"601958"</f>
        <v>601958</v>
      </c>
      <c r="B2496" t="s">
        <v>6150</v>
      </c>
      <c r="C2496">
        <v>8.69</v>
      </c>
      <c r="D2496">
        <v>8.74</v>
      </c>
      <c r="E2496">
        <v>8.48</v>
      </c>
      <c r="F2496">
        <v>8.5399999999999991</v>
      </c>
      <c r="G2496">
        <v>160060</v>
      </c>
      <c r="H2496">
        <v>137021120</v>
      </c>
      <c r="I2496">
        <v>1.1200000000000001</v>
      </c>
      <c r="J2496" t="s">
        <v>328</v>
      </c>
      <c r="K2496" t="s">
        <v>389</v>
      </c>
      <c r="L2496">
        <v>-1.61</v>
      </c>
      <c r="M2496">
        <v>8.56</v>
      </c>
      <c r="N2496">
        <v>90386</v>
      </c>
      <c r="O2496">
        <v>69674</v>
      </c>
      <c r="P2496">
        <v>1.3</v>
      </c>
      <c r="Q2496">
        <v>590</v>
      </c>
      <c r="R2496">
        <v>780</v>
      </c>
      <c r="S2496" t="s">
        <v>3</v>
      </c>
      <c r="T2496">
        <v>322660.44</v>
      </c>
      <c r="U2496" t="s">
        <v>6151</v>
      </c>
      <c r="V2496" t="s">
        <v>6151</v>
      </c>
      <c r="W2496">
        <v>-1.62</v>
      </c>
    </row>
    <row r="2497" spans="1:23">
      <c r="A2497" t="str">
        <f>"601965"</f>
        <v>601965</v>
      </c>
      <c r="B2497" t="s">
        <v>6152</v>
      </c>
      <c r="C2497">
        <v>13.53</v>
      </c>
      <c r="D2497">
        <v>13.8</v>
      </c>
      <c r="E2497">
        <v>13.35</v>
      </c>
      <c r="F2497">
        <v>13.64</v>
      </c>
      <c r="G2497">
        <v>92046</v>
      </c>
      <c r="H2497">
        <v>125141112</v>
      </c>
      <c r="I2497">
        <v>1.46</v>
      </c>
      <c r="J2497" t="s">
        <v>79</v>
      </c>
      <c r="K2497" t="s">
        <v>386</v>
      </c>
      <c r="L2497">
        <v>1.19</v>
      </c>
      <c r="M2497">
        <v>13.6</v>
      </c>
      <c r="N2497">
        <v>48685</v>
      </c>
      <c r="O2497">
        <v>43360</v>
      </c>
      <c r="P2497">
        <v>1.1200000000000001</v>
      </c>
      <c r="Q2497">
        <v>153</v>
      </c>
      <c r="R2497">
        <v>1132</v>
      </c>
      <c r="S2497" t="s">
        <v>3</v>
      </c>
      <c r="T2497">
        <v>19200</v>
      </c>
      <c r="U2497" t="s">
        <v>3252</v>
      </c>
      <c r="V2497" t="s">
        <v>6153</v>
      </c>
      <c r="W2497">
        <v>1.18</v>
      </c>
    </row>
    <row r="2498" spans="1:23">
      <c r="A2498" t="str">
        <f>"601988"</f>
        <v>601988</v>
      </c>
      <c r="B2498" t="s">
        <v>6154</v>
      </c>
      <c r="C2498">
        <v>2.74</v>
      </c>
      <c r="D2498">
        <v>2.75</v>
      </c>
      <c r="E2498">
        <v>2.72</v>
      </c>
      <c r="F2498">
        <v>2.73</v>
      </c>
      <c r="G2498">
        <v>396915</v>
      </c>
      <c r="H2498">
        <v>108535328</v>
      </c>
      <c r="I2498">
        <v>0.76</v>
      </c>
      <c r="J2498" t="s">
        <v>1</v>
      </c>
      <c r="K2498" t="s">
        <v>34</v>
      </c>
      <c r="L2498">
        <v>-0.36</v>
      </c>
      <c r="M2498">
        <v>2.73</v>
      </c>
      <c r="N2498">
        <v>183304</v>
      </c>
      <c r="O2498">
        <v>213610</v>
      </c>
      <c r="P2498">
        <v>0.86</v>
      </c>
      <c r="Q2498">
        <v>17379</v>
      </c>
      <c r="R2498">
        <v>10023</v>
      </c>
      <c r="S2498" t="s">
        <v>3</v>
      </c>
      <c r="T2498">
        <v>19574232</v>
      </c>
      <c r="U2498" t="s">
        <v>6155</v>
      </c>
      <c r="V2498" t="s">
        <v>6155</v>
      </c>
      <c r="W2498">
        <v>-0.37</v>
      </c>
    </row>
    <row r="2499" spans="1:23">
      <c r="A2499" t="str">
        <f>"601989"</f>
        <v>601989</v>
      </c>
      <c r="B2499" t="s">
        <v>6156</v>
      </c>
      <c r="C2499">
        <v>5.73</v>
      </c>
      <c r="D2499">
        <v>5.96</v>
      </c>
      <c r="E2499">
        <v>5.68</v>
      </c>
      <c r="F2499">
        <v>5.79</v>
      </c>
      <c r="G2499">
        <v>3685652</v>
      </c>
      <c r="H2499">
        <v>2146873600</v>
      </c>
      <c r="I2499">
        <v>1.29</v>
      </c>
      <c r="J2499" t="s">
        <v>2960</v>
      </c>
      <c r="K2499" t="s">
        <v>34</v>
      </c>
      <c r="L2499">
        <v>-0.52</v>
      </c>
      <c r="M2499">
        <v>5.82</v>
      </c>
      <c r="N2499">
        <v>1676603</v>
      </c>
      <c r="O2499">
        <v>2009048</v>
      </c>
      <c r="P2499">
        <v>0.83</v>
      </c>
      <c r="Q2499">
        <v>3997</v>
      </c>
      <c r="R2499">
        <v>15653</v>
      </c>
      <c r="S2499" t="s">
        <v>3</v>
      </c>
      <c r="T2499">
        <v>1551214.5</v>
      </c>
      <c r="U2499" t="s">
        <v>6157</v>
      </c>
      <c r="V2499" t="s">
        <v>6158</v>
      </c>
      <c r="W2499">
        <v>-0.52</v>
      </c>
    </row>
    <row r="2500" spans="1:23">
      <c r="A2500" t="str">
        <f>"601991"</f>
        <v>601991</v>
      </c>
      <c r="B2500" t="s">
        <v>6159</v>
      </c>
      <c r="C2500">
        <v>3.95</v>
      </c>
      <c r="D2500">
        <v>3.97</v>
      </c>
      <c r="E2500">
        <v>3.92</v>
      </c>
      <c r="F2500">
        <v>3.96</v>
      </c>
      <c r="G2500">
        <v>130697</v>
      </c>
      <c r="H2500">
        <v>51545192</v>
      </c>
      <c r="I2500">
        <v>0.73</v>
      </c>
      <c r="J2500" t="s">
        <v>87</v>
      </c>
      <c r="K2500" t="s">
        <v>34</v>
      </c>
      <c r="L2500">
        <v>0.25</v>
      </c>
      <c r="M2500">
        <v>3.94</v>
      </c>
      <c r="N2500">
        <v>55157</v>
      </c>
      <c r="O2500">
        <v>75540</v>
      </c>
      <c r="P2500">
        <v>0.73</v>
      </c>
      <c r="Q2500">
        <v>118</v>
      </c>
      <c r="R2500">
        <v>3560</v>
      </c>
      <c r="S2500" t="s">
        <v>3</v>
      </c>
      <c r="T2500">
        <v>999436</v>
      </c>
      <c r="U2500" t="s">
        <v>6160</v>
      </c>
      <c r="V2500" t="s">
        <v>6160</v>
      </c>
      <c r="W2500">
        <v>0.25</v>
      </c>
    </row>
    <row r="2501" spans="1:23">
      <c r="A2501" t="str">
        <f>"601992"</f>
        <v>601992</v>
      </c>
      <c r="B2501" t="s">
        <v>6161</v>
      </c>
      <c r="C2501">
        <v>6.6</v>
      </c>
      <c r="D2501">
        <v>6.6</v>
      </c>
      <c r="E2501">
        <v>6.48</v>
      </c>
      <c r="F2501">
        <v>6.52</v>
      </c>
      <c r="G2501">
        <v>229282</v>
      </c>
      <c r="H2501">
        <v>149509376</v>
      </c>
      <c r="I2501">
        <v>0.98</v>
      </c>
      <c r="J2501" t="s">
        <v>258</v>
      </c>
      <c r="K2501" t="s">
        <v>34</v>
      </c>
      <c r="L2501">
        <v>-1.06</v>
      </c>
      <c r="M2501">
        <v>6.52</v>
      </c>
      <c r="N2501">
        <v>130672</v>
      </c>
      <c r="O2501">
        <v>98609</v>
      </c>
      <c r="P2501">
        <v>1.33</v>
      </c>
      <c r="Q2501">
        <v>1866</v>
      </c>
      <c r="R2501">
        <v>1391</v>
      </c>
      <c r="S2501" t="s">
        <v>3</v>
      </c>
      <c r="T2501">
        <v>311140.25</v>
      </c>
      <c r="U2501" t="s">
        <v>6162</v>
      </c>
      <c r="V2501" t="s">
        <v>6163</v>
      </c>
      <c r="W2501">
        <v>-1.07</v>
      </c>
    </row>
    <row r="2502" spans="1:23">
      <c r="A2502" t="str">
        <f>"601996"</f>
        <v>601996</v>
      </c>
      <c r="B2502" t="s">
        <v>6164</v>
      </c>
      <c r="C2502">
        <v>7.66</v>
      </c>
      <c r="D2502">
        <v>7.73</v>
      </c>
      <c r="E2502">
        <v>7.61</v>
      </c>
      <c r="F2502">
        <v>7.71</v>
      </c>
      <c r="G2502">
        <v>102066</v>
      </c>
      <c r="H2502">
        <v>78273904</v>
      </c>
      <c r="I2502">
        <v>0.86</v>
      </c>
      <c r="J2502" t="s">
        <v>577</v>
      </c>
      <c r="K2502" t="s">
        <v>417</v>
      </c>
      <c r="L2502">
        <v>0.52</v>
      </c>
      <c r="M2502">
        <v>7.67</v>
      </c>
      <c r="N2502">
        <v>48773</v>
      </c>
      <c r="O2502">
        <v>53292</v>
      </c>
      <c r="P2502">
        <v>0.92</v>
      </c>
      <c r="Q2502">
        <v>81</v>
      </c>
      <c r="R2502">
        <v>898</v>
      </c>
      <c r="S2502" t="s">
        <v>3</v>
      </c>
      <c r="T2502">
        <v>19619.400000000001</v>
      </c>
      <c r="U2502" t="s">
        <v>6165</v>
      </c>
      <c r="V2502" t="s">
        <v>271</v>
      </c>
      <c r="W2502">
        <v>0.52</v>
      </c>
    </row>
    <row r="2503" spans="1:23">
      <c r="A2503" t="str">
        <f>"601998"</f>
        <v>601998</v>
      </c>
      <c r="B2503" t="s">
        <v>6166</v>
      </c>
      <c r="C2503">
        <v>4.46</v>
      </c>
      <c r="D2503">
        <v>4.47</v>
      </c>
      <c r="E2503">
        <v>4.38</v>
      </c>
      <c r="F2503">
        <v>4.41</v>
      </c>
      <c r="G2503">
        <v>449353</v>
      </c>
      <c r="H2503">
        <v>198216400</v>
      </c>
      <c r="I2503">
        <v>0.72</v>
      </c>
      <c r="J2503" t="s">
        <v>1</v>
      </c>
      <c r="K2503" t="s">
        <v>34</v>
      </c>
      <c r="L2503">
        <v>-0.9</v>
      </c>
      <c r="M2503">
        <v>4.41</v>
      </c>
      <c r="N2503">
        <v>263228</v>
      </c>
      <c r="O2503">
        <v>186124</v>
      </c>
      <c r="P2503">
        <v>1.41</v>
      </c>
      <c r="Q2503">
        <v>8822</v>
      </c>
      <c r="R2503">
        <v>6677</v>
      </c>
      <c r="S2503" t="s">
        <v>3</v>
      </c>
      <c r="T2503">
        <v>3190516.5</v>
      </c>
      <c r="U2503" t="s">
        <v>6167</v>
      </c>
      <c r="V2503" t="s">
        <v>6167</v>
      </c>
      <c r="W2503">
        <v>-0.9</v>
      </c>
    </row>
    <row r="2504" spans="1:23">
      <c r="A2504" t="str">
        <f>"601999"</f>
        <v>601999</v>
      </c>
      <c r="B2504" t="s">
        <v>6168</v>
      </c>
      <c r="C2504">
        <v>10.68</v>
      </c>
      <c r="D2504">
        <v>10.87</v>
      </c>
      <c r="E2504">
        <v>10.43</v>
      </c>
      <c r="F2504">
        <v>10.79</v>
      </c>
      <c r="G2504">
        <v>186431</v>
      </c>
      <c r="H2504">
        <v>199098944</v>
      </c>
      <c r="I2504">
        <v>0.61</v>
      </c>
      <c r="J2504" t="s">
        <v>360</v>
      </c>
      <c r="K2504" t="s">
        <v>162</v>
      </c>
      <c r="L2504">
        <v>-0.09</v>
      </c>
      <c r="M2504">
        <v>10.68</v>
      </c>
      <c r="N2504">
        <v>97188</v>
      </c>
      <c r="O2504">
        <v>89242</v>
      </c>
      <c r="P2504">
        <v>1.0900000000000001</v>
      </c>
      <c r="Q2504">
        <v>17</v>
      </c>
      <c r="R2504">
        <v>1108</v>
      </c>
      <c r="S2504" t="s">
        <v>3</v>
      </c>
      <c r="T2504">
        <v>55091.46</v>
      </c>
      <c r="U2504" t="s">
        <v>6169</v>
      </c>
      <c r="V2504" t="s">
        <v>6169</v>
      </c>
      <c r="W2504">
        <v>-0.1</v>
      </c>
    </row>
    <row r="2505" spans="1:23">
      <c r="A2505" t="str">
        <f>"603000"</f>
        <v>603000</v>
      </c>
      <c r="B2505" t="s">
        <v>6170</v>
      </c>
      <c r="C2505">
        <v>49.2</v>
      </c>
      <c r="D2505">
        <v>49.88</v>
      </c>
      <c r="E2505">
        <v>48.55</v>
      </c>
      <c r="F2505">
        <v>49.32</v>
      </c>
      <c r="G2505">
        <v>129034</v>
      </c>
      <c r="H2505">
        <v>634498496</v>
      </c>
      <c r="I2505">
        <v>0.51</v>
      </c>
      <c r="J2505" t="s">
        <v>355</v>
      </c>
      <c r="K2505" t="s">
        <v>34</v>
      </c>
      <c r="L2505">
        <v>-1.04</v>
      </c>
      <c r="M2505">
        <v>49.17</v>
      </c>
      <c r="N2505">
        <v>64677</v>
      </c>
      <c r="O2505">
        <v>64357</v>
      </c>
      <c r="P2505">
        <v>1</v>
      </c>
      <c r="Q2505">
        <v>2</v>
      </c>
      <c r="R2505">
        <v>12</v>
      </c>
      <c r="S2505" t="s">
        <v>3</v>
      </c>
      <c r="T2505">
        <v>22304.55</v>
      </c>
      <c r="U2505" t="s">
        <v>6171</v>
      </c>
      <c r="V2505" t="s">
        <v>6172</v>
      </c>
      <c r="W2505">
        <v>-1.05</v>
      </c>
    </row>
    <row r="2506" spans="1:23">
      <c r="A2506" t="str">
        <f>"603001"</f>
        <v>603001</v>
      </c>
      <c r="B2506" t="s">
        <v>6173</v>
      </c>
      <c r="C2506">
        <v>15.27</v>
      </c>
      <c r="D2506">
        <v>15.47</v>
      </c>
      <c r="E2506">
        <v>15.18</v>
      </c>
      <c r="F2506">
        <v>15.4</v>
      </c>
      <c r="G2506">
        <v>38469</v>
      </c>
      <c r="H2506">
        <v>58997424</v>
      </c>
      <c r="I2506">
        <v>0.57999999999999996</v>
      </c>
      <c r="J2506" t="s">
        <v>1373</v>
      </c>
      <c r="K2506" t="s">
        <v>229</v>
      </c>
      <c r="L2506">
        <v>0.46</v>
      </c>
      <c r="M2506">
        <v>15.34</v>
      </c>
      <c r="N2506">
        <v>18986</v>
      </c>
      <c r="O2506">
        <v>19483</v>
      </c>
      <c r="P2506">
        <v>0.97</v>
      </c>
      <c r="Q2506">
        <v>304</v>
      </c>
      <c r="R2506">
        <v>57</v>
      </c>
      <c r="S2506" t="s">
        <v>3</v>
      </c>
      <c r="T2506">
        <v>11694.9</v>
      </c>
      <c r="U2506" t="s">
        <v>2588</v>
      </c>
      <c r="V2506" t="s">
        <v>6174</v>
      </c>
      <c r="W2506">
        <v>0.45</v>
      </c>
    </row>
    <row r="2507" spans="1:23">
      <c r="A2507" t="str">
        <f>"603002"</f>
        <v>603002</v>
      </c>
      <c r="B2507" t="s">
        <v>6175</v>
      </c>
      <c r="C2507">
        <v>7.72</v>
      </c>
      <c r="D2507">
        <v>8</v>
      </c>
      <c r="E2507">
        <v>7.61</v>
      </c>
      <c r="F2507">
        <v>7.97</v>
      </c>
      <c r="G2507">
        <v>201378</v>
      </c>
      <c r="H2507">
        <v>158258672</v>
      </c>
      <c r="I2507">
        <v>2.38</v>
      </c>
      <c r="J2507" t="s">
        <v>376</v>
      </c>
      <c r="K2507" t="s">
        <v>211</v>
      </c>
      <c r="L2507">
        <v>3.24</v>
      </c>
      <c r="M2507">
        <v>7.86</v>
      </c>
      <c r="N2507">
        <v>86544</v>
      </c>
      <c r="O2507">
        <v>114833</v>
      </c>
      <c r="P2507">
        <v>0.75</v>
      </c>
      <c r="Q2507">
        <v>20</v>
      </c>
      <c r="R2507">
        <v>1014</v>
      </c>
      <c r="S2507" t="s">
        <v>3</v>
      </c>
      <c r="T2507">
        <v>19000</v>
      </c>
      <c r="U2507" t="s">
        <v>6176</v>
      </c>
      <c r="V2507" t="s">
        <v>1192</v>
      </c>
      <c r="W2507">
        <v>3.23</v>
      </c>
    </row>
    <row r="2508" spans="1:23">
      <c r="A2508" t="str">
        <f>"603003"</f>
        <v>603003</v>
      </c>
      <c r="B2508" t="s">
        <v>6177</v>
      </c>
      <c r="C2508">
        <v>14.37</v>
      </c>
      <c r="D2508">
        <v>14.64</v>
      </c>
      <c r="E2508">
        <v>14.11</v>
      </c>
      <c r="F2508">
        <v>14.62</v>
      </c>
      <c r="G2508">
        <v>75570</v>
      </c>
      <c r="H2508">
        <v>108995408</v>
      </c>
      <c r="I2508">
        <v>1.4</v>
      </c>
      <c r="J2508" t="s">
        <v>204</v>
      </c>
      <c r="K2508" t="s">
        <v>727</v>
      </c>
      <c r="L2508">
        <v>2.67</v>
      </c>
      <c r="M2508">
        <v>14.42</v>
      </c>
      <c r="N2508">
        <v>33794</v>
      </c>
      <c r="O2508">
        <v>41776</v>
      </c>
      <c r="P2508">
        <v>0.81</v>
      </c>
      <c r="Q2508">
        <v>123</v>
      </c>
      <c r="R2508">
        <v>99</v>
      </c>
      <c r="S2508" t="s">
        <v>3</v>
      </c>
      <c r="T2508">
        <v>6333.6</v>
      </c>
      <c r="U2508" t="s">
        <v>6178</v>
      </c>
      <c r="V2508" t="s">
        <v>6179</v>
      </c>
      <c r="W2508">
        <v>2.66</v>
      </c>
    </row>
    <row r="2509" spans="1:23">
      <c r="A2509" t="str">
        <f>"603005"</f>
        <v>603005</v>
      </c>
      <c r="B2509" t="s">
        <v>6180</v>
      </c>
      <c r="C2509">
        <v>44.88</v>
      </c>
      <c r="D2509">
        <v>45</v>
      </c>
      <c r="E2509">
        <v>43.6</v>
      </c>
      <c r="F2509">
        <v>44.33</v>
      </c>
      <c r="G2509">
        <v>18497</v>
      </c>
      <c r="H2509">
        <v>82063304</v>
      </c>
      <c r="I2509">
        <v>0.56000000000000005</v>
      </c>
      <c r="J2509" t="s">
        <v>1581</v>
      </c>
      <c r="K2509" t="s">
        <v>244</v>
      </c>
      <c r="L2509">
        <v>0.09</v>
      </c>
      <c r="M2509">
        <v>44.36</v>
      </c>
      <c r="N2509">
        <v>9657</v>
      </c>
      <c r="O2509">
        <v>8840</v>
      </c>
      <c r="P2509">
        <v>1.0900000000000001</v>
      </c>
      <c r="Q2509">
        <v>4</v>
      </c>
      <c r="R2509">
        <v>81</v>
      </c>
      <c r="S2509" t="s">
        <v>3</v>
      </c>
      <c r="T2509">
        <v>5667.41</v>
      </c>
      <c r="U2509" t="s">
        <v>6181</v>
      </c>
      <c r="V2509" t="s">
        <v>6182</v>
      </c>
      <c r="W2509">
        <v>0.09</v>
      </c>
    </row>
    <row r="2510" spans="1:23">
      <c r="A2510" t="str">
        <f>"603006"</f>
        <v>603006</v>
      </c>
      <c r="B2510" t="s">
        <v>6183</v>
      </c>
      <c r="C2510">
        <v>30.62</v>
      </c>
      <c r="D2510">
        <v>30.98</v>
      </c>
      <c r="E2510">
        <v>30.42</v>
      </c>
      <c r="F2510">
        <v>30.95</v>
      </c>
      <c r="G2510">
        <v>16638</v>
      </c>
      <c r="H2510">
        <v>51097448</v>
      </c>
      <c r="I2510">
        <v>0.59</v>
      </c>
      <c r="J2510" t="s">
        <v>98</v>
      </c>
      <c r="K2510" t="s">
        <v>727</v>
      </c>
      <c r="L2510">
        <v>1.1100000000000001</v>
      </c>
      <c r="M2510">
        <v>30.71</v>
      </c>
      <c r="N2510">
        <v>7384</v>
      </c>
      <c r="O2510">
        <v>9254</v>
      </c>
      <c r="P2510">
        <v>0.8</v>
      </c>
      <c r="Q2510">
        <v>60</v>
      </c>
      <c r="R2510">
        <v>1</v>
      </c>
      <c r="S2510" t="s">
        <v>3</v>
      </c>
      <c r="T2510">
        <v>2000</v>
      </c>
      <c r="U2510" t="s">
        <v>6184</v>
      </c>
      <c r="V2510" t="s">
        <v>16</v>
      </c>
      <c r="W2510">
        <v>1.1100000000000001</v>
      </c>
    </row>
    <row r="2511" spans="1:23">
      <c r="A2511" t="str">
        <f>"603008"</f>
        <v>603008</v>
      </c>
      <c r="B2511" t="s">
        <v>6185</v>
      </c>
      <c r="C2511">
        <v>10.82</v>
      </c>
      <c r="D2511">
        <v>10.98</v>
      </c>
      <c r="E2511">
        <v>10.58</v>
      </c>
      <c r="F2511">
        <v>10.95</v>
      </c>
      <c r="G2511">
        <v>104574</v>
      </c>
      <c r="H2511">
        <v>112825872</v>
      </c>
      <c r="I2511">
        <v>1.32</v>
      </c>
      <c r="J2511" t="s">
        <v>1183</v>
      </c>
      <c r="K2511" t="s">
        <v>229</v>
      </c>
      <c r="L2511">
        <v>1.58</v>
      </c>
      <c r="M2511">
        <v>10.79</v>
      </c>
      <c r="N2511">
        <v>46745</v>
      </c>
      <c r="O2511">
        <v>57829</v>
      </c>
      <c r="P2511">
        <v>0.81</v>
      </c>
      <c r="Q2511">
        <v>107</v>
      </c>
      <c r="R2511">
        <v>1257</v>
      </c>
      <c r="S2511" t="s">
        <v>3</v>
      </c>
      <c r="T2511">
        <v>19827.18</v>
      </c>
      <c r="U2511" t="s">
        <v>5503</v>
      </c>
      <c r="V2511" t="s">
        <v>1692</v>
      </c>
      <c r="W2511">
        <v>1.57</v>
      </c>
    </row>
    <row r="2512" spans="1:23">
      <c r="A2512" t="str">
        <f>"603009"</f>
        <v>603009</v>
      </c>
      <c r="B2512" t="s">
        <v>6186</v>
      </c>
      <c r="C2512">
        <v>24.08</v>
      </c>
      <c r="D2512">
        <v>24.1</v>
      </c>
      <c r="E2512">
        <v>23.62</v>
      </c>
      <c r="F2512">
        <v>23.82</v>
      </c>
      <c r="G2512">
        <v>16293</v>
      </c>
      <c r="H2512">
        <v>38672440</v>
      </c>
      <c r="I2512">
        <v>0.52</v>
      </c>
      <c r="J2512" t="s">
        <v>98</v>
      </c>
      <c r="K2512" t="s">
        <v>727</v>
      </c>
      <c r="L2512">
        <v>-0.67</v>
      </c>
      <c r="M2512">
        <v>23.74</v>
      </c>
      <c r="N2512">
        <v>10249</v>
      </c>
      <c r="O2512">
        <v>6043</v>
      </c>
      <c r="P2512">
        <v>1.7</v>
      </c>
      <c r="Q2512">
        <v>24</v>
      </c>
      <c r="R2512">
        <v>9</v>
      </c>
      <c r="S2512" t="s">
        <v>3</v>
      </c>
      <c r="T2512">
        <v>2667</v>
      </c>
      <c r="U2512" t="s">
        <v>6187</v>
      </c>
      <c r="V2512" t="s">
        <v>4454</v>
      </c>
      <c r="W2512">
        <v>-0.67</v>
      </c>
    </row>
    <row r="2513" spans="1:23">
      <c r="A2513" t="str">
        <f>"603077"</f>
        <v>603077</v>
      </c>
      <c r="B2513" t="s">
        <v>6188</v>
      </c>
      <c r="C2513">
        <v>9.1999999999999993</v>
      </c>
      <c r="D2513">
        <v>9.5500000000000007</v>
      </c>
      <c r="E2513">
        <v>9.15</v>
      </c>
      <c r="F2513">
        <v>9.35</v>
      </c>
      <c r="G2513">
        <v>289493</v>
      </c>
      <c r="H2513">
        <v>271683424</v>
      </c>
      <c r="I2513">
        <v>0.74</v>
      </c>
      <c r="J2513" t="s">
        <v>376</v>
      </c>
      <c r="K2513" t="s">
        <v>225</v>
      </c>
      <c r="L2513">
        <v>1.3</v>
      </c>
      <c r="M2513">
        <v>9.3800000000000008</v>
      </c>
      <c r="N2513">
        <v>147868</v>
      </c>
      <c r="O2513">
        <v>141624</v>
      </c>
      <c r="P2513">
        <v>1.04</v>
      </c>
      <c r="Q2513">
        <v>240</v>
      </c>
      <c r="R2513">
        <v>193</v>
      </c>
      <c r="S2513" t="s">
        <v>3</v>
      </c>
      <c r="T2513">
        <v>30000</v>
      </c>
      <c r="U2513" t="s">
        <v>6189</v>
      </c>
      <c r="V2513" t="s">
        <v>6190</v>
      </c>
      <c r="W2513">
        <v>1.3</v>
      </c>
    </row>
    <row r="2514" spans="1:23">
      <c r="A2514" t="str">
        <f>"603099"</f>
        <v>603099</v>
      </c>
      <c r="B2514" t="s">
        <v>6191</v>
      </c>
      <c r="C2514">
        <v>18</v>
      </c>
      <c r="D2514">
        <v>18.23</v>
      </c>
      <c r="E2514">
        <v>17.16</v>
      </c>
      <c r="F2514">
        <v>17.55</v>
      </c>
      <c r="G2514">
        <v>491479</v>
      </c>
      <c r="H2514">
        <v>868709888</v>
      </c>
      <c r="I2514">
        <v>7.09</v>
      </c>
      <c r="J2514" t="s">
        <v>625</v>
      </c>
      <c r="K2514" t="s">
        <v>99</v>
      </c>
      <c r="L2514">
        <v>3.54</v>
      </c>
      <c r="M2514">
        <v>17.68</v>
      </c>
      <c r="N2514">
        <v>257026</v>
      </c>
      <c r="O2514">
        <v>234452</v>
      </c>
      <c r="P2514">
        <v>1.1000000000000001</v>
      </c>
      <c r="Q2514">
        <v>29</v>
      </c>
      <c r="R2514">
        <v>43</v>
      </c>
      <c r="S2514" t="s">
        <v>3</v>
      </c>
      <c r="T2514">
        <v>6667</v>
      </c>
      <c r="U2514" t="s">
        <v>4112</v>
      </c>
      <c r="V2514" t="s">
        <v>6192</v>
      </c>
      <c r="W2514">
        <v>3.54</v>
      </c>
    </row>
    <row r="2515" spans="1:23">
      <c r="A2515" t="str">
        <f>"603100"</f>
        <v>603100</v>
      </c>
      <c r="B2515" t="s">
        <v>6193</v>
      </c>
      <c r="C2515">
        <v>14.86</v>
      </c>
      <c r="D2515">
        <v>14.89</v>
      </c>
      <c r="E2515">
        <v>14.52</v>
      </c>
      <c r="F2515">
        <v>14.7</v>
      </c>
      <c r="G2515">
        <v>74639</v>
      </c>
      <c r="H2515">
        <v>109512808</v>
      </c>
      <c r="I2515">
        <v>0.56999999999999995</v>
      </c>
      <c r="J2515" t="s">
        <v>617</v>
      </c>
      <c r="K2515" t="s">
        <v>386</v>
      </c>
      <c r="L2515">
        <v>-0.74</v>
      </c>
      <c r="M2515">
        <v>14.67</v>
      </c>
      <c r="N2515">
        <v>43384</v>
      </c>
      <c r="O2515">
        <v>31254</v>
      </c>
      <c r="P2515">
        <v>1.39</v>
      </c>
      <c r="Q2515">
        <v>11</v>
      </c>
      <c r="R2515">
        <v>215</v>
      </c>
      <c r="S2515" t="s">
        <v>3</v>
      </c>
      <c r="T2515">
        <v>10000</v>
      </c>
      <c r="U2515" t="s">
        <v>3500</v>
      </c>
      <c r="V2515" t="s">
        <v>6194</v>
      </c>
      <c r="W2515">
        <v>-0.75</v>
      </c>
    </row>
    <row r="2516" spans="1:23">
      <c r="A2516" t="str">
        <f>"603111"</f>
        <v>603111</v>
      </c>
      <c r="B2516" t="s">
        <v>6195</v>
      </c>
      <c r="C2516">
        <v>19.2</v>
      </c>
      <c r="D2516">
        <v>19.649999999999999</v>
      </c>
      <c r="E2516">
        <v>18.920000000000002</v>
      </c>
      <c r="F2516">
        <v>19.39</v>
      </c>
      <c r="G2516">
        <v>87399</v>
      </c>
      <c r="H2516">
        <v>168813280</v>
      </c>
      <c r="I2516">
        <v>0.64</v>
      </c>
      <c r="J2516" t="s">
        <v>1208</v>
      </c>
      <c r="K2516" t="s">
        <v>244</v>
      </c>
      <c r="L2516">
        <v>1.2</v>
      </c>
      <c r="M2516">
        <v>19.32</v>
      </c>
      <c r="N2516">
        <v>44259</v>
      </c>
      <c r="O2516">
        <v>43139</v>
      </c>
      <c r="P2516">
        <v>1.03</v>
      </c>
      <c r="Q2516">
        <v>38</v>
      </c>
      <c r="R2516">
        <v>10</v>
      </c>
      <c r="S2516" t="s">
        <v>3</v>
      </c>
      <c r="T2516">
        <v>7230</v>
      </c>
      <c r="U2516" t="s">
        <v>6196</v>
      </c>
      <c r="V2516" t="s">
        <v>6197</v>
      </c>
      <c r="W2516">
        <v>1.2</v>
      </c>
    </row>
    <row r="2517" spans="1:23">
      <c r="A2517" t="str">
        <f>"603123"</f>
        <v>603123</v>
      </c>
      <c r="B2517" t="s">
        <v>6198</v>
      </c>
      <c r="C2517">
        <v>10.18</v>
      </c>
      <c r="D2517">
        <v>10.43</v>
      </c>
      <c r="E2517">
        <v>10.02</v>
      </c>
      <c r="F2517">
        <v>10.130000000000001</v>
      </c>
      <c r="G2517">
        <v>86895</v>
      </c>
      <c r="H2517">
        <v>88383240</v>
      </c>
      <c r="I2517">
        <v>1.21</v>
      </c>
      <c r="J2517" t="s">
        <v>297</v>
      </c>
      <c r="K2517" t="s">
        <v>34</v>
      </c>
      <c r="L2517">
        <v>-1.46</v>
      </c>
      <c r="M2517">
        <v>10.17</v>
      </c>
      <c r="N2517">
        <v>46691</v>
      </c>
      <c r="O2517">
        <v>40204</v>
      </c>
      <c r="P2517">
        <v>1.1599999999999999</v>
      </c>
      <c r="Q2517">
        <v>190</v>
      </c>
      <c r="R2517">
        <v>229</v>
      </c>
      <c r="S2517" t="s">
        <v>3</v>
      </c>
      <c r="T2517">
        <v>11246</v>
      </c>
      <c r="U2517" t="s">
        <v>6199</v>
      </c>
      <c r="V2517" t="s">
        <v>2118</v>
      </c>
      <c r="W2517">
        <v>-1.46</v>
      </c>
    </row>
    <row r="2518" spans="1:23">
      <c r="A2518" t="str">
        <f>"603126"</f>
        <v>603126</v>
      </c>
      <c r="B2518" t="s">
        <v>6200</v>
      </c>
      <c r="C2518">
        <v>15.28</v>
      </c>
      <c r="D2518">
        <v>15.3</v>
      </c>
      <c r="E2518">
        <v>14.78</v>
      </c>
      <c r="F2518">
        <v>15.09</v>
      </c>
      <c r="G2518">
        <v>118074</v>
      </c>
      <c r="H2518">
        <v>177116416</v>
      </c>
      <c r="I2518">
        <v>0.63</v>
      </c>
      <c r="J2518" t="s">
        <v>462</v>
      </c>
      <c r="K2518" t="s">
        <v>442</v>
      </c>
      <c r="L2518">
        <v>-1.57</v>
      </c>
      <c r="M2518">
        <v>15</v>
      </c>
      <c r="N2518">
        <v>65377</v>
      </c>
      <c r="O2518">
        <v>52696</v>
      </c>
      <c r="P2518">
        <v>1.24</v>
      </c>
      <c r="Q2518">
        <v>53</v>
      </c>
      <c r="R2518">
        <v>29</v>
      </c>
      <c r="S2518" t="s">
        <v>3</v>
      </c>
      <c r="T2518">
        <v>8000</v>
      </c>
      <c r="U2518" t="s">
        <v>1573</v>
      </c>
      <c r="V2518" t="s">
        <v>6201</v>
      </c>
      <c r="W2518">
        <v>-1.57</v>
      </c>
    </row>
    <row r="2519" spans="1:23">
      <c r="A2519" t="str">
        <f>"603128"</f>
        <v>603128</v>
      </c>
      <c r="B2519" t="s">
        <v>6202</v>
      </c>
      <c r="C2519">
        <v>11.84</v>
      </c>
      <c r="D2519">
        <v>13.03</v>
      </c>
      <c r="E2519">
        <v>11.8</v>
      </c>
      <c r="F2519">
        <v>12.85</v>
      </c>
      <c r="G2519">
        <v>242884</v>
      </c>
      <c r="H2519">
        <v>299993952</v>
      </c>
      <c r="I2519">
        <v>2.2200000000000002</v>
      </c>
      <c r="J2519" t="s">
        <v>1859</v>
      </c>
      <c r="K2519" t="s">
        <v>727</v>
      </c>
      <c r="L2519">
        <v>8.35</v>
      </c>
      <c r="M2519">
        <v>12.35</v>
      </c>
      <c r="N2519">
        <v>105895</v>
      </c>
      <c r="O2519">
        <v>136989</v>
      </c>
      <c r="P2519">
        <v>0.77</v>
      </c>
      <c r="Q2519">
        <v>90</v>
      </c>
      <c r="R2519">
        <v>378</v>
      </c>
      <c r="S2519" t="s">
        <v>3</v>
      </c>
      <c r="T2519">
        <v>16000</v>
      </c>
      <c r="U2519" t="s">
        <v>5656</v>
      </c>
      <c r="V2519" t="s">
        <v>6203</v>
      </c>
      <c r="W2519">
        <v>8.34</v>
      </c>
    </row>
    <row r="2520" spans="1:23">
      <c r="A2520" t="str">
        <f>"603167"</f>
        <v>603167</v>
      </c>
      <c r="B2520" t="s">
        <v>6204</v>
      </c>
      <c r="C2520">
        <v>11.4</v>
      </c>
      <c r="D2520">
        <v>11.72</v>
      </c>
      <c r="E2520">
        <v>11.21</v>
      </c>
      <c r="F2520">
        <v>11.69</v>
      </c>
      <c r="G2520">
        <v>230456</v>
      </c>
      <c r="H2520">
        <v>264193856</v>
      </c>
      <c r="I2520">
        <v>0.96</v>
      </c>
      <c r="J2520" t="s">
        <v>2226</v>
      </c>
      <c r="K2520" t="s">
        <v>250</v>
      </c>
      <c r="L2520">
        <v>1.48</v>
      </c>
      <c r="M2520">
        <v>11.46</v>
      </c>
      <c r="N2520">
        <v>113792</v>
      </c>
      <c r="O2520">
        <v>116664</v>
      </c>
      <c r="P2520">
        <v>0.98</v>
      </c>
      <c r="Q2520">
        <v>608</v>
      </c>
      <c r="R2520">
        <v>8</v>
      </c>
      <c r="S2520" t="s">
        <v>3</v>
      </c>
      <c r="T2520">
        <v>30451.61</v>
      </c>
      <c r="U2520" t="s">
        <v>5753</v>
      </c>
      <c r="V2520" t="s">
        <v>6099</v>
      </c>
      <c r="W2520">
        <v>1.47</v>
      </c>
    </row>
    <row r="2521" spans="1:23">
      <c r="A2521" t="str">
        <f>"603168"</f>
        <v>603168</v>
      </c>
      <c r="B2521" t="s">
        <v>6205</v>
      </c>
      <c r="C2521">
        <v>88.1</v>
      </c>
      <c r="D2521">
        <v>88.88</v>
      </c>
      <c r="E2521">
        <v>86.2</v>
      </c>
      <c r="F2521">
        <v>87.06</v>
      </c>
      <c r="G2521">
        <v>13090</v>
      </c>
      <c r="H2521">
        <v>114033872</v>
      </c>
      <c r="I2521">
        <v>0.59</v>
      </c>
      <c r="J2521" t="s">
        <v>219</v>
      </c>
      <c r="K2521" t="s">
        <v>229</v>
      </c>
      <c r="L2521">
        <v>-1.6</v>
      </c>
      <c r="M2521">
        <v>87.12</v>
      </c>
      <c r="N2521">
        <v>7660</v>
      </c>
      <c r="O2521">
        <v>5429</v>
      </c>
      <c r="P2521">
        <v>1.41</v>
      </c>
      <c r="Q2521">
        <v>38</v>
      </c>
      <c r="R2521">
        <v>1</v>
      </c>
      <c r="S2521" t="s">
        <v>3</v>
      </c>
      <c r="T2521">
        <v>1633.6</v>
      </c>
      <c r="U2521" t="s">
        <v>6206</v>
      </c>
      <c r="V2521" t="s">
        <v>5060</v>
      </c>
      <c r="W2521">
        <v>-1.61</v>
      </c>
    </row>
    <row r="2522" spans="1:23">
      <c r="A2522" t="str">
        <f>"603188"</f>
        <v>603188</v>
      </c>
      <c r="B2522" t="s">
        <v>6207</v>
      </c>
      <c r="C2522">
        <v>24.59</v>
      </c>
      <c r="D2522">
        <v>29.51</v>
      </c>
      <c r="E2522">
        <v>24.59</v>
      </c>
      <c r="F2522">
        <v>29.51</v>
      </c>
      <c r="G2522">
        <v>1873</v>
      </c>
      <c r="H2522">
        <v>5512458</v>
      </c>
      <c r="I2522">
        <v>0</v>
      </c>
      <c r="J2522" t="s">
        <v>522</v>
      </c>
      <c r="K2522" t="s">
        <v>244</v>
      </c>
      <c r="L2522">
        <v>44.02</v>
      </c>
      <c r="M2522">
        <v>29.43</v>
      </c>
      <c r="N2522">
        <v>1858</v>
      </c>
      <c r="O2522">
        <v>15</v>
      </c>
      <c r="P2522">
        <v>123.87</v>
      </c>
      <c r="Q2522">
        <v>235153</v>
      </c>
      <c r="R2522">
        <v>0</v>
      </c>
      <c r="S2522" t="s">
        <v>3</v>
      </c>
      <c r="T2522">
        <v>7200</v>
      </c>
      <c r="U2522" t="s">
        <v>1550</v>
      </c>
      <c r="V2522" t="s">
        <v>6208</v>
      </c>
      <c r="W2522">
        <v>44.02</v>
      </c>
    </row>
    <row r="2523" spans="1:23">
      <c r="A2523" t="str">
        <f>"603288"</f>
        <v>603288</v>
      </c>
      <c r="B2523" t="s">
        <v>6209</v>
      </c>
      <c r="C2523">
        <v>38.64</v>
      </c>
      <c r="D2523">
        <v>38.770000000000003</v>
      </c>
      <c r="E2523">
        <v>37.92</v>
      </c>
      <c r="F2523">
        <v>38.270000000000003</v>
      </c>
      <c r="G2523">
        <v>29510</v>
      </c>
      <c r="H2523">
        <v>112478256</v>
      </c>
      <c r="I2523">
        <v>0.63</v>
      </c>
      <c r="J2523" t="s">
        <v>421</v>
      </c>
      <c r="K2523" t="s">
        <v>211</v>
      </c>
      <c r="L2523">
        <v>-0.7</v>
      </c>
      <c r="M2523">
        <v>38.119999999999997</v>
      </c>
      <c r="N2523">
        <v>17767</v>
      </c>
      <c r="O2523">
        <v>11743</v>
      </c>
      <c r="P2523">
        <v>1.51</v>
      </c>
      <c r="Q2523">
        <v>45</v>
      </c>
      <c r="R2523">
        <v>41</v>
      </c>
      <c r="S2523" t="s">
        <v>3</v>
      </c>
      <c r="T2523">
        <v>14970</v>
      </c>
      <c r="U2523" t="s">
        <v>6210</v>
      </c>
      <c r="V2523" t="s">
        <v>6211</v>
      </c>
      <c r="W2523">
        <v>-0.7</v>
      </c>
    </row>
    <row r="2524" spans="1:23">
      <c r="A2524" t="str">
        <f>"603308"</f>
        <v>603308</v>
      </c>
      <c r="B2524" t="s">
        <v>6212</v>
      </c>
      <c r="C2524">
        <v>15.59</v>
      </c>
      <c r="D2524">
        <v>16.64</v>
      </c>
      <c r="E2524">
        <v>15.58</v>
      </c>
      <c r="F2524">
        <v>16.350000000000001</v>
      </c>
      <c r="G2524">
        <v>122133</v>
      </c>
      <c r="H2524">
        <v>198402400</v>
      </c>
      <c r="I2524">
        <v>1.56</v>
      </c>
      <c r="J2524" t="s">
        <v>269</v>
      </c>
      <c r="K2524" t="s">
        <v>220</v>
      </c>
      <c r="L2524">
        <v>5.01</v>
      </c>
      <c r="M2524">
        <v>16.239999999999998</v>
      </c>
      <c r="N2524">
        <v>56657</v>
      </c>
      <c r="O2524">
        <v>65476</v>
      </c>
      <c r="P2524">
        <v>0.87</v>
      </c>
      <c r="Q2524">
        <v>61</v>
      </c>
      <c r="R2524">
        <v>148</v>
      </c>
      <c r="S2524" t="s">
        <v>3</v>
      </c>
      <c r="T2524">
        <v>8001</v>
      </c>
      <c r="U2524" t="s">
        <v>6213</v>
      </c>
      <c r="V2524" t="s">
        <v>6214</v>
      </c>
      <c r="W2524">
        <v>5.01</v>
      </c>
    </row>
    <row r="2525" spans="1:23">
      <c r="A2525" t="str">
        <f>"603328"</f>
        <v>603328</v>
      </c>
      <c r="B2525" t="s">
        <v>6215</v>
      </c>
      <c r="C2525">
        <v>27.11</v>
      </c>
      <c r="D2525">
        <v>27.13</v>
      </c>
      <c r="E2525">
        <v>26.57</v>
      </c>
      <c r="F2525">
        <v>26.67</v>
      </c>
      <c r="G2525">
        <v>72790</v>
      </c>
      <c r="H2525">
        <v>194212064</v>
      </c>
      <c r="I2525">
        <v>1.18</v>
      </c>
      <c r="J2525" t="s">
        <v>62</v>
      </c>
      <c r="K2525" t="s">
        <v>211</v>
      </c>
      <c r="L2525">
        <v>-1.26</v>
      </c>
      <c r="M2525">
        <v>26.68</v>
      </c>
      <c r="N2525">
        <v>44732</v>
      </c>
      <c r="O2525">
        <v>28057</v>
      </c>
      <c r="P2525">
        <v>1.59</v>
      </c>
      <c r="Q2525">
        <v>12</v>
      </c>
      <c r="R2525">
        <v>73</v>
      </c>
      <c r="S2525" t="s">
        <v>3</v>
      </c>
      <c r="T2525">
        <v>9000</v>
      </c>
      <c r="U2525" t="s">
        <v>4984</v>
      </c>
      <c r="V2525" t="s">
        <v>6216</v>
      </c>
      <c r="W2525">
        <v>-1.26</v>
      </c>
    </row>
    <row r="2526" spans="1:23">
      <c r="A2526" t="str">
        <f>"603333"</f>
        <v>603333</v>
      </c>
      <c r="B2526" t="s">
        <v>6217</v>
      </c>
      <c r="C2526">
        <v>5.21</v>
      </c>
      <c r="D2526">
        <v>5.21</v>
      </c>
      <c r="E2526">
        <v>5.13</v>
      </c>
      <c r="F2526">
        <v>5.15</v>
      </c>
      <c r="G2526">
        <v>62276</v>
      </c>
      <c r="H2526">
        <v>32096044</v>
      </c>
      <c r="I2526">
        <v>1.06</v>
      </c>
      <c r="J2526" t="s">
        <v>145</v>
      </c>
      <c r="K2526" t="s">
        <v>225</v>
      </c>
      <c r="L2526">
        <v>-0.39</v>
      </c>
      <c r="M2526">
        <v>5.15</v>
      </c>
      <c r="N2526">
        <v>38088</v>
      </c>
      <c r="O2526">
        <v>24188</v>
      </c>
      <c r="P2526">
        <v>1.57</v>
      </c>
      <c r="Q2526">
        <v>140</v>
      </c>
      <c r="R2526">
        <v>236</v>
      </c>
      <c r="S2526" t="s">
        <v>3</v>
      </c>
      <c r="T2526">
        <v>19450.5</v>
      </c>
      <c r="U2526" t="s">
        <v>6218</v>
      </c>
      <c r="V2526" t="s">
        <v>6219</v>
      </c>
      <c r="W2526">
        <v>-0.39</v>
      </c>
    </row>
    <row r="2527" spans="1:23">
      <c r="A2527" t="str">
        <f>"603366"</f>
        <v>603366</v>
      </c>
      <c r="B2527" t="s">
        <v>6220</v>
      </c>
      <c r="C2527">
        <v>16.059999999999999</v>
      </c>
      <c r="D2527">
        <v>16.399999999999999</v>
      </c>
      <c r="E2527">
        <v>15.75</v>
      </c>
      <c r="F2527">
        <v>15.86</v>
      </c>
      <c r="G2527">
        <v>70944</v>
      </c>
      <c r="H2527">
        <v>113926432</v>
      </c>
      <c r="I2527">
        <v>0.96</v>
      </c>
      <c r="J2527" t="s">
        <v>47</v>
      </c>
      <c r="K2527" t="s">
        <v>244</v>
      </c>
      <c r="L2527">
        <v>-0.81</v>
      </c>
      <c r="M2527">
        <v>16.059999999999999</v>
      </c>
      <c r="N2527">
        <v>43701</v>
      </c>
      <c r="O2527">
        <v>27243</v>
      </c>
      <c r="P2527">
        <v>1.6</v>
      </c>
      <c r="Q2527">
        <v>15</v>
      </c>
      <c r="R2527">
        <v>31</v>
      </c>
      <c r="S2527" t="s">
        <v>3</v>
      </c>
      <c r="T2527">
        <v>14140</v>
      </c>
      <c r="U2527" t="s">
        <v>3357</v>
      </c>
      <c r="V2527" t="s">
        <v>6221</v>
      </c>
      <c r="W2527">
        <v>-0.82</v>
      </c>
    </row>
    <row r="2528" spans="1:23">
      <c r="A2528" t="str">
        <f>"603369"</f>
        <v>603369</v>
      </c>
      <c r="B2528" t="s">
        <v>6222</v>
      </c>
      <c r="C2528">
        <v>27.17</v>
      </c>
      <c r="D2528">
        <v>27.17</v>
      </c>
      <c r="E2528">
        <v>26.65</v>
      </c>
      <c r="F2528">
        <v>26.8</v>
      </c>
      <c r="G2528">
        <v>28058</v>
      </c>
      <c r="H2528">
        <v>75088416</v>
      </c>
      <c r="I2528">
        <v>0.93</v>
      </c>
      <c r="J2528" t="s">
        <v>531</v>
      </c>
      <c r="K2528" t="s">
        <v>244</v>
      </c>
      <c r="L2528">
        <v>-1.1100000000000001</v>
      </c>
      <c r="M2528">
        <v>26.76</v>
      </c>
      <c r="N2528">
        <v>18275</v>
      </c>
      <c r="O2528">
        <v>9782</v>
      </c>
      <c r="P2528">
        <v>1.87</v>
      </c>
      <c r="Q2528">
        <v>101</v>
      </c>
      <c r="R2528">
        <v>94</v>
      </c>
      <c r="S2528" t="s">
        <v>3</v>
      </c>
      <c r="T2528">
        <v>5180</v>
      </c>
      <c r="U2528" t="s">
        <v>6223</v>
      </c>
      <c r="V2528" t="s">
        <v>6224</v>
      </c>
      <c r="W2528">
        <v>-1.1100000000000001</v>
      </c>
    </row>
    <row r="2529" spans="1:23">
      <c r="A2529" t="str">
        <f>"603399"</f>
        <v>603399</v>
      </c>
      <c r="B2529" t="s">
        <v>6225</v>
      </c>
      <c r="C2529">
        <v>10.71</v>
      </c>
      <c r="D2529">
        <v>10.73</v>
      </c>
      <c r="E2529">
        <v>10.55</v>
      </c>
      <c r="F2529">
        <v>10.61</v>
      </c>
      <c r="G2529">
        <v>59068</v>
      </c>
      <c r="H2529">
        <v>62747440</v>
      </c>
      <c r="I2529">
        <v>0.8</v>
      </c>
      <c r="J2529" t="s">
        <v>328</v>
      </c>
      <c r="K2529" t="s">
        <v>162</v>
      </c>
      <c r="L2529">
        <v>-1.21</v>
      </c>
      <c r="M2529">
        <v>10.62</v>
      </c>
      <c r="N2529">
        <v>36013</v>
      </c>
      <c r="O2529">
        <v>23055</v>
      </c>
      <c r="P2529">
        <v>1.56</v>
      </c>
      <c r="Q2529">
        <v>23</v>
      </c>
      <c r="R2529">
        <v>78</v>
      </c>
      <c r="S2529" t="s">
        <v>3</v>
      </c>
      <c r="T2529">
        <v>12525.79</v>
      </c>
      <c r="U2529" t="s">
        <v>6226</v>
      </c>
      <c r="V2529" t="s">
        <v>6227</v>
      </c>
      <c r="W2529">
        <v>-1.21</v>
      </c>
    </row>
    <row r="2530" spans="1:23">
      <c r="A2530" t="str">
        <f>"603555"</f>
        <v>603555</v>
      </c>
      <c r="B2530" t="s">
        <v>6228</v>
      </c>
      <c r="C2530">
        <v>12.78</v>
      </c>
      <c r="D2530">
        <v>12.94</v>
      </c>
      <c r="E2530">
        <v>12.63</v>
      </c>
      <c r="F2530">
        <v>12.89</v>
      </c>
      <c r="G2530">
        <v>79361</v>
      </c>
      <c r="H2530">
        <v>101571464</v>
      </c>
      <c r="I2530">
        <v>1.01</v>
      </c>
      <c r="J2530" t="s">
        <v>1373</v>
      </c>
      <c r="K2530" t="s">
        <v>414</v>
      </c>
      <c r="L2530">
        <v>0.86</v>
      </c>
      <c r="M2530">
        <v>12.8</v>
      </c>
      <c r="N2530">
        <v>41591</v>
      </c>
      <c r="O2530">
        <v>37770</v>
      </c>
      <c r="P2530">
        <v>1.1000000000000001</v>
      </c>
      <c r="Q2530">
        <v>521</v>
      </c>
      <c r="R2530">
        <v>15</v>
      </c>
      <c r="S2530" t="s">
        <v>3</v>
      </c>
      <c r="T2530">
        <v>8900</v>
      </c>
      <c r="U2530" t="s">
        <v>6229</v>
      </c>
      <c r="V2530" t="s">
        <v>6230</v>
      </c>
      <c r="W2530">
        <v>0.86</v>
      </c>
    </row>
    <row r="2531" spans="1:23">
      <c r="A2531" t="str">
        <f>"603609"</f>
        <v>603609</v>
      </c>
      <c r="B2531" t="s">
        <v>6231</v>
      </c>
      <c r="C2531">
        <v>14.55</v>
      </c>
      <c r="D2531">
        <v>14.66</v>
      </c>
      <c r="E2531">
        <v>14.14</v>
      </c>
      <c r="F2531">
        <v>14.31</v>
      </c>
      <c r="G2531">
        <v>88732</v>
      </c>
      <c r="H2531">
        <v>126847744</v>
      </c>
      <c r="I2531">
        <v>0.8</v>
      </c>
      <c r="J2531" t="s">
        <v>141</v>
      </c>
      <c r="K2531" t="s">
        <v>162</v>
      </c>
      <c r="L2531">
        <v>-1.45</v>
      </c>
      <c r="M2531">
        <v>14.3</v>
      </c>
      <c r="N2531">
        <v>56308</v>
      </c>
      <c r="O2531">
        <v>32423</v>
      </c>
      <c r="P2531">
        <v>1.74</v>
      </c>
      <c r="Q2531">
        <v>5</v>
      </c>
      <c r="R2531">
        <v>153</v>
      </c>
      <c r="S2531" t="s">
        <v>3</v>
      </c>
      <c r="T2531">
        <v>8000</v>
      </c>
      <c r="U2531" t="s">
        <v>6232</v>
      </c>
      <c r="V2531" t="s">
        <v>6233</v>
      </c>
      <c r="W2531">
        <v>-1.45</v>
      </c>
    </row>
    <row r="2532" spans="1:23">
      <c r="A2532" t="str">
        <f>"603699"</f>
        <v>603699</v>
      </c>
      <c r="B2532" t="s">
        <v>6234</v>
      </c>
      <c r="C2532">
        <v>20.149999999999999</v>
      </c>
      <c r="D2532">
        <v>20.239999999999998</v>
      </c>
      <c r="E2532">
        <v>19.899999999999999</v>
      </c>
      <c r="F2532">
        <v>19.940000000000001</v>
      </c>
      <c r="G2532">
        <v>32540</v>
      </c>
      <c r="H2532">
        <v>65059024</v>
      </c>
      <c r="I2532">
        <v>0.84</v>
      </c>
      <c r="J2532" t="s">
        <v>269</v>
      </c>
      <c r="K2532" t="s">
        <v>244</v>
      </c>
      <c r="L2532">
        <v>-0.75</v>
      </c>
      <c r="M2532">
        <v>19.989999999999998</v>
      </c>
      <c r="N2532">
        <v>18744</v>
      </c>
      <c r="O2532">
        <v>13796</v>
      </c>
      <c r="P2532">
        <v>1.36</v>
      </c>
      <c r="Q2532">
        <v>166</v>
      </c>
      <c r="R2532">
        <v>233</v>
      </c>
      <c r="S2532" t="s">
        <v>3</v>
      </c>
      <c r="T2532">
        <v>8250</v>
      </c>
      <c r="U2532" t="s">
        <v>6235</v>
      </c>
      <c r="V2532" t="s">
        <v>6236</v>
      </c>
      <c r="W2532">
        <v>-0.75</v>
      </c>
    </row>
    <row r="2533" spans="1:23">
      <c r="A2533" t="str">
        <f>"603766"</f>
        <v>603766</v>
      </c>
      <c r="B2533" t="s">
        <v>6237</v>
      </c>
      <c r="C2533">
        <v>13.23</v>
      </c>
      <c r="D2533">
        <v>13.28</v>
      </c>
      <c r="E2533">
        <v>13.01</v>
      </c>
      <c r="F2533">
        <v>13.24</v>
      </c>
      <c r="G2533">
        <v>112423</v>
      </c>
      <c r="H2533">
        <v>147935168</v>
      </c>
      <c r="I2533">
        <v>0.72</v>
      </c>
      <c r="J2533" t="s">
        <v>1191</v>
      </c>
      <c r="K2533" t="s">
        <v>386</v>
      </c>
      <c r="L2533">
        <v>0.61</v>
      </c>
      <c r="M2533">
        <v>13.16</v>
      </c>
      <c r="N2533">
        <v>52718</v>
      </c>
      <c r="O2533">
        <v>59704</v>
      </c>
      <c r="P2533">
        <v>0.88</v>
      </c>
      <c r="Q2533">
        <v>8</v>
      </c>
      <c r="R2533">
        <v>263</v>
      </c>
      <c r="S2533" t="s">
        <v>3</v>
      </c>
      <c r="T2533">
        <v>37925</v>
      </c>
      <c r="U2533" t="s">
        <v>5815</v>
      </c>
      <c r="V2533" t="s">
        <v>6238</v>
      </c>
      <c r="W2533">
        <v>0.6</v>
      </c>
    </row>
    <row r="2534" spans="1:23">
      <c r="A2534" t="str">
        <f>"603806"</f>
        <v>603806</v>
      </c>
      <c r="B2534" t="s">
        <v>6239</v>
      </c>
      <c r="C2534">
        <v>43.05</v>
      </c>
      <c r="D2534">
        <v>43.05</v>
      </c>
      <c r="E2534">
        <v>43.05</v>
      </c>
      <c r="F2534">
        <v>43.05</v>
      </c>
      <c r="G2534">
        <v>1885</v>
      </c>
      <c r="H2534">
        <v>8115485</v>
      </c>
      <c r="I2534">
        <v>0.79</v>
      </c>
      <c r="J2534" t="s">
        <v>273</v>
      </c>
      <c r="K2534" t="s">
        <v>229</v>
      </c>
      <c r="L2534">
        <v>9.99</v>
      </c>
      <c r="M2534">
        <v>43.05</v>
      </c>
      <c r="N2534">
        <v>1636</v>
      </c>
      <c r="O2534">
        <v>249</v>
      </c>
      <c r="P2534">
        <v>6.57</v>
      </c>
      <c r="Q2534">
        <v>149329</v>
      </c>
      <c r="R2534">
        <v>0</v>
      </c>
      <c r="S2534" t="s">
        <v>3</v>
      </c>
      <c r="T2534">
        <v>6000</v>
      </c>
      <c r="U2534" t="s">
        <v>1149</v>
      </c>
      <c r="V2534" t="s">
        <v>6240</v>
      </c>
      <c r="W2534">
        <v>9.99</v>
      </c>
    </row>
    <row r="2535" spans="1:23">
      <c r="A2535" t="str">
        <f>"603993"</f>
        <v>603993</v>
      </c>
      <c r="B2535" t="s">
        <v>6241</v>
      </c>
      <c r="C2535">
        <v>7.58</v>
      </c>
      <c r="D2535">
        <v>7.58</v>
      </c>
      <c r="E2535">
        <v>7.43</v>
      </c>
      <c r="F2535">
        <v>7.46</v>
      </c>
      <c r="G2535">
        <v>83726</v>
      </c>
      <c r="H2535">
        <v>62652792</v>
      </c>
      <c r="I2535">
        <v>0.99</v>
      </c>
      <c r="J2535" t="s">
        <v>328</v>
      </c>
      <c r="K2535" t="s">
        <v>254</v>
      </c>
      <c r="L2535">
        <v>-1.71</v>
      </c>
      <c r="M2535">
        <v>7.48</v>
      </c>
      <c r="N2535">
        <v>51056</v>
      </c>
      <c r="O2535">
        <v>32669</v>
      </c>
      <c r="P2535">
        <v>1.56</v>
      </c>
      <c r="Q2535">
        <v>830</v>
      </c>
      <c r="R2535">
        <v>331</v>
      </c>
      <c r="S2535" t="s">
        <v>3</v>
      </c>
      <c r="T2535">
        <v>196842.09</v>
      </c>
      <c r="U2535" t="s">
        <v>6242</v>
      </c>
      <c r="V2535" t="s">
        <v>6243</v>
      </c>
      <c r="W2535">
        <v>-1.72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2014-10-08T12:11:37Z</dcterms:modified>
</cp:coreProperties>
</file>