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0" yWindow="0" windowWidth="19215" windowHeight="14790" firstSheet="6" activeTab="6"/>
  </bookViews>
  <sheets>
    <sheet name="仪表盘" sheetId="6" r:id="rId1"/>
    <sheet name="项目日程" sheetId="8" r:id="rId2"/>
    <sheet name="自信心范围图" sheetId="10" r:id="rId3"/>
    <sheet name="待办事项" sheetId="4" r:id="rId4"/>
    <sheet name="任务跟踪" sheetId="5" r:id="rId5"/>
    <sheet name="关键路径" sheetId="7" r:id="rId6"/>
    <sheet name="缺陷" sheetId="9" r:id="rId7"/>
    <sheet name="每周工作量统计（上周四~周三）" sheetId="1" r:id="rId8"/>
    <sheet name="工作量汇总" sheetId="3" r:id="rId9"/>
    <sheet name="Ref" sheetId="2" r:id="rId10"/>
  </sheets>
  <definedNames>
    <definedName name="版本">OFFSET(Ref!$G$3,0,0,COUNTA(Ref!$G$1:$G$255)-1)</definedName>
    <definedName name="出现频率">OFFSET(Ref!$J$3,0,0,COUNTA(Ref!$J$1:$J$255)-1)</definedName>
    <definedName name="公告">OFFSET(Ref!$E$3,0,0,COUNTA(Ref!$E$1:$E$255)-1)</definedName>
    <definedName name="节假日">OFFSET(Ref!$H$3,0,0,COUNTA(Ref!$H$1:$H$255)-1)</definedName>
    <definedName name="难易度">OFFSET(Ref!$D$3,0,0,COUNTA(Ref!$D$1:$D$255)-1)</definedName>
    <definedName name="缺陷级别">OFFSET(Ref!$K$3,0,0,COUNTA(Ref!$K$1:$K$255)-1)</definedName>
    <definedName name="缺陷状态">OFFSET(Ref!$I$3,0,0,COUNTA(Ref!$I$1:$I$255)-1)</definedName>
    <definedName name="任务优先级">OFFSET(Ref!$B$3,0,0,COUNTA(Ref!$B$1:$B$255)-1)</definedName>
    <definedName name="任务状态">OFFSET(Ref!$C$3,0,0,COUNTA(Ref!$C$1:$C$255)-1)</definedName>
    <definedName name="团队成员">OFFSET(Ref!$A$3,0,0,COUNTA(Ref!$A$1:$A$255)-1)</definedName>
    <definedName name="完成百分比">OFFSET(Ref!$F$3,0,0,COUNTA(Ref!$F$1:$F$255)-1)</definedName>
  </definedNames>
  <calcPr calcId="152511"/>
</workbook>
</file>

<file path=xl/calcChain.xml><?xml version="1.0" encoding="utf-8"?>
<calcChain xmlns="http://schemas.openxmlformats.org/spreadsheetml/2006/main">
  <c r="H13" i="9" l="1"/>
  <c r="H12" i="9"/>
  <c r="H11" i="9"/>
  <c r="H10" i="9"/>
  <c r="H9" i="9"/>
  <c r="H8" i="9"/>
  <c r="F13" i="9"/>
  <c r="F12" i="9"/>
  <c r="F11" i="9"/>
  <c r="F10" i="9"/>
  <c r="F9" i="9"/>
  <c r="F8" i="9"/>
  <c r="N13" i="9"/>
  <c r="M13" i="9"/>
  <c r="L13" i="9"/>
  <c r="K13" i="9"/>
  <c r="J13" i="9"/>
  <c r="I13" i="9"/>
  <c r="G13" i="9"/>
  <c r="N12" i="9"/>
  <c r="M12" i="9"/>
  <c r="L12" i="9"/>
  <c r="K12" i="9"/>
  <c r="J12" i="9"/>
  <c r="I12" i="9"/>
  <c r="G12" i="9"/>
  <c r="N11" i="9"/>
  <c r="M11" i="9"/>
  <c r="L11" i="9"/>
  <c r="K11" i="9"/>
  <c r="J11" i="9"/>
  <c r="I11" i="9"/>
  <c r="G11" i="9"/>
  <c r="N10" i="9"/>
  <c r="M10" i="9"/>
  <c r="L10" i="9"/>
  <c r="K10" i="9"/>
  <c r="J10" i="9"/>
  <c r="I10" i="9"/>
  <c r="G10" i="9"/>
  <c r="N9" i="9"/>
  <c r="M9" i="9"/>
  <c r="L9" i="9"/>
  <c r="K9" i="9"/>
  <c r="J9" i="9"/>
  <c r="I9" i="9"/>
  <c r="G9" i="9"/>
  <c r="E5" i="1" l="1"/>
  <c r="G2" i="1" s="1"/>
  <c r="E4" i="1"/>
  <c r="E3" i="1"/>
  <c r="E2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8" i="9" l="1"/>
  <c r="M8" i="9"/>
  <c r="L8" i="9"/>
  <c r="K8" i="9"/>
  <c r="J8" i="9"/>
  <c r="I8" i="9"/>
  <c r="G8" i="9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S10" i="7"/>
  <c r="AX18" i="7"/>
  <c r="BW18" i="7" s="1"/>
  <c r="AW18" i="7"/>
  <c r="BV18" i="7" s="1"/>
  <c r="AV18" i="7"/>
  <c r="BU18" i="7" s="1"/>
  <c r="AU18" i="7"/>
  <c r="BT18" i="7" s="1"/>
  <c r="AT18" i="7"/>
  <c r="BS18" i="7" s="1"/>
  <c r="AS18" i="7"/>
  <c r="BR18" i="7" s="1"/>
  <c r="AR18" i="7"/>
  <c r="BQ18" i="7" s="1"/>
  <c r="AQ18" i="7"/>
  <c r="BP18" i="7" s="1"/>
  <c r="AP18" i="7"/>
  <c r="BO18" i="7" s="1"/>
  <c r="AO18" i="7"/>
  <c r="BN18" i="7" s="1"/>
  <c r="AN18" i="7"/>
  <c r="BM18" i="7" s="1"/>
  <c r="AM18" i="7"/>
  <c r="BL18" i="7" s="1"/>
  <c r="AL18" i="7"/>
  <c r="BK18" i="7" s="1"/>
  <c r="AK18" i="7"/>
  <c r="BJ18" i="7" s="1"/>
  <c r="AJ18" i="7"/>
  <c r="BI18" i="7" s="1"/>
  <c r="AI18" i="7"/>
  <c r="BH18" i="7" s="1"/>
  <c r="AH18" i="7"/>
  <c r="BG18" i="7" s="1"/>
  <c r="AG18" i="7"/>
  <c r="BF18" i="7" s="1"/>
  <c r="AF18" i="7"/>
  <c r="BE18" i="7" s="1"/>
  <c r="AE18" i="7"/>
  <c r="BD18" i="7" s="1"/>
  <c r="AD18" i="7"/>
  <c r="BC18" i="7" s="1"/>
  <c r="AC18" i="7"/>
  <c r="BB18" i="7" s="1"/>
  <c r="AB18" i="7"/>
  <c r="BA18" i="7" s="1"/>
  <c r="AA18" i="7"/>
  <c r="AZ18" i="7" s="1"/>
  <c r="Z18" i="7"/>
  <c r="AY18" i="7" s="1"/>
  <c r="AX17" i="7"/>
  <c r="BW17" i="7" s="1"/>
  <c r="AW17" i="7"/>
  <c r="BV17" i="7" s="1"/>
  <c r="AV17" i="7"/>
  <c r="BU17" i="7" s="1"/>
  <c r="AU17" i="7"/>
  <c r="BT17" i="7" s="1"/>
  <c r="AT17" i="7"/>
  <c r="BS17" i="7" s="1"/>
  <c r="AS17" i="7"/>
  <c r="BR17" i="7" s="1"/>
  <c r="AR17" i="7"/>
  <c r="BQ17" i="7" s="1"/>
  <c r="AQ17" i="7"/>
  <c r="BP17" i="7" s="1"/>
  <c r="AP17" i="7"/>
  <c r="BO17" i="7" s="1"/>
  <c r="AO17" i="7"/>
  <c r="BN17" i="7" s="1"/>
  <c r="AN17" i="7"/>
  <c r="BM17" i="7" s="1"/>
  <c r="AM17" i="7"/>
  <c r="BL17" i="7" s="1"/>
  <c r="AL17" i="7"/>
  <c r="BK17" i="7" s="1"/>
  <c r="AK17" i="7"/>
  <c r="BJ17" i="7" s="1"/>
  <c r="AJ17" i="7"/>
  <c r="BI17" i="7" s="1"/>
  <c r="AI17" i="7"/>
  <c r="BH17" i="7" s="1"/>
  <c r="AH17" i="7"/>
  <c r="BG17" i="7" s="1"/>
  <c r="AG17" i="7"/>
  <c r="BF17" i="7" s="1"/>
  <c r="AF17" i="7"/>
  <c r="BE17" i="7" s="1"/>
  <c r="AE17" i="7"/>
  <c r="BD17" i="7" s="1"/>
  <c r="AD17" i="7"/>
  <c r="BC17" i="7" s="1"/>
  <c r="AC17" i="7"/>
  <c r="BB17" i="7" s="1"/>
  <c r="AB17" i="7"/>
  <c r="BA17" i="7" s="1"/>
  <c r="AA17" i="7"/>
  <c r="AZ17" i="7" s="1"/>
  <c r="Z17" i="7"/>
  <c r="AY17" i="7" s="1"/>
  <c r="AX16" i="7"/>
  <c r="BW16" i="7" s="1"/>
  <c r="AW16" i="7"/>
  <c r="BV16" i="7" s="1"/>
  <c r="AV16" i="7"/>
  <c r="BU16" i="7" s="1"/>
  <c r="AU16" i="7"/>
  <c r="BT16" i="7" s="1"/>
  <c r="AT16" i="7"/>
  <c r="BS16" i="7" s="1"/>
  <c r="AS16" i="7"/>
  <c r="BR16" i="7" s="1"/>
  <c r="AR16" i="7"/>
  <c r="BQ16" i="7" s="1"/>
  <c r="AQ16" i="7"/>
  <c r="BP16" i="7" s="1"/>
  <c r="AP16" i="7"/>
  <c r="BO16" i="7" s="1"/>
  <c r="AO16" i="7"/>
  <c r="BN16" i="7" s="1"/>
  <c r="AN16" i="7"/>
  <c r="BM16" i="7" s="1"/>
  <c r="AM16" i="7"/>
  <c r="BL16" i="7" s="1"/>
  <c r="AL16" i="7"/>
  <c r="BK16" i="7" s="1"/>
  <c r="AK16" i="7"/>
  <c r="BJ16" i="7" s="1"/>
  <c r="AJ16" i="7"/>
  <c r="BI16" i="7" s="1"/>
  <c r="AI16" i="7"/>
  <c r="BH16" i="7" s="1"/>
  <c r="AH16" i="7"/>
  <c r="BG16" i="7" s="1"/>
  <c r="AG16" i="7"/>
  <c r="BF16" i="7" s="1"/>
  <c r="AF16" i="7"/>
  <c r="BE16" i="7" s="1"/>
  <c r="AE16" i="7"/>
  <c r="BD16" i="7" s="1"/>
  <c r="AD16" i="7"/>
  <c r="BC16" i="7" s="1"/>
  <c r="AC16" i="7"/>
  <c r="BB16" i="7" s="1"/>
  <c r="AB16" i="7"/>
  <c r="BA16" i="7" s="1"/>
  <c r="AA16" i="7"/>
  <c r="AZ16" i="7" s="1"/>
  <c r="Z16" i="7"/>
  <c r="AY16" i="7" s="1"/>
  <c r="AX15" i="7"/>
  <c r="BW15" i="7" s="1"/>
  <c r="AW15" i="7"/>
  <c r="BV15" i="7" s="1"/>
  <c r="AV15" i="7"/>
  <c r="BU15" i="7" s="1"/>
  <c r="AU15" i="7"/>
  <c r="BT15" i="7" s="1"/>
  <c r="AT15" i="7"/>
  <c r="BS15" i="7" s="1"/>
  <c r="AS15" i="7"/>
  <c r="BR15" i="7" s="1"/>
  <c r="AR15" i="7"/>
  <c r="BQ15" i="7" s="1"/>
  <c r="AQ15" i="7"/>
  <c r="BP15" i="7" s="1"/>
  <c r="AP15" i="7"/>
  <c r="BO15" i="7" s="1"/>
  <c r="AO15" i="7"/>
  <c r="BN15" i="7" s="1"/>
  <c r="AN15" i="7"/>
  <c r="BM15" i="7" s="1"/>
  <c r="AM15" i="7"/>
  <c r="BL15" i="7" s="1"/>
  <c r="AL15" i="7"/>
  <c r="BK15" i="7" s="1"/>
  <c r="AK15" i="7"/>
  <c r="BJ15" i="7" s="1"/>
  <c r="AJ15" i="7"/>
  <c r="BI15" i="7" s="1"/>
  <c r="AI15" i="7"/>
  <c r="BH15" i="7" s="1"/>
  <c r="AH15" i="7"/>
  <c r="BG15" i="7" s="1"/>
  <c r="AG15" i="7"/>
  <c r="AF15" i="7"/>
  <c r="BE15" i="7" s="1"/>
  <c r="AE15" i="7"/>
  <c r="BD15" i="7" s="1"/>
  <c r="AD15" i="7"/>
  <c r="BC15" i="7" s="1"/>
  <c r="AC15" i="7"/>
  <c r="BB15" i="7" s="1"/>
  <c r="AB15" i="7"/>
  <c r="BA15" i="7" s="1"/>
  <c r="AA15" i="7"/>
  <c r="AZ15" i="7" s="1"/>
  <c r="Z15" i="7"/>
  <c r="AY15" i="7" s="1"/>
  <c r="AX14" i="7"/>
  <c r="BW14" i="7" s="1"/>
  <c r="AW14" i="7"/>
  <c r="BV14" i="7" s="1"/>
  <c r="AV14" i="7"/>
  <c r="BU14" i="7" s="1"/>
  <c r="AU14" i="7"/>
  <c r="BT14" i="7" s="1"/>
  <c r="AT14" i="7"/>
  <c r="BS14" i="7" s="1"/>
  <c r="AS14" i="7"/>
  <c r="BR14" i="7" s="1"/>
  <c r="AR14" i="7"/>
  <c r="BQ14" i="7" s="1"/>
  <c r="AQ14" i="7"/>
  <c r="BP14" i="7" s="1"/>
  <c r="AP14" i="7"/>
  <c r="BO14" i="7" s="1"/>
  <c r="AO14" i="7"/>
  <c r="BN14" i="7" s="1"/>
  <c r="AN14" i="7"/>
  <c r="BM14" i="7" s="1"/>
  <c r="AM14" i="7"/>
  <c r="BL14" i="7" s="1"/>
  <c r="AL14" i="7"/>
  <c r="BK14" i="7" s="1"/>
  <c r="AK14" i="7"/>
  <c r="BJ14" i="7" s="1"/>
  <c r="AJ14" i="7"/>
  <c r="BI14" i="7" s="1"/>
  <c r="AI14" i="7"/>
  <c r="BH14" i="7" s="1"/>
  <c r="AH14" i="7"/>
  <c r="BG14" i="7" s="1"/>
  <c r="AG14" i="7"/>
  <c r="BF14" i="7" s="1"/>
  <c r="AF14" i="7"/>
  <c r="AE14" i="7"/>
  <c r="BD14" i="7" s="1"/>
  <c r="AD14" i="7"/>
  <c r="BC14" i="7" s="1"/>
  <c r="AC14" i="7"/>
  <c r="BB14" i="7" s="1"/>
  <c r="AB14" i="7"/>
  <c r="BA14" i="7" s="1"/>
  <c r="AA14" i="7"/>
  <c r="AZ14" i="7" s="1"/>
  <c r="Z14" i="7"/>
  <c r="AY14" i="7" s="1"/>
  <c r="AX13" i="7"/>
  <c r="BW13" i="7" s="1"/>
  <c r="AW13" i="7"/>
  <c r="BV13" i="7" s="1"/>
  <c r="AV13" i="7"/>
  <c r="BU13" i="7" s="1"/>
  <c r="AU13" i="7"/>
  <c r="BT13" i="7" s="1"/>
  <c r="AT13" i="7"/>
  <c r="BS13" i="7" s="1"/>
  <c r="AS13" i="7"/>
  <c r="BR13" i="7" s="1"/>
  <c r="AR13" i="7"/>
  <c r="BQ13" i="7" s="1"/>
  <c r="AQ13" i="7"/>
  <c r="BP13" i="7" s="1"/>
  <c r="AP13" i="7"/>
  <c r="BO13" i="7" s="1"/>
  <c r="AO13" i="7"/>
  <c r="BN13" i="7" s="1"/>
  <c r="AN13" i="7"/>
  <c r="BM13" i="7" s="1"/>
  <c r="AM13" i="7"/>
  <c r="BL13" i="7" s="1"/>
  <c r="AL13" i="7"/>
  <c r="BK13" i="7" s="1"/>
  <c r="AK13" i="7"/>
  <c r="BJ13" i="7" s="1"/>
  <c r="AJ13" i="7"/>
  <c r="BI13" i="7" s="1"/>
  <c r="AI13" i="7"/>
  <c r="BH13" i="7" s="1"/>
  <c r="AH13" i="7"/>
  <c r="BG13" i="7" s="1"/>
  <c r="AG13" i="7"/>
  <c r="BF13" i="7" s="1"/>
  <c r="AF13" i="7"/>
  <c r="BE13" i="7" s="1"/>
  <c r="AE13" i="7"/>
  <c r="AD13" i="7"/>
  <c r="BC13" i="7" s="1"/>
  <c r="AC13" i="7"/>
  <c r="BB13" i="7" s="1"/>
  <c r="AB13" i="7"/>
  <c r="BA13" i="7" s="1"/>
  <c r="AA13" i="7"/>
  <c r="AZ13" i="7" s="1"/>
  <c r="Z13" i="7"/>
  <c r="AY13" i="7" s="1"/>
  <c r="AX12" i="7"/>
  <c r="BW12" i="7" s="1"/>
  <c r="AW12" i="7"/>
  <c r="BV12" i="7" s="1"/>
  <c r="AV12" i="7"/>
  <c r="BU12" i="7" s="1"/>
  <c r="AU12" i="7"/>
  <c r="BT12" i="7" s="1"/>
  <c r="AT12" i="7"/>
  <c r="BS12" i="7" s="1"/>
  <c r="AS12" i="7"/>
  <c r="BR12" i="7" s="1"/>
  <c r="AR12" i="7"/>
  <c r="BQ12" i="7" s="1"/>
  <c r="AQ12" i="7"/>
  <c r="BP12" i="7" s="1"/>
  <c r="AP12" i="7"/>
  <c r="BO12" i="7" s="1"/>
  <c r="AO12" i="7"/>
  <c r="BN12" i="7" s="1"/>
  <c r="AN12" i="7"/>
  <c r="BM12" i="7" s="1"/>
  <c r="AM12" i="7"/>
  <c r="BL12" i="7" s="1"/>
  <c r="AL12" i="7"/>
  <c r="BK12" i="7" s="1"/>
  <c r="AK12" i="7"/>
  <c r="BJ12" i="7" s="1"/>
  <c r="AJ12" i="7"/>
  <c r="BI12" i="7" s="1"/>
  <c r="AI12" i="7"/>
  <c r="BH12" i="7" s="1"/>
  <c r="AH12" i="7"/>
  <c r="BG12" i="7" s="1"/>
  <c r="AG12" i="7"/>
  <c r="BF12" i="7" s="1"/>
  <c r="AF12" i="7"/>
  <c r="BE12" i="7" s="1"/>
  <c r="AE12" i="7"/>
  <c r="AD12" i="7"/>
  <c r="BC12" i="7" s="1"/>
  <c r="AC12" i="7"/>
  <c r="BB12" i="7" s="1"/>
  <c r="AB12" i="7"/>
  <c r="BA12" i="7" s="1"/>
  <c r="AA12" i="7"/>
  <c r="AZ12" i="7" s="1"/>
  <c r="Z12" i="7"/>
  <c r="AY12" i="7" s="1"/>
  <c r="AX11" i="7"/>
  <c r="BW11" i="7" s="1"/>
  <c r="AW11" i="7"/>
  <c r="BV11" i="7" s="1"/>
  <c r="AV11" i="7"/>
  <c r="BU11" i="7" s="1"/>
  <c r="AU11" i="7"/>
  <c r="BT11" i="7" s="1"/>
  <c r="AT11" i="7"/>
  <c r="BS11" i="7" s="1"/>
  <c r="AS11" i="7"/>
  <c r="BR11" i="7" s="1"/>
  <c r="AR11" i="7"/>
  <c r="BQ11" i="7" s="1"/>
  <c r="AQ11" i="7"/>
  <c r="BP11" i="7" s="1"/>
  <c r="AP11" i="7"/>
  <c r="BO11" i="7" s="1"/>
  <c r="AO11" i="7"/>
  <c r="BN11" i="7" s="1"/>
  <c r="AN11" i="7"/>
  <c r="BM11" i="7" s="1"/>
  <c r="AM11" i="7"/>
  <c r="BL11" i="7" s="1"/>
  <c r="AL11" i="7"/>
  <c r="BK11" i="7" s="1"/>
  <c r="AK11" i="7"/>
  <c r="BJ11" i="7" s="1"/>
  <c r="AJ11" i="7"/>
  <c r="BI11" i="7" s="1"/>
  <c r="AI11" i="7"/>
  <c r="BH11" i="7" s="1"/>
  <c r="AH11" i="7"/>
  <c r="BG11" i="7" s="1"/>
  <c r="AG11" i="7"/>
  <c r="BF11" i="7" s="1"/>
  <c r="AF11" i="7"/>
  <c r="BE11" i="7" s="1"/>
  <c r="AE11" i="7"/>
  <c r="BD11" i="7" s="1"/>
  <c r="AD11" i="7"/>
  <c r="AC11" i="7"/>
  <c r="AB11" i="7"/>
  <c r="BA11" i="7" s="1"/>
  <c r="AA11" i="7"/>
  <c r="AZ11" i="7" s="1"/>
  <c r="Z11" i="7"/>
  <c r="AY11" i="7" s="1"/>
  <c r="AX10" i="7"/>
  <c r="BW10" i="7" s="1"/>
  <c r="AW10" i="7"/>
  <c r="BV10" i="7" s="1"/>
  <c r="AV10" i="7"/>
  <c r="BU10" i="7" s="1"/>
  <c r="AU10" i="7"/>
  <c r="BT10" i="7" s="1"/>
  <c r="AT10" i="7"/>
  <c r="BS10" i="7" s="1"/>
  <c r="AS10" i="7"/>
  <c r="BR10" i="7" s="1"/>
  <c r="AR10" i="7"/>
  <c r="BQ10" i="7" s="1"/>
  <c r="AQ10" i="7"/>
  <c r="BP10" i="7" s="1"/>
  <c r="AP10" i="7"/>
  <c r="BO10" i="7" s="1"/>
  <c r="AO10" i="7"/>
  <c r="BN10" i="7" s="1"/>
  <c r="AN10" i="7"/>
  <c r="BM10" i="7" s="1"/>
  <c r="AM10" i="7"/>
  <c r="BL10" i="7" s="1"/>
  <c r="AL10" i="7"/>
  <c r="BK10" i="7" s="1"/>
  <c r="AK10" i="7"/>
  <c r="BJ10" i="7" s="1"/>
  <c r="AJ10" i="7"/>
  <c r="BI10" i="7" s="1"/>
  <c r="AI10" i="7"/>
  <c r="BH10" i="7" s="1"/>
  <c r="AH10" i="7"/>
  <c r="BG10" i="7" s="1"/>
  <c r="AG10" i="7"/>
  <c r="BF10" i="7" s="1"/>
  <c r="AF10" i="7"/>
  <c r="BE10" i="7" s="1"/>
  <c r="AE10" i="7"/>
  <c r="BD10" i="7" s="1"/>
  <c r="AD10" i="7"/>
  <c r="BC10" i="7" s="1"/>
  <c r="AC10" i="7"/>
  <c r="BB10" i="7" s="1"/>
  <c r="AB10" i="7"/>
  <c r="AA10" i="7"/>
  <c r="Z10" i="7"/>
  <c r="AY10" i="7" s="1"/>
  <c r="X18" i="7"/>
  <c r="W18" i="7"/>
  <c r="V18" i="7"/>
  <c r="U18" i="7"/>
  <c r="S12" i="7"/>
  <c r="T12" i="7"/>
  <c r="U12" i="7"/>
  <c r="V12" i="7"/>
  <c r="W12" i="7"/>
  <c r="X12" i="7"/>
  <c r="M12" i="7"/>
  <c r="N12" i="7"/>
  <c r="S15" i="7"/>
  <c r="S11" i="7"/>
  <c r="T11" i="7"/>
  <c r="U11" i="7"/>
  <c r="V11" i="7"/>
  <c r="W11" i="7"/>
  <c r="X11" i="7"/>
  <c r="M11" i="7"/>
  <c r="N11" i="7"/>
  <c r="S13" i="7"/>
  <c r="T13" i="7"/>
  <c r="U13" i="7"/>
  <c r="V13" i="7"/>
  <c r="W13" i="7"/>
  <c r="X13" i="7"/>
  <c r="M13" i="7"/>
  <c r="N13" i="7"/>
  <c r="T15" i="7"/>
  <c r="U15" i="7"/>
  <c r="V15" i="7"/>
  <c r="W15" i="7"/>
  <c r="X15" i="7"/>
  <c r="M15" i="7"/>
  <c r="N15" i="7"/>
  <c r="S17" i="7"/>
  <c r="T17" i="7"/>
  <c r="U17" i="7"/>
  <c r="V17" i="7"/>
  <c r="W17" i="7"/>
  <c r="X17" i="7"/>
  <c r="M17" i="7"/>
  <c r="N17" i="7"/>
  <c r="T18" i="7"/>
  <c r="S14" i="7"/>
  <c r="T14" i="7"/>
  <c r="U14" i="7"/>
  <c r="V14" i="7"/>
  <c r="W14" i="7"/>
  <c r="X14" i="7"/>
  <c r="M14" i="7"/>
  <c r="N14" i="7"/>
  <c r="S16" i="7"/>
  <c r="T16" i="7"/>
  <c r="U16" i="7"/>
  <c r="V16" i="7"/>
  <c r="W16" i="7"/>
  <c r="X16" i="7"/>
  <c r="M16" i="7"/>
  <c r="N16" i="7"/>
  <c r="S18" i="7"/>
  <c r="X10" i="7"/>
  <c r="W10" i="7"/>
  <c r="V10" i="7"/>
  <c r="U10" i="7"/>
  <c r="T10" i="7"/>
  <c r="L11" i="7"/>
  <c r="L12" i="7"/>
  <c r="L13" i="7"/>
  <c r="L14" i="7"/>
  <c r="L15" i="7"/>
  <c r="L16" i="7"/>
  <c r="L17" i="7"/>
  <c r="L18" i="7"/>
  <c r="L10" i="7"/>
  <c r="M18" i="7"/>
  <c r="N18" i="7"/>
  <c r="P18" i="7"/>
  <c r="Q18" i="7"/>
  <c r="O18" i="7"/>
  <c r="N10" i="7"/>
  <c r="N17" i="5"/>
  <c r="N18" i="5"/>
  <c r="N19" i="5"/>
  <c r="N22" i="5"/>
  <c r="N23" i="5"/>
  <c r="N24" i="5"/>
  <c r="N27" i="5"/>
  <c r="N28" i="5"/>
  <c r="N29" i="5"/>
  <c r="N26" i="5"/>
  <c r="N21" i="5"/>
  <c r="N16" i="5"/>
  <c r="N12" i="5"/>
  <c r="N13" i="5"/>
  <c r="N14" i="5"/>
  <c r="N11" i="5"/>
  <c r="N8" i="5"/>
  <c r="N9" i="5"/>
  <c r="N7" i="5"/>
  <c r="B9" i="4"/>
  <c r="K9" i="4"/>
  <c r="B10" i="4"/>
  <c r="K10" i="4"/>
  <c r="B11" i="4"/>
  <c r="K11" i="4"/>
  <c r="B12" i="4"/>
  <c r="K12" i="4"/>
  <c r="B13" i="4"/>
  <c r="K13" i="4"/>
  <c r="B14" i="4"/>
  <c r="K14" i="4"/>
  <c r="B15" i="4"/>
  <c r="K15" i="4"/>
  <c r="B16" i="4"/>
  <c r="K16" i="4"/>
  <c r="B17" i="4"/>
  <c r="K17" i="4"/>
  <c r="B18" i="4"/>
  <c r="K18" i="4"/>
  <c r="B19" i="4"/>
  <c r="K19" i="4"/>
  <c r="B20" i="4"/>
  <c r="K20" i="4"/>
  <c r="B21" i="4"/>
  <c r="K21" i="4"/>
  <c r="B22" i="4"/>
  <c r="K22" i="4"/>
  <c r="B23" i="4"/>
  <c r="K23" i="4"/>
  <c r="B24" i="4"/>
  <c r="K24" i="4"/>
  <c r="B25" i="4"/>
  <c r="K25" i="4"/>
  <c r="B26" i="4"/>
  <c r="K26" i="4"/>
  <c r="M27" i="5"/>
  <c r="M28" i="5"/>
  <c r="M29" i="5"/>
  <c r="M22" i="5"/>
  <c r="M23" i="5"/>
  <c r="M24" i="5"/>
  <c r="M17" i="5"/>
  <c r="M18" i="5"/>
  <c r="M19" i="5"/>
  <c r="M12" i="5"/>
  <c r="M13" i="5"/>
  <c r="M14" i="5"/>
  <c r="M26" i="5"/>
  <c r="M21" i="5"/>
  <c r="M16" i="5"/>
  <c r="M11" i="5"/>
  <c r="M8" i="5"/>
  <c r="M9" i="5"/>
  <c r="A6" i="4"/>
  <c r="B15" i="6"/>
  <c r="I6" i="4"/>
  <c r="H6" i="4"/>
  <c r="G6" i="4"/>
  <c r="F6" i="4"/>
  <c r="C6" i="4"/>
  <c r="B6" i="4"/>
  <c r="D6" i="4"/>
  <c r="M7" i="5"/>
  <c r="I15" i="3"/>
  <c r="J15" i="3"/>
  <c r="K15" i="3"/>
  <c r="L15" i="3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9" i="4"/>
  <c r="E15" i="3"/>
  <c r="F15" i="3"/>
  <c r="G15" i="3"/>
  <c r="H15" i="3"/>
  <c r="M15" i="3"/>
  <c r="N15" i="3"/>
  <c r="O15" i="3"/>
  <c r="P15" i="3"/>
  <c r="Q15" i="3"/>
  <c r="R15" i="3"/>
  <c r="D15" i="3"/>
  <c r="C41" i="3"/>
  <c r="C38" i="3"/>
  <c r="C31" i="3"/>
  <c r="B6" i="3"/>
  <c r="B5" i="3"/>
  <c r="B4" i="3"/>
  <c r="C19" i="3"/>
  <c r="B15" i="3"/>
  <c r="P16" i="3"/>
  <c r="P17" i="3"/>
  <c r="A4" i="3"/>
  <c r="A5" i="3"/>
  <c r="A6" i="3"/>
  <c r="D16" i="3"/>
  <c r="D17" i="3"/>
  <c r="O16" i="3"/>
  <c r="O17" i="3"/>
  <c r="N16" i="3"/>
  <c r="N17" i="3"/>
  <c r="F16" i="3"/>
  <c r="F17" i="3"/>
  <c r="B8" i="1"/>
  <c r="D10" i="1"/>
  <c r="E10" i="1"/>
  <c r="F10" i="1"/>
  <c r="G10" i="1"/>
  <c r="H10" i="1"/>
  <c r="I10" i="1"/>
  <c r="J10" i="1"/>
  <c r="K11" i="1"/>
  <c r="M11" i="1"/>
  <c r="M27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K25" i="1"/>
  <c r="K26" i="1"/>
  <c r="D27" i="1"/>
  <c r="E27" i="1"/>
  <c r="F27" i="1"/>
  <c r="G27" i="1"/>
  <c r="H27" i="1"/>
  <c r="I27" i="1"/>
  <c r="J27" i="1"/>
  <c r="L27" i="1"/>
  <c r="E16" i="3"/>
  <c r="E17" i="3"/>
  <c r="K16" i="3"/>
  <c r="K17" i="3"/>
  <c r="L16" i="3"/>
  <c r="L17" i="3"/>
  <c r="I16" i="3"/>
  <c r="I17" i="3"/>
  <c r="J16" i="3"/>
  <c r="J17" i="3"/>
  <c r="M16" i="3"/>
  <c r="M17" i="3"/>
  <c r="R16" i="3"/>
  <c r="R17" i="3"/>
  <c r="H16" i="3"/>
  <c r="H17" i="3"/>
  <c r="Q16" i="3"/>
  <c r="Q17" i="3"/>
  <c r="G16" i="3"/>
  <c r="G17" i="3"/>
  <c r="K27" i="1"/>
  <c r="L96" i="1"/>
  <c r="J96" i="1"/>
  <c r="I96" i="1"/>
  <c r="H96" i="1"/>
  <c r="G96" i="1"/>
  <c r="F96" i="1"/>
  <c r="E96" i="1"/>
  <c r="D96" i="1"/>
  <c r="K95" i="1"/>
  <c r="K94" i="1"/>
  <c r="K93" i="1"/>
  <c r="K92" i="1"/>
  <c r="M92" i="1"/>
  <c r="K91" i="1"/>
  <c r="M91" i="1"/>
  <c r="K90" i="1"/>
  <c r="M90" i="1"/>
  <c r="K89" i="1"/>
  <c r="M89" i="1"/>
  <c r="K88" i="1"/>
  <c r="M88" i="1"/>
  <c r="K87" i="1"/>
  <c r="M87" i="1"/>
  <c r="K86" i="1"/>
  <c r="M86" i="1"/>
  <c r="K85" i="1"/>
  <c r="M85" i="1"/>
  <c r="K84" i="1"/>
  <c r="M84" i="1"/>
  <c r="K83" i="1"/>
  <c r="M83" i="1"/>
  <c r="K82" i="1"/>
  <c r="M82" i="1"/>
  <c r="K81" i="1"/>
  <c r="M81" i="1"/>
  <c r="K80" i="1"/>
  <c r="J79" i="1"/>
  <c r="I79" i="1"/>
  <c r="H79" i="1"/>
  <c r="G79" i="1"/>
  <c r="F79" i="1"/>
  <c r="E79" i="1"/>
  <c r="D79" i="1"/>
  <c r="B77" i="1"/>
  <c r="K59" i="1"/>
  <c r="M59" i="1"/>
  <c r="L73" i="1"/>
  <c r="J73" i="1"/>
  <c r="I73" i="1"/>
  <c r="H73" i="1"/>
  <c r="G73" i="1"/>
  <c r="F73" i="1"/>
  <c r="E73" i="1"/>
  <c r="D73" i="1"/>
  <c r="K72" i="1"/>
  <c r="K71" i="1"/>
  <c r="K70" i="1"/>
  <c r="K69" i="1"/>
  <c r="M69" i="1"/>
  <c r="K68" i="1"/>
  <c r="M68" i="1"/>
  <c r="K67" i="1"/>
  <c r="M67" i="1"/>
  <c r="K66" i="1"/>
  <c r="M66" i="1"/>
  <c r="K65" i="1"/>
  <c r="M65" i="1"/>
  <c r="K64" i="1"/>
  <c r="M64" i="1"/>
  <c r="K63" i="1"/>
  <c r="M63" i="1"/>
  <c r="K62" i="1"/>
  <c r="M62" i="1"/>
  <c r="K61" i="1"/>
  <c r="M61" i="1"/>
  <c r="K60" i="1"/>
  <c r="M60" i="1"/>
  <c r="K58" i="1"/>
  <c r="M58" i="1"/>
  <c r="K57" i="1"/>
  <c r="M57" i="1"/>
  <c r="J56" i="1"/>
  <c r="I56" i="1"/>
  <c r="H56" i="1"/>
  <c r="G56" i="1"/>
  <c r="F56" i="1"/>
  <c r="E56" i="1"/>
  <c r="D56" i="1"/>
  <c r="B54" i="1"/>
  <c r="K96" i="1"/>
  <c r="M80" i="1"/>
  <c r="M96" i="1"/>
  <c r="M73" i="1"/>
  <c r="K73" i="1"/>
  <c r="B31" i="1"/>
  <c r="L50" i="1"/>
  <c r="J50" i="1"/>
  <c r="I50" i="1"/>
  <c r="H50" i="1"/>
  <c r="G50" i="1"/>
  <c r="F50" i="1"/>
  <c r="E50" i="1"/>
  <c r="D50" i="1"/>
  <c r="K49" i="1"/>
  <c r="K48" i="1"/>
  <c r="K47" i="1"/>
  <c r="K46" i="1"/>
  <c r="M46" i="1"/>
  <c r="K45" i="1"/>
  <c r="M45" i="1"/>
  <c r="K44" i="1"/>
  <c r="M44" i="1"/>
  <c r="K43" i="1"/>
  <c r="M43" i="1"/>
  <c r="K42" i="1"/>
  <c r="M42" i="1"/>
  <c r="K41" i="1"/>
  <c r="M41" i="1"/>
  <c r="K40" i="1"/>
  <c r="M40" i="1"/>
  <c r="K39" i="1"/>
  <c r="M39" i="1"/>
  <c r="K38" i="1"/>
  <c r="M38" i="1"/>
  <c r="K37" i="1"/>
  <c r="M37" i="1"/>
  <c r="K36" i="1"/>
  <c r="M36" i="1"/>
  <c r="K35" i="1"/>
  <c r="M35" i="1"/>
  <c r="K34" i="1"/>
  <c r="M34" i="1"/>
  <c r="J33" i="1"/>
  <c r="I33" i="1"/>
  <c r="H33" i="1"/>
  <c r="G33" i="1"/>
  <c r="F33" i="1"/>
  <c r="E33" i="1"/>
  <c r="D33" i="1"/>
  <c r="M50" i="1"/>
  <c r="K50" i="1"/>
  <c r="K6" i="4" l="1"/>
  <c r="B17" i="6" s="1"/>
  <c r="P17" i="7"/>
  <c r="P16" i="7"/>
  <c r="Q17" i="7" l="1"/>
  <c r="O17" i="7"/>
  <c r="BF15" i="7" s="1"/>
  <c r="P15" i="7" s="1"/>
  <c r="O16" i="7"/>
  <c r="BE14" i="7" s="1"/>
  <c r="P14" i="7" s="1"/>
  <c r="Q16" i="7"/>
  <c r="O14" i="7" l="1"/>
  <c r="BC11" i="7" s="1"/>
  <c r="Q14" i="7"/>
  <c r="O15" i="7"/>
  <c r="Q15" i="7"/>
  <c r="BD12" i="7" l="1"/>
  <c r="P12" i="7" s="1"/>
  <c r="BD13" i="7"/>
  <c r="P13" i="7" s="1"/>
  <c r="Q13" i="7" l="1"/>
  <c r="O13" i="7"/>
  <c r="BB11" i="7" s="1"/>
  <c r="P11" i="7" s="1"/>
  <c r="Q12" i="7"/>
  <c r="O12" i="7"/>
  <c r="BA10" i="7" s="1"/>
  <c r="Q11" i="7" l="1"/>
  <c r="O11" i="7"/>
  <c r="AZ10" i="7" s="1"/>
  <c r="P10" i="7" s="1"/>
  <c r="Q10" i="7" l="1"/>
  <c r="O10" i="7"/>
</calcChain>
</file>

<file path=xl/comments1.xml><?xml version="1.0" encoding="utf-8"?>
<comments xmlns="http://schemas.openxmlformats.org/spreadsheetml/2006/main">
  <authors>
    <author>作者</author>
  </authors>
  <commentList>
    <comment ref="D8" authorId="0" shapeId="0">
      <text>
        <r>
          <rPr>
            <b/>
            <sz val="8"/>
            <color indexed="81"/>
            <rFont val="Tahoma"/>
            <family val="2"/>
          </rPr>
          <t>PICK</t>
        </r>
        <r>
          <rPr>
            <sz val="8"/>
            <color indexed="81"/>
            <rFont val="Tahoma"/>
            <family val="2"/>
          </rPr>
          <t xml:space="preserve"> is an acronym for:
</t>
        </r>
        <r>
          <rPr>
            <b/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ossible (easy / low value)
</t>
        </r>
        <r>
          <rPr>
            <b/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 xml:space="preserve">mplement (easy / high value)
</t>
        </r>
        <r>
          <rPr>
            <b/>
            <sz val="8"/>
            <color indexed="81"/>
            <rFont val="Tahoma"/>
            <family val="2"/>
          </rPr>
          <t>C</t>
        </r>
        <r>
          <rPr>
            <sz val="8"/>
            <color indexed="81"/>
            <rFont val="Tahoma"/>
            <family val="2"/>
          </rPr>
          <t xml:space="preserve">hallenge (hard / high value)
</t>
        </r>
        <r>
          <rPr>
            <b/>
            <sz val="8"/>
            <color indexed="81"/>
            <rFont val="Tahoma"/>
            <family val="2"/>
          </rPr>
          <t>K</t>
        </r>
        <r>
          <rPr>
            <sz val="8"/>
            <color indexed="81"/>
            <rFont val="Tahoma"/>
            <family val="2"/>
          </rPr>
          <t>ill (hard / low value).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乐观时间</t>
        </r>
      </text>
    </comment>
    <comment ref="J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最可能时间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悲观时间</t>
        </r>
      </text>
    </comment>
    <comment ref="L9" authorId="0" shapeId="0">
      <text>
        <r>
          <rPr>
            <b/>
            <sz val="10"/>
            <color indexed="81"/>
            <rFont val="宋体"/>
            <family val="3"/>
            <charset val="134"/>
          </rPr>
          <t>平均预期时间：
计算公式：</t>
        </r>
        <r>
          <rPr>
            <sz val="10"/>
            <color indexed="81"/>
            <rFont val="Tahoma"/>
            <family val="2"/>
          </rPr>
          <t xml:space="preserve">Duration = (O+4M+P)/6
</t>
        </r>
        <r>
          <rPr>
            <sz val="10"/>
            <color indexed="81"/>
            <rFont val="宋体"/>
            <family val="3"/>
            <charset val="134"/>
          </rPr>
          <t>也可以按照平均值来计算：</t>
        </r>
        <r>
          <rPr>
            <sz val="10"/>
            <color indexed="81"/>
            <rFont val="Tahoma"/>
            <family val="2"/>
          </rPr>
          <t>Duration = (O+M+P)/3</t>
        </r>
      </text>
    </comment>
    <comment ref="M9" authorId="0" shapeId="0">
      <text>
        <r>
          <rPr>
            <b/>
            <sz val="10"/>
            <color indexed="81"/>
            <rFont val="宋体"/>
            <family val="3"/>
            <charset val="134"/>
          </rPr>
          <t>最早开始时间</t>
        </r>
        <r>
          <rPr>
            <b/>
            <sz val="10"/>
            <color indexed="81"/>
            <rFont val="Tahoma"/>
            <family val="2"/>
          </rPr>
          <t>:</t>
        </r>
        <r>
          <rPr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宋体"/>
            <family val="3"/>
            <charset val="134"/>
          </rPr>
          <t>任务可以开始的最早时间</t>
        </r>
        <r>
          <rPr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宋体"/>
            <family val="3"/>
            <charset val="134"/>
          </rPr>
          <t>第一个任务</t>
        </r>
        <r>
          <rPr>
            <sz val="10"/>
            <color indexed="81"/>
            <rFont val="Tahoma"/>
            <family val="2"/>
          </rPr>
          <t xml:space="preserve"> ES=0.</t>
        </r>
      </text>
    </comment>
    <comment ref="N9" authorId="0" shapeId="0">
      <text>
        <r>
          <rPr>
            <b/>
            <sz val="10"/>
            <color indexed="81"/>
            <rFont val="宋体"/>
            <family val="3"/>
            <charset val="134"/>
          </rPr>
          <t>最早结束时间</t>
        </r>
        <r>
          <rPr>
            <b/>
            <sz val="10"/>
            <color indexed="81"/>
            <rFont val="Tahoma"/>
            <family val="2"/>
          </rPr>
          <t>:</t>
        </r>
        <r>
          <rPr>
            <sz val="10"/>
            <color indexed="81"/>
            <rFont val="Tahoma"/>
            <family val="2"/>
          </rPr>
          <t xml:space="preserve">
EF=ES+Duration</t>
        </r>
      </text>
    </comment>
    <comment ref="O9" authorId="0" shapeId="0">
      <text>
        <r>
          <rPr>
            <b/>
            <sz val="10"/>
            <color indexed="81"/>
            <rFont val="宋体"/>
            <family val="3"/>
            <charset val="134"/>
          </rPr>
          <t>最晚开始时间</t>
        </r>
        <r>
          <rPr>
            <b/>
            <sz val="10"/>
            <color indexed="81"/>
            <rFont val="Tahoma"/>
            <family val="2"/>
          </rPr>
          <t>:</t>
        </r>
        <r>
          <rPr>
            <sz val="10"/>
            <color indexed="81"/>
            <rFont val="Tahoma"/>
            <family val="2"/>
          </rPr>
          <t xml:space="preserve">
LS=LF-Duration</t>
        </r>
      </text>
    </comment>
    <comment ref="P9" authorId="0" shapeId="0">
      <text>
        <r>
          <rPr>
            <b/>
            <sz val="10"/>
            <color indexed="81"/>
            <rFont val="宋体"/>
            <family val="3"/>
            <charset val="134"/>
          </rPr>
          <t>最晚结束时间</t>
        </r>
        <r>
          <rPr>
            <b/>
            <sz val="10"/>
            <color indexed="81"/>
            <rFont val="Tahoma"/>
            <family val="2"/>
          </rPr>
          <t xml:space="preserve">:
</t>
        </r>
        <r>
          <rPr>
            <b/>
            <sz val="10"/>
            <color indexed="81"/>
            <rFont val="宋体"/>
            <family val="3"/>
            <charset val="134"/>
          </rPr>
          <t>在不影响工期的前提下，单项任务的最晚结束时间</t>
        </r>
      </text>
    </comment>
    <comment ref="Q9" authorId="0" shapeId="0">
      <text>
        <r>
          <rPr>
            <b/>
            <sz val="10"/>
            <color indexed="81"/>
            <rFont val="宋体"/>
            <family val="3"/>
            <charset val="134"/>
          </rPr>
          <t>松弛时间</t>
        </r>
        <r>
          <rPr>
            <b/>
            <sz val="10"/>
            <color indexed="81"/>
            <rFont val="Tahoma"/>
            <family val="2"/>
          </rPr>
          <t xml:space="preserve">:
</t>
        </r>
        <r>
          <rPr>
            <sz val="10"/>
            <color indexed="81"/>
            <rFont val="宋体"/>
            <family val="3"/>
            <charset val="134"/>
          </rPr>
          <t>在不影响工期的前提下，单项任务开始时间可以推迟的最大限度。如果松弛时间是</t>
        </r>
        <r>
          <rPr>
            <sz val="10"/>
            <color indexed="81"/>
            <rFont val="Tahoma"/>
            <family val="2"/>
          </rPr>
          <t>0</t>
        </r>
        <r>
          <rPr>
            <sz val="10"/>
            <color indexed="81"/>
            <rFont val="宋体"/>
            <family val="3"/>
            <charset val="134"/>
          </rPr>
          <t>，那么该任务在关键路径上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请输入总积分</t>
        </r>
      </text>
    </comment>
  </commentList>
</comments>
</file>

<file path=xl/sharedStrings.xml><?xml version="1.0" encoding="utf-8"?>
<sst xmlns="http://schemas.openxmlformats.org/spreadsheetml/2006/main" count="525" uniqueCount="314">
  <si>
    <t>项目工作量统计</t>
    <phoneticPr fontId="2" type="noConversion"/>
  </si>
  <si>
    <t>说明: 按照0.25 (15分钟)的比例增加工时.</t>
    <phoneticPr fontId="2" type="noConversion"/>
  </si>
  <si>
    <t>加班工时</t>
    <phoneticPr fontId="2" type="noConversion"/>
  </si>
  <si>
    <t>定期工时</t>
    <phoneticPr fontId="2" type="noConversion"/>
  </si>
  <si>
    <t>有效工时</t>
    <phoneticPr fontId="2" type="noConversion"/>
  </si>
  <si>
    <t>开始日期</t>
    <phoneticPr fontId="2" type="noConversion"/>
  </si>
  <si>
    <t>结束日期</t>
    <phoneticPr fontId="2" type="noConversion"/>
  </si>
  <si>
    <t>姓名</t>
    <phoneticPr fontId="2" type="noConversion"/>
  </si>
  <si>
    <t>职位</t>
    <phoneticPr fontId="2" type="noConversion"/>
  </si>
  <si>
    <t>总工时</t>
    <phoneticPr fontId="2" type="noConversion"/>
  </si>
  <si>
    <t>假期</t>
    <phoneticPr fontId="2" type="noConversion"/>
  </si>
  <si>
    <t>病假</t>
    <phoneticPr fontId="2" type="noConversion"/>
  </si>
  <si>
    <t>事假</t>
    <phoneticPr fontId="2" type="noConversion"/>
  </si>
  <si>
    <t>合计</t>
    <phoneticPr fontId="2" type="noConversion"/>
  </si>
  <si>
    <t>张雨舟</t>
    <phoneticPr fontId="2" type="noConversion"/>
  </si>
  <si>
    <t>团队成员</t>
    <phoneticPr fontId="2" type="noConversion"/>
  </si>
  <si>
    <t>杨正平</t>
    <phoneticPr fontId="2" type="noConversion"/>
  </si>
  <si>
    <t>王志伟</t>
    <phoneticPr fontId="2" type="noConversion"/>
  </si>
  <si>
    <t>张雨舟</t>
    <phoneticPr fontId="2" type="noConversion"/>
  </si>
  <si>
    <t>王世虎</t>
    <phoneticPr fontId="2" type="noConversion"/>
  </si>
  <si>
    <t>文良</t>
    <phoneticPr fontId="2" type="noConversion"/>
  </si>
  <si>
    <t>毛灯</t>
    <phoneticPr fontId="2" type="noConversion"/>
  </si>
  <si>
    <t>肖萍</t>
    <phoneticPr fontId="2" type="noConversion"/>
  </si>
  <si>
    <t>田晓玲</t>
    <phoneticPr fontId="2" type="noConversion"/>
  </si>
  <si>
    <t>杨正平</t>
  </si>
  <si>
    <t>毛灯</t>
  </si>
  <si>
    <t>王世虎</t>
  </si>
  <si>
    <t>文良</t>
  </si>
  <si>
    <t>肖萍</t>
  </si>
  <si>
    <t>王志伟</t>
  </si>
  <si>
    <t>田晓玲</t>
  </si>
  <si>
    <t>否</t>
    <phoneticPr fontId="18" type="noConversion"/>
  </si>
  <si>
    <t>2015.03-19-2015.03-25</t>
    <phoneticPr fontId="18" type="noConversion"/>
  </si>
  <si>
    <t>立项预算</t>
    <phoneticPr fontId="18" type="noConversion"/>
  </si>
  <si>
    <t>原计划人日</t>
    <phoneticPr fontId="18" type="noConversion"/>
  </si>
  <si>
    <t>XXXX人日</t>
    <phoneticPr fontId="18" type="noConversion"/>
  </si>
  <si>
    <t>第1次变更后人日</t>
    <phoneticPr fontId="18" type="noConversion"/>
  </si>
  <si>
    <t>第2次变更后人日</t>
    <phoneticPr fontId="18" type="noConversion"/>
  </si>
  <si>
    <t>第3次变更后人日</t>
    <phoneticPr fontId="18" type="noConversion"/>
  </si>
  <si>
    <t>类别</t>
    <phoneticPr fontId="18" type="noConversion"/>
  </si>
  <si>
    <t>项目预算</t>
    <phoneticPr fontId="18" type="noConversion"/>
  </si>
  <si>
    <t>实际总开支</t>
    <phoneticPr fontId="18" type="noConversion"/>
  </si>
  <si>
    <t>序号</t>
    <phoneticPr fontId="18" type="noConversion"/>
  </si>
  <si>
    <t>时间</t>
    <phoneticPr fontId="18" type="noConversion"/>
  </si>
  <si>
    <t>金额
（元）</t>
    <phoneticPr fontId="18" type="noConversion"/>
  </si>
  <si>
    <t>事由</t>
    <phoneticPr fontId="18" type="noConversion"/>
  </si>
  <si>
    <t>硬件及设备采购</t>
    <phoneticPr fontId="18" type="noConversion"/>
  </si>
  <si>
    <t>xx</t>
    <phoneticPr fontId="18" type="noConversion"/>
  </si>
  <si>
    <t>统计周期</t>
    <phoneticPr fontId="18" type="noConversion"/>
  </si>
  <si>
    <t>项目经理</t>
    <phoneticPr fontId="18" type="noConversion"/>
  </si>
  <si>
    <t>开发</t>
    <phoneticPr fontId="18" type="noConversion"/>
  </si>
  <si>
    <t>测试/质量/项目管理</t>
    <phoneticPr fontId="18" type="noConversion"/>
  </si>
  <si>
    <t>积分是否已分配</t>
    <phoneticPr fontId="18" type="noConversion"/>
  </si>
  <si>
    <t>备注</t>
    <phoneticPr fontId="18" type="noConversion"/>
  </si>
  <si>
    <t>总工作量
(人日）</t>
    <phoneticPr fontId="18" type="noConversion"/>
  </si>
  <si>
    <t>周工作量
（人日）</t>
    <phoneticPr fontId="18" type="noConversion"/>
  </si>
  <si>
    <t>统计时间</t>
    <phoneticPr fontId="18" type="noConversion"/>
  </si>
  <si>
    <t>AA</t>
    <phoneticPr fontId="18" type="noConversion"/>
  </si>
  <si>
    <t>毛灯</t>
    <phoneticPr fontId="18" type="noConversion"/>
  </si>
  <si>
    <t>王世虎</t>
    <phoneticPr fontId="18" type="noConversion"/>
  </si>
  <si>
    <t>文良</t>
    <phoneticPr fontId="18" type="noConversion"/>
  </si>
  <si>
    <t>田晓玲</t>
    <phoneticPr fontId="18" type="noConversion"/>
  </si>
  <si>
    <t>杨正平</t>
    <phoneticPr fontId="18" type="noConversion"/>
  </si>
  <si>
    <t>王志伟</t>
    <phoneticPr fontId="18" type="noConversion"/>
  </si>
  <si>
    <t>张雨舟</t>
    <phoneticPr fontId="18" type="noConversion"/>
  </si>
  <si>
    <t>肖萍</t>
    <phoneticPr fontId="18" type="noConversion"/>
  </si>
  <si>
    <t>2015.03.01-2015.03.11</t>
    <phoneticPr fontId="18" type="noConversion"/>
  </si>
  <si>
    <t>2015.03-12-2015.03-18</t>
    <phoneticPr fontId="18" type="noConversion"/>
  </si>
  <si>
    <t>否</t>
    <phoneticPr fontId="18" type="noConversion"/>
  </si>
  <si>
    <t>差旅</t>
    <phoneticPr fontId="18" type="noConversion"/>
  </si>
  <si>
    <t>其他</t>
    <phoneticPr fontId="18" type="noConversion"/>
  </si>
  <si>
    <t>目前人力费用（万元）</t>
    <phoneticPr fontId="18" type="noConversion"/>
  </si>
  <si>
    <t>合计</t>
    <phoneticPr fontId="2" type="noConversion"/>
  </si>
  <si>
    <t>比重</t>
    <phoneticPr fontId="2" type="noConversion"/>
  </si>
  <si>
    <t>积分分配</t>
    <phoneticPr fontId="2" type="noConversion"/>
  </si>
  <si>
    <t>优先级</t>
    <phoneticPr fontId="2" type="noConversion"/>
  </si>
  <si>
    <t>中</t>
  </si>
  <si>
    <t>中</t>
    <phoneticPr fontId="2" type="noConversion"/>
  </si>
  <si>
    <t>低</t>
  </si>
  <si>
    <t>低</t>
    <phoneticPr fontId="2" type="noConversion"/>
  </si>
  <si>
    <t>高</t>
  </si>
  <si>
    <t>高</t>
    <phoneticPr fontId="2" type="noConversion"/>
  </si>
  <si>
    <t>田志勇</t>
    <phoneticPr fontId="2" type="noConversion"/>
  </si>
  <si>
    <t>待办事项</t>
    <phoneticPr fontId="2" type="noConversion"/>
  </si>
  <si>
    <t>项目/任务</t>
    <phoneticPr fontId="2" type="noConversion"/>
  </si>
  <si>
    <t>状态</t>
    <phoneticPr fontId="2" type="noConversion"/>
  </si>
  <si>
    <t>优先级</t>
    <phoneticPr fontId="2" type="noConversion"/>
  </si>
  <si>
    <t>难易度</t>
    <phoneticPr fontId="2" type="noConversion"/>
  </si>
  <si>
    <t>Task Name 1</t>
  </si>
  <si>
    <t>Task Name 2</t>
  </si>
  <si>
    <t xml:space="preserve"> - </t>
  </si>
  <si>
    <t>简单/低价值</t>
  </si>
  <si>
    <t>简单/低价值</t>
    <phoneticPr fontId="2" type="noConversion"/>
  </si>
  <si>
    <t>简单/高价值</t>
  </si>
  <si>
    <t>简单/高价值</t>
    <phoneticPr fontId="2" type="noConversion"/>
  </si>
  <si>
    <t>困难/低价值</t>
    <phoneticPr fontId="2" type="noConversion"/>
  </si>
  <si>
    <t>困难/高价值</t>
  </si>
  <si>
    <t>困难/高价值</t>
    <phoneticPr fontId="2" type="noConversion"/>
  </si>
  <si>
    <t>难易度</t>
    <phoneticPr fontId="2" type="noConversion"/>
  </si>
  <si>
    <t>状态</t>
    <phoneticPr fontId="2" type="noConversion"/>
  </si>
  <si>
    <t>待审批</t>
    <phoneticPr fontId="2" type="noConversion"/>
  </si>
  <si>
    <t>审批通过</t>
    <phoneticPr fontId="2" type="noConversion"/>
  </si>
  <si>
    <t>进行中</t>
    <phoneticPr fontId="2" type="noConversion"/>
  </si>
  <si>
    <t>待审核</t>
    <phoneticPr fontId="2" type="noConversion"/>
  </si>
  <si>
    <t>完成</t>
    <phoneticPr fontId="2" type="noConversion"/>
  </si>
  <si>
    <t>暂停</t>
    <phoneticPr fontId="2" type="noConversion"/>
  </si>
  <si>
    <t>规划设计</t>
    <phoneticPr fontId="2" type="noConversion"/>
  </si>
  <si>
    <t>指派给</t>
    <phoneticPr fontId="2" type="noConversion"/>
  </si>
  <si>
    <t>指派日期</t>
    <phoneticPr fontId="2" type="noConversion"/>
  </si>
  <si>
    <t>期望完成日期</t>
    <phoneticPr fontId="2" type="noConversion"/>
  </si>
  <si>
    <t>实际完成日期</t>
    <phoneticPr fontId="2" type="noConversion"/>
  </si>
  <si>
    <t>实际完成工作量</t>
    <phoneticPr fontId="2" type="noConversion"/>
  </si>
  <si>
    <t>备注</t>
    <phoneticPr fontId="2" type="noConversion"/>
  </si>
  <si>
    <t>Task Name 3</t>
    <phoneticPr fontId="2" type="noConversion"/>
  </si>
  <si>
    <t>按时完成</t>
    <phoneticPr fontId="2" type="noConversion"/>
  </si>
  <si>
    <t>状态统计</t>
    <phoneticPr fontId="2" type="noConversion"/>
  </si>
  <si>
    <t>任务数</t>
    <phoneticPr fontId="2" type="noConversion"/>
  </si>
  <si>
    <t>超时完成</t>
    <phoneticPr fontId="2" type="noConversion"/>
  </si>
  <si>
    <t>其他</t>
    <phoneticPr fontId="2" type="noConversion"/>
  </si>
  <si>
    <t>优先级统计</t>
    <phoneticPr fontId="2" type="noConversion"/>
  </si>
  <si>
    <t>异常</t>
    <phoneticPr fontId="2" type="noConversion"/>
  </si>
  <si>
    <t>到期仍未完成</t>
    <phoneticPr fontId="2" type="noConversion"/>
  </si>
  <si>
    <t>Current Status</t>
  </si>
  <si>
    <t>Projects</t>
  </si>
  <si>
    <t>Deliverables</t>
  </si>
  <si>
    <t>Cost / Hours</t>
  </si>
  <si>
    <t>[ Project Title ]</t>
  </si>
  <si>
    <t>[ Details ]</t>
  </si>
  <si>
    <t>[ Sub Task ]</t>
  </si>
  <si>
    <t>[ use comments for longer descriptions, but this field will also wrap ]</t>
  </si>
  <si>
    <t>[ product xyz installation ]</t>
  </si>
  <si>
    <t>X</t>
  </si>
  <si>
    <t>[ this is an example of a task with multiple deliverables (rough and final drafts) ]</t>
  </si>
  <si>
    <t>[ rough draft ]</t>
  </si>
  <si>
    <t>[ final draft ]</t>
  </si>
  <si>
    <t>Graphic Design</t>
  </si>
  <si>
    <t>Create branding materials</t>
  </si>
  <si>
    <t>Logo</t>
  </si>
  <si>
    <t>[ short description ]</t>
  </si>
  <si>
    <t>Illustrator file, .png, .gif</t>
  </si>
  <si>
    <t>Business Cards</t>
  </si>
  <si>
    <t>Stationary</t>
  </si>
  <si>
    <t>Project Tracking</t>
    <phoneticPr fontId="2" type="noConversion"/>
  </si>
  <si>
    <t>状态</t>
    <phoneticPr fontId="2" type="noConversion"/>
  </si>
  <si>
    <t>修改日期</t>
    <phoneticPr fontId="2" type="noConversion"/>
  </si>
  <si>
    <t>优先级</t>
    <phoneticPr fontId="2" type="noConversion"/>
  </si>
  <si>
    <t>项目/任务</t>
    <phoneticPr fontId="2" type="noConversion"/>
  </si>
  <si>
    <t>描述</t>
    <phoneticPr fontId="2" type="noConversion"/>
  </si>
  <si>
    <t>交付物</t>
    <phoneticPr fontId="2" type="noConversion"/>
  </si>
  <si>
    <t>% 完成</t>
  </si>
  <si>
    <t>% 完成</t>
    <phoneticPr fontId="2" type="noConversion"/>
  </si>
  <si>
    <t>剩余天数</t>
    <phoneticPr fontId="2" type="noConversion"/>
  </si>
  <si>
    <t>固定成本</t>
    <phoneticPr fontId="2" type="noConversion"/>
  </si>
  <si>
    <t>预估工时</t>
    <phoneticPr fontId="2" type="noConversion"/>
  </si>
  <si>
    <t>实际工时</t>
    <phoneticPr fontId="2" type="noConversion"/>
  </si>
  <si>
    <t>Billed Hrs</t>
    <phoneticPr fontId="2" type="noConversion"/>
  </si>
  <si>
    <t>-</t>
    <phoneticPr fontId="2" type="noConversion"/>
  </si>
  <si>
    <t>完成</t>
  </si>
  <si>
    <t>审批通过</t>
  </si>
  <si>
    <t>通知</t>
    <phoneticPr fontId="2" type="noConversion"/>
  </si>
  <si>
    <t>RAR</t>
    <phoneticPr fontId="2" type="noConversion"/>
  </si>
  <si>
    <t>FYI</t>
    <phoneticPr fontId="2" type="noConversion"/>
  </si>
  <si>
    <t>NTD</t>
    <phoneticPr fontId="2" type="noConversion"/>
  </si>
  <si>
    <t>-</t>
    <phoneticPr fontId="2" type="noConversion"/>
  </si>
  <si>
    <t>公告</t>
    <phoneticPr fontId="2" type="noConversion"/>
  </si>
  <si>
    <t>公告</t>
    <phoneticPr fontId="2" type="noConversion"/>
  </si>
  <si>
    <t>交付日期</t>
    <phoneticPr fontId="2" type="noConversion"/>
  </si>
  <si>
    <t>-</t>
    <phoneticPr fontId="2" type="noConversion"/>
  </si>
  <si>
    <t>版本</t>
    <phoneticPr fontId="2" type="noConversion"/>
  </si>
  <si>
    <t>版本</t>
    <phoneticPr fontId="2" type="noConversion"/>
  </si>
  <si>
    <t>-</t>
    <phoneticPr fontId="2" type="noConversion"/>
  </si>
  <si>
    <t>Phase1</t>
  </si>
  <si>
    <t>Phase1</t>
    <phoneticPr fontId="2" type="noConversion"/>
  </si>
  <si>
    <t>Phase2</t>
  </si>
  <si>
    <t>Phase2</t>
    <phoneticPr fontId="2" type="noConversion"/>
  </si>
  <si>
    <t>Phase3</t>
    <phoneticPr fontId="2" type="noConversion"/>
  </si>
  <si>
    <t>Phase4</t>
    <phoneticPr fontId="2" type="noConversion"/>
  </si>
  <si>
    <t>合计:</t>
    <phoneticPr fontId="2" type="noConversion"/>
  </si>
  <si>
    <t>工作量统计表</t>
    <phoneticPr fontId="18" type="noConversion"/>
  </si>
  <si>
    <t>到期仍未完成</t>
    <phoneticPr fontId="2" type="noConversion"/>
  </si>
  <si>
    <t>ID</t>
    <phoneticPr fontId="2" type="noConversion"/>
  </si>
  <si>
    <t>节假日</t>
    <phoneticPr fontId="2" type="noConversion"/>
  </si>
  <si>
    <t>ID</t>
  </si>
  <si>
    <t>任务名称</t>
    <phoneticPr fontId="2" type="noConversion"/>
  </si>
  <si>
    <r>
      <t xml:space="preserve">前置任务
</t>
    </r>
    <r>
      <rPr>
        <sz val="8"/>
        <color indexed="9"/>
        <rFont val="微软雅黑"/>
        <family val="2"/>
        <charset val="134"/>
      </rPr>
      <t>(Enter one ID per cell)</t>
    </r>
    <phoneticPr fontId="2" type="noConversion"/>
  </si>
  <si>
    <r>
      <t xml:space="preserve">O
</t>
    </r>
    <r>
      <rPr>
        <sz val="8"/>
        <color indexed="9"/>
        <rFont val="微软雅黑"/>
        <family val="2"/>
        <charset val="134"/>
      </rPr>
      <t>(min)</t>
    </r>
  </si>
  <si>
    <r>
      <t xml:space="preserve">M
</t>
    </r>
    <r>
      <rPr>
        <sz val="8"/>
        <color indexed="9"/>
        <rFont val="微软雅黑"/>
        <family val="2"/>
        <charset val="134"/>
      </rPr>
      <t>(most likely)</t>
    </r>
  </si>
  <si>
    <r>
      <t xml:space="preserve">P
</t>
    </r>
    <r>
      <rPr>
        <sz val="8"/>
        <color indexed="9"/>
        <rFont val="微软雅黑"/>
        <family val="2"/>
        <charset val="134"/>
      </rPr>
      <t>(max)</t>
    </r>
  </si>
  <si>
    <r>
      <t xml:space="preserve">Duration
</t>
    </r>
    <r>
      <rPr>
        <sz val="8"/>
        <color indexed="9"/>
        <rFont val="微软雅黑"/>
        <family val="2"/>
        <charset val="134"/>
      </rPr>
      <t>(exp. time)</t>
    </r>
  </si>
  <si>
    <t>ES</t>
  </si>
  <si>
    <t>EF</t>
  </si>
  <si>
    <t>LS</t>
  </si>
  <si>
    <t>LF</t>
  </si>
  <si>
    <t>Slack</t>
  </si>
  <si>
    <t>Start</t>
  </si>
  <si>
    <t>Task A</t>
  </si>
  <si>
    <t>Task B</t>
  </si>
  <si>
    <t>Task C</t>
  </si>
  <si>
    <t>Task D</t>
  </si>
  <si>
    <t>Task E</t>
  </si>
  <si>
    <t>Task F</t>
  </si>
  <si>
    <t>Task G</t>
  </si>
  <si>
    <t>Finish</t>
  </si>
  <si>
    <t>Times (in Days)</t>
  </si>
  <si>
    <t>时间分布</t>
    <phoneticPr fontId="44" type="noConversion"/>
  </si>
  <si>
    <t>Triangular</t>
    <phoneticPr fontId="2" type="noConversion"/>
  </si>
  <si>
    <t>EF of Predecessors</t>
  </si>
  <si>
    <t>LS of Successors</t>
  </si>
  <si>
    <t>Successors</t>
    <phoneticPr fontId="2" type="noConversion"/>
  </si>
  <si>
    <t>项目日程</t>
    <phoneticPr fontId="2" type="noConversion"/>
  </si>
  <si>
    <t>Start Week</t>
  </si>
  <si>
    <t>Week</t>
  </si>
  <si>
    <t>Starting</t>
  </si>
  <si>
    <t>Notes</t>
  </si>
  <si>
    <t>Phase</t>
    <phoneticPr fontId="2" type="noConversion"/>
  </si>
  <si>
    <t>Quality Assurance Plan</t>
  </si>
  <si>
    <t>P
R
O
J
E
C
T
E
N
D</t>
  </si>
  <si>
    <t>One</t>
  </si>
  <si>
    <t>Project Plan</t>
  </si>
  <si>
    <t>Plan Review</t>
  </si>
  <si>
    <t>Phase</t>
  </si>
  <si>
    <t>Draft Requrements</t>
  </si>
  <si>
    <t>Two</t>
  </si>
  <si>
    <t>Capacity Planning</t>
  </si>
  <si>
    <t>Project Test Plan</t>
  </si>
  <si>
    <t>Acceptance Test Plan</t>
  </si>
  <si>
    <t>Final Requirements Specifications</t>
  </si>
  <si>
    <t>Phase Review and Approval</t>
  </si>
  <si>
    <t>Milestone: additional funds</t>
  </si>
  <si>
    <t>Draft Design Specifications</t>
  </si>
  <si>
    <t>Three</t>
  </si>
  <si>
    <t>Configuration Management Plan</t>
  </si>
  <si>
    <t>Architectue Design Plan</t>
  </si>
  <si>
    <t>Define Interface Requirements</t>
  </si>
  <si>
    <t>Shared Component Design</t>
  </si>
  <si>
    <t>Integration Test Plan</t>
  </si>
  <si>
    <t>Define Project Guidelines</t>
  </si>
  <si>
    <t>Final Design Specifications</t>
  </si>
  <si>
    <t>缺陷</t>
    <phoneticPr fontId="2" type="noConversion"/>
  </si>
  <si>
    <t>Open</t>
  </si>
  <si>
    <t>Fixed</t>
  </si>
  <si>
    <t>B-High</t>
  </si>
  <si>
    <t>C-Medium</t>
  </si>
  <si>
    <t>Invalid</t>
  </si>
  <si>
    <t>D-Low</t>
  </si>
  <si>
    <t>Deferred</t>
  </si>
  <si>
    <t>E-Suggest</t>
  </si>
  <si>
    <t>Rejected</t>
  </si>
  <si>
    <t>New</t>
  </si>
  <si>
    <t>BUG编号</t>
    <phoneticPr fontId="2" type="noConversion"/>
  </si>
  <si>
    <t>出现频率</t>
    <phoneticPr fontId="2" type="noConversion"/>
  </si>
  <si>
    <t>缺陷级别</t>
    <phoneticPr fontId="2" type="noConversion"/>
  </si>
  <si>
    <t>重开次数</t>
    <phoneticPr fontId="2" type="noConversion"/>
  </si>
  <si>
    <t>实际完成时间</t>
    <phoneticPr fontId="2" type="noConversion"/>
  </si>
  <si>
    <t>提交人</t>
    <phoneticPr fontId="2" type="noConversion"/>
  </si>
  <si>
    <t>执行人</t>
    <phoneticPr fontId="2" type="noConversion"/>
  </si>
  <si>
    <t>缺陷状态</t>
    <phoneticPr fontId="2" type="noConversion"/>
  </si>
  <si>
    <t>Open</t>
    <phoneticPr fontId="2" type="noConversion"/>
  </si>
  <si>
    <t>Reopen</t>
    <phoneticPr fontId="2" type="noConversion"/>
  </si>
  <si>
    <t>Fixed</t>
    <phoneticPr fontId="2" type="noConversion"/>
  </si>
  <si>
    <t>Close</t>
    <phoneticPr fontId="2" type="noConversion"/>
  </si>
  <si>
    <t>Invalid</t>
    <phoneticPr fontId="2" type="noConversion"/>
  </si>
  <si>
    <t>Rejected</t>
    <phoneticPr fontId="2" type="noConversion"/>
  </si>
  <si>
    <t>Deferred</t>
    <phoneticPr fontId="2" type="noConversion"/>
  </si>
  <si>
    <t>出现频率</t>
    <phoneticPr fontId="2" type="noConversion"/>
  </si>
  <si>
    <t>缺陷级别</t>
    <phoneticPr fontId="2" type="noConversion"/>
  </si>
  <si>
    <t>提交日期</t>
    <phoneticPr fontId="2" type="noConversion"/>
  </si>
  <si>
    <t>主题</t>
    <phoneticPr fontId="2" type="noConversion"/>
  </si>
  <si>
    <t>描述</t>
    <phoneticPr fontId="2" type="noConversion"/>
  </si>
  <si>
    <t>任务ID</t>
    <phoneticPr fontId="2" type="noConversion"/>
  </si>
  <si>
    <t>缺陷数</t>
    <phoneticPr fontId="2" type="noConversion"/>
  </si>
  <si>
    <t>Open</t>
    <phoneticPr fontId="2" type="noConversion"/>
  </si>
  <si>
    <t>Fixed</t>
    <phoneticPr fontId="2" type="noConversion"/>
  </si>
  <si>
    <t>Rejected</t>
    <phoneticPr fontId="2" type="noConversion"/>
  </si>
  <si>
    <t>New</t>
    <phoneticPr fontId="2" type="noConversion"/>
  </si>
  <si>
    <t>Invalid</t>
    <phoneticPr fontId="2" type="noConversion"/>
  </si>
  <si>
    <t>Closed</t>
    <phoneticPr fontId="2" type="noConversion"/>
  </si>
  <si>
    <t>一次</t>
  </si>
  <si>
    <t>一次</t>
    <phoneticPr fontId="2" type="noConversion"/>
  </si>
  <si>
    <t>困难</t>
  </si>
  <si>
    <t>困难</t>
    <phoneticPr fontId="2" type="noConversion"/>
  </si>
  <si>
    <t>容易</t>
  </si>
  <si>
    <t>容易</t>
    <phoneticPr fontId="2" type="noConversion"/>
  </si>
  <si>
    <t>每次</t>
  </si>
  <si>
    <t>每次</t>
    <phoneticPr fontId="2" type="noConversion"/>
  </si>
  <si>
    <t>B-High</t>
    <phoneticPr fontId="2" type="noConversion"/>
  </si>
  <si>
    <t>C-Medium</t>
    <phoneticPr fontId="2" type="noConversion"/>
  </si>
  <si>
    <t>D-Low</t>
    <phoneticPr fontId="2" type="noConversion"/>
  </si>
  <si>
    <t>E-Suggest</t>
    <phoneticPr fontId="2" type="noConversion"/>
  </si>
  <si>
    <t>A-Urgent</t>
    <phoneticPr fontId="2" type="noConversion"/>
  </si>
  <si>
    <t>New</t>
    <phoneticPr fontId="2" type="noConversion"/>
  </si>
  <si>
    <t>总人日</t>
    <phoneticPr fontId="2" type="noConversion"/>
  </si>
  <si>
    <t>总工时</t>
    <phoneticPr fontId="2" type="noConversion"/>
  </si>
  <si>
    <t>B</t>
    <phoneticPr fontId="2" type="noConversion"/>
  </si>
  <si>
    <t>A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</si>
  <si>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</si>
  <si>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</si>
  <si>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</si>
  <si>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A-Urgent</t>
  </si>
  <si>
    <t xml:space="preserve">
</t>
    <phoneticPr fontId="2" type="noConversion"/>
  </si>
  <si>
    <t>发布标准</t>
    <phoneticPr fontId="2" type="noConversion"/>
  </si>
  <si>
    <t>Reopen</t>
  </si>
  <si>
    <t>Reopen</t>
    <phoneticPr fontId="2" type="noConversion"/>
  </si>
  <si>
    <t>Beta</t>
    <phoneticPr fontId="2" type="noConversion"/>
  </si>
  <si>
    <t>C&lt;4%,D&lt;6%</t>
    <phoneticPr fontId="2" type="noConversion"/>
  </si>
  <si>
    <t>Release</t>
    <phoneticPr fontId="2" type="noConversion"/>
  </si>
  <si>
    <t>C&lt;2% D&lt;4%</t>
    <phoneticPr fontId="2" type="noConversion"/>
  </si>
  <si>
    <t>New和Invalid的BUG不加入统计</t>
    <phoneticPr fontId="2" type="noConversion"/>
  </si>
  <si>
    <t>统计</t>
    <phoneticPr fontId="2" type="noConversion"/>
  </si>
  <si>
    <t>结束日期</t>
    <phoneticPr fontId="2" type="noConversion"/>
  </si>
  <si>
    <t>可能性</t>
    <phoneticPr fontId="2" type="noConversion"/>
  </si>
  <si>
    <t>任务规模</t>
    <phoneticPr fontId="2" type="noConversion"/>
  </si>
  <si>
    <t>任务规模</t>
    <phoneticPr fontId="2" type="noConversion"/>
  </si>
  <si>
    <t>何时修复？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</si>
</sst>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 &quot;¥&quot;* #,##0.00_ ;_ &quot;¥&quot;* \-#,##0.00_ ;_ &quot;¥&quot;* &quot;-&quot;??_ ;_ @_ "/>
    <numFmt numFmtId="176" formatCode="[$-F800]dddd\,\ mmmm\ dd\,\ yyyy"/>
    <numFmt numFmtId="177" formatCode="0.00_);[Red]\(0.00\)"/>
    <numFmt numFmtId="178" formatCode="#,##0.00_);[Red]\(#,##0.00\)"/>
    <numFmt numFmtId="179" formatCode="0.0_ "/>
    <numFmt numFmtId="180" formatCode="yyyy/m/d;@"/>
    <numFmt numFmtId="181" formatCode="0;[Red]0"/>
    <numFmt numFmtId="182" formatCode="d"/>
    <numFmt numFmtId="183" formatCode="m&quot;月&quot;"/>
    <numFmt numFmtId="184" formatCode="0.00_ "/>
  </numFmts>
  <fonts count="57" x14ac:knownFonts="1">
    <font>
      <sz val="11"/>
      <color theme="1"/>
      <name val="宋体"/>
      <family val="2"/>
      <scheme val="minor"/>
    </font>
    <font>
      <b/>
      <sz val="20"/>
      <color indexed="63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8"/>
      <color indexed="63"/>
      <name val="微软雅黑"/>
      <family val="2"/>
      <charset val="134"/>
    </font>
    <font>
      <b/>
      <sz val="10"/>
      <color indexed="6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indexed="9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0"/>
      <name val="Arial"/>
      <family val="2"/>
    </font>
    <font>
      <i/>
      <sz val="10"/>
      <color indexed="12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b/>
      <sz val="2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8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18"/>
      <color theme="1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8"/>
      <color indexed="9"/>
      <name val="微软雅黑"/>
      <family val="2"/>
      <charset val="134"/>
    </font>
    <font>
      <i/>
      <sz val="10"/>
      <name val="微软雅黑"/>
      <family val="2"/>
      <charset val="134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b/>
      <sz val="10"/>
      <name val="Arial"/>
      <family val="2"/>
    </font>
    <font>
      <sz val="8"/>
      <name val="Arial"/>
      <family val="2"/>
    </font>
    <font>
      <i/>
      <sz val="8"/>
      <name val="宋体"/>
      <family val="3"/>
      <charset val="134"/>
    </font>
    <font>
      <b/>
      <sz val="10"/>
      <color indexed="9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1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/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4"/>
      </top>
      <bottom/>
      <diagonal/>
    </border>
    <border>
      <left/>
      <right/>
      <top style="medium">
        <color theme="4"/>
      </top>
      <bottom style="thin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 style="thin">
        <color theme="0" tint="-0.34998626667073579"/>
      </right>
      <top style="medium">
        <color theme="4"/>
      </top>
      <bottom/>
      <diagonal/>
    </border>
    <border>
      <left style="thin">
        <color theme="0" tint="-0.34998626667073579"/>
      </left>
      <right style="medium">
        <color theme="0" tint="-0.499984740745262"/>
      </right>
      <top style="medium">
        <color theme="4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/>
      <right/>
      <top style="thin">
        <color theme="0" tint="-0.24994659260841701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thin">
        <color theme="0" tint="-0.34998626667073579"/>
      </right>
      <top/>
      <bottom style="medium">
        <color theme="0" tint="-0.499984740745262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medium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3" fillId="0" borderId="0"/>
    <xf numFmtId="0" fontId="15" fillId="5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</cellStyleXfs>
  <cellXfs count="270">
    <xf numFmtId="0" fontId="0" fillId="0" borderId="0" xfId="0"/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5" fillId="0" borderId="0" xfId="0" applyFont="1"/>
    <xf numFmtId="0" fontId="6" fillId="0" borderId="0" xfId="0" applyFont="1" applyAlignment="1" applyProtection="1"/>
    <xf numFmtId="0" fontId="7" fillId="0" borderId="0" xfId="0" applyFont="1" applyAlignment="1" applyProtection="1">
      <alignment horizontal="left"/>
      <protection locked="0"/>
    </xf>
    <xf numFmtId="0" fontId="8" fillId="0" borderId="0" xfId="0" applyFont="1"/>
    <xf numFmtId="0" fontId="6" fillId="0" borderId="0" xfId="0" applyFont="1" applyAlignment="1" applyProtection="1">
      <alignment horizontal="left"/>
    </xf>
    <xf numFmtId="0" fontId="9" fillId="0" borderId="0" xfId="0" applyFont="1" applyAlignment="1" applyProtection="1">
      <alignment horizontal="left"/>
    </xf>
    <xf numFmtId="0" fontId="10" fillId="0" borderId="0" xfId="0" applyFont="1" applyAlignment="1" applyProtection="1"/>
    <xf numFmtId="0" fontId="6" fillId="0" borderId="0" xfId="0" applyFont="1" applyAlignment="1" applyProtection="1">
      <protection locked="0"/>
    </xf>
    <xf numFmtId="0" fontId="6" fillId="0" borderId="0" xfId="0" applyFont="1" applyAlignment="1" applyProtection="1">
      <alignment horizontal="right" indent="1"/>
    </xf>
    <xf numFmtId="14" fontId="7" fillId="0" borderId="1" xfId="0" applyNumberFormat="1" applyFont="1" applyBorder="1" applyAlignment="1" applyProtection="1">
      <alignment horizontal="left"/>
      <protection locked="0"/>
    </xf>
    <xf numFmtId="14" fontId="7" fillId="0" borderId="2" xfId="0" applyNumberFormat="1" applyFont="1" applyBorder="1" applyAlignment="1" applyProtection="1">
      <alignment horizontal="left"/>
      <protection locked="0"/>
    </xf>
    <xf numFmtId="14" fontId="7" fillId="0" borderId="3" xfId="0" applyNumberFormat="1" applyFont="1" applyBorder="1" applyAlignment="1" applyProtection="1">
      <alignment horizontal="left"/>
      <protection locked="0"/>
    </xf>
    <xf numFmtId="0" fontId="5" fillId="0" borderId="0" xfId="0" applyFont="1" applyAlignment="1" applyProtection="1"/>
    <xf numFmtId="14" fontId="6" fillId="0" borderId="0" xfId="0" applyNumberFormat="1" applyFont="1" applyBorder="1" applyAlignment="1" applyProtection="1">
      <alignment horizontal="left"/>
    </xf>
    <xf numFmtId="0" fontId="11" fillId="2" borderId="4" xfId="0" applyFont="1" applyFill="1" applyBorder="1" applyAlignment="1" applyProtection="1">
      <alignment horizontal="center" vertical="center" wrapText="1"/>
    </xf>
    <xf numFmtId="0" fontId="12" fillId="2" borderId="4" xfId="0" applyFont="1" applyFill="1" applyBorder="1" applyAlignment="1" applyProtection="1">
      <alignment horizontal="center" vertical="center" wrapText="1"/>
    </xf>
    <xf numFmtId="0" fontId="6" fillId="0" borderId="5" xfId="1" applyNumberFormat="1" applyFont="1" applyFill="1" applyBorder="1" applyAlignment="1" applyProtection="1">
      <alignment horizontal="left" vertical="center"/>
      <protection locked="0"/>
    </xf>
    <xf numFmtId="0" fontId="6" fillId="0" borderId="5" xfId="1" applyNumberFormat="1" applyFont="1" applyFill="1" applyBorder="1" applyAlignment="1" applyProtection="1">
      <alignment horizontal="center" vertical="center"/>
      <protection locked="0"/>
    </xf>
    <xf numFmtId="4" fontId="6" fillId="3" borderId="0" xfId="0" applyNumberFormat="1" applyFont="1" applyFill="1" applyAlignment="1" applyProtection="1">
      <alignment horizontal="center" vertical="center"/>
    </xf>
    <xf numFmtId="2" fontId="6" fillId="0" borderId="5" xfId="0" applyNumberFormat="1" applyFont="1" applyBorder="1" applyAlignment="1" applyProtection="1">
      <alignment horizontal="center" vertical="center"/>
      <protection locked="0"/>
    </xf>
    <xf numFmtId="0" fontId="14" fillId="0" borderId="5" xfId="0" applyNumberFormat="1" applyFont="1" applyFill="1" applyBorder="1" applyAlignment="1" applyProtection="1">
      <alignment horizontal="left" vertical="center"/>
      <protection locked="0"/>
    </xf>
    <xf numFmtId="2" fontId="6" fillId="3" borderId="0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 applyProtection="1">
      <alignment horizontal="right" vertical="center"/>
    </xf>
    <xf numFmtId="4" fontId="6" fillId="4" borderId="0" xfId="0" applyNumberFormat="1" applyFont="1" applyFill="1" applyAlignment="1" applyProtection="1">
      <alignment horizontal="center" vertical="center"/>
    </xf>
    <xf numFmtId="0" fontId="9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21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7" borderId="18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/>
    </xf>
    <xf numFmtId="0" fontId="7" fillId="0" borderId="14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0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/>
    </xf>
    <xf numFmtId="0" fontId="8" fillId="0" borderId="14" xfId="0" applyNumberFormat="1" applyFont="1" applyBorder="1" applyAlignment="1">
      <alignment vertical="center"/>
    </xf>
    <xf numFmtId="0" fontId="21" fillId="0" borderId="14" xfId="0" applyNumberFormat="1" applyFont="1" applyBorder="1" applyAlignment="1">
      <alignment vertical="center"/>
    </xf>
    <xf numFmtId="177" fontId="6" fillId="0" borderId="0" xfId="0" applyNumberFormat="1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left"/>
    </xf>
    <xf numFmtId="0" fontId="26" fillId="0" borderId="0" xfId="0" applyFont="1"/>
    <xf numFmtId="0" fontId="27" fillId="2" borderId="21" xfId="0" applyFont="1" applyFill="1" applyBorder="1" applyAlignment="1">
      <alignment horizontal="center" vertical="center"/>
    </xf>
    <xf numFmtId="0" fontId="27" fillId="2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1" xfId="0" applyNumberFormat="1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0" fillId="0" borderId="0" xfId="0" applyBorder="1"/>
    <xf numFmtId="180" fontId="6" fillId="0" borderId="21" xfId="0" applyNumberFormat="1" applyFont="1" applyBorder="1" applyAlignment="1">
      <alignment horizontal="left" vertical="center" wrapText="1"/>
    </xf>
    <xf numFmtId="181" fontId="6" fillId="0" borderId="21" xfId="0" applyNumberFormat="1" applyFont="1" applyBorder="1" applyAlignment="1">
      <alignment horizontal="left" vertical="center" wrapText="1"/>
    </xf>
    <xf numFmtId="0" fontId="27" fillId="2" borderId="22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7" fillId="9" borderId="22" xfId="0" applyFont="1" applyFill="1" applyBorder="1" applyAlignment="1">
      <alignment horizontal="center" vertic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1" fillId="0" borderId="0" xfId="0" applyFont="1" applyAlignment="1">
      <alignment horizontal="left"/>
    </xf>
    <xf numFmtId="0" fontId="33" fillId="8" borderId="0" xfId="0" applyFont="1" applyFill="1" applyAlignment="1">
      <alignment horizontal="left" vertical="center" wrapText="1"/>
    </xf>
    <xf numFmtId="0" fontId="33" fillId="0" borderId="23" xfId="0" applyFont="1" applyFill="1" applyBorder="1" applyAlignment="1">
      <alignment horizontal="center" vertical="center" wrapText="1"/>
    </xf>
    <xf numFmtId="180" fontId="33" fillId="0" borderId="23" xfId="0" applyNumberFormat="1" applyFont="1" applyFill="1" applyBorder="1" applyAlignment="1">
      <alignment horizontal="center" vertical="top"/>
    </xf>
    <xf numFmtId="0" fontId="33" fillId="0" borderId="23" xfId="0" applyFont="1" applyFill="1" applyBorder="1" applyAlignment="1">
      <alignment horizontal="center" vertical="top"/>
    </xf>
    <xf numFmtId="0" fontId="33" fillId="0" borderId="23" xfId="0" applyFont="1" applyFill="1" applyBorder="1" applyAlignment="1">
      <alignment vertical="top" wrapText="1"/>
    </xf>
    <xf numFmtId="0" fontId="33" fillId="0" borderId="23" xfId="0" applyFont="1" applyFill="1" applyBorder="1" applyAlignment="1">
      <alignment vertical="top"/>
    </xf>
    <xf numFmtId="14" fontId="33" fillId="0" borderId="23" xfId="0" applyNumberFormat="1" applyFont="1" applyFill="1" applyBorder="1" applyAlignment="1">
      <alignment horizontal="center" vertical="top"/>
    </xf>
    <xf numFmtId="9" fontId="33" fillId="0" borderId="23" xfId="4" applyFont="1" applyFill="1" applyBorder="1" applyAlignment="1">
      <alignment vertical="top"/>
    </xf>
    <xf numFmtId="44" fontId="33" fillId="0" borderId="23" xfId="3" applyFont="1" applyFill="1" applyBorder="1" applyAlignment="1">
      <alignment vertical="top"/>
    </xf>
    <xf numFmtId="0" fontId="33" fillId="10" borderId="23" xfId="0" applyFont="1" applyFill="1" applyBorder="1" applyAlignment="1">
      <alignment horizontal="center" vertical="center" wrapText="1"/>
    </xf>
    <xf numFmtId="180" fontId="33" fillId="10" borderId="23" xfId="0" applyNumberFormat="1" applyFont="1" applyFill="1" applyBorder="1" applyAlignment="1">
      <alignment horizontal="center" vertical="top" wrapText="1"/>
    </xf>
    <xf numFmtId="0" fontId="33" fillId="10" borderId="23" xfId="0" applyFont="1" applyFill="1" applyBorder="1" applyAlignment="1">
      <alignment horizontal="center" vertical="top"/>
    </xf>
    <xf numFmtId="0" fontId="34" fillId="10" borderId="23" xfId="0" applyFont="1" applyFill="1" applyBorder="1" applyAlignment="1">
      <alignment vertical="top" wrapText="1"/>
    </xf>
    <xf numFmtId="0" fontId="15" fillId="5" borderId="0" xfId="2" applyAlignment="1">
      <alignment horizontal="center"/>
    </xf>
    <xf numFmtId="0" fontId="27" fillId="2" borderId="27" xfId="0" applyFont="1" applyFill="1" applyBorder="1" applyAlignment="1">
      <alignment horizontal="center" vertical="center"/>
    </xf>
    <xf numFmtId="0" fontId="5" fillId="0" borderId="0" xfId="0" applyFont="1" applyBorder="1"/>
    <xf numFmtId="0" fontId="0" fillId="0" borderId="27" xfId="0" applyBorder="1"/>
    <xf numFmtId="0" fontId="5" fillId="0" borderId="27" xfId="0" applyFont="1" applyBorder="1"/>
    <xf numFmtId="0" fontId="27" fillId="2" borderId="28" xfId="0" applyFont="1" applyFill="1" applyBorder="1" applyAlignment="1">
      <alignment horizontal="center" vertical="center"/>
    </xf>
    <xf numFmtId="0" fontId="35" fillId="11" borderId="0" xfId="0" applyFont="1" applyFill="1" applyBorder="1"/>
    <xf numFmtId="0" fontId="0" fillId="0" borderId="23" xfId="0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9" fontId="0" fillId="0" borderId="23" xfId="0" applyNumberFormat="1" applyFont="1" applyFill="1" applyBorder="1" applyAlignment="1">
      <alignment horizontal="center" vertical="center"/>
    </xf>
    <xf numFmtId="9" fontId="0" fillId="0" borderId="23" xfId="0" applyNumberFormat="1" applyBorder="1" applyAlignment="1">
      <alignment horizontal="center"/>
    </xf>
    <xf numFmtId="0" fontId="0" fillId="0" borderId="23" xfId="0" applyBorder="1"/>
    <xf numFmtId="14" fontId="0" fillId="0" borderId="23" xfId="0" applyNumberFormat="1" applyFont="1" applyFill="1" applyBorder="1" applyAlignment="1">
      <alignment horizontal="center" vertical="center"/>
    </xf>
    <xf numFmtId="14" fontId="0" fillId="0" borderId="23" xfId="0" applyNumberFormat="1" applyBorder="1"/>
    <xf numFmtId="0" fontId="6" fillId="0" borderId="29" xfId="0" applyFont="1" applyBorder="1" applyAlignment="1">
      <alignment horizontal="left" vertical="center" wrapText="1"/>
    </xf>
    <xf numFmtId="0" fontId="0" fillId="0" borderId="0" xfId="0" applyNumberFormat="1"/>
    <xf numFmtId="0" fontId="36" fillId="2" borderId="0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vertical="center"/>
    </xf>
    <xf numFmtId="0" fontId="36" fillId="2" borderId="0" xfId="0" applyFont="1" applyFill="1" applyBorder="1" applyAlignment="1">
      <alignment horizontal="center" wrapText="1"/>
    </xf>
    <xf numFmtId="0" fontId="36" fillId="2" borderId="0" xfId="0" applyFont="1" applyFill="1" applyBorder="1" applyAlignment="1">
      <alignment horizontal="right" vertical="center" wrapText="1"/>
    </xf>
    <xf numFmtId="0" fontId="36" fillId="2" borderId="0" xfId="0" applyFont="1" applyFill="1" applyBorder="1" applyAlignment="1">
      <alignment horizontal="right" vertical="center"/>
    </xf>
    <xf numFmtId="0" fontId="5" fillId="0" borderId="23" xfId="0" applyNumberFormat="1" applyFont="1" applyFill="1" applyBorder="1" applyAlignment="1">
      <alignment horizontal="center"/>
    </xf>
    <xf numFmtId="0" fontId="5" fillId="3" borderId="0" xfId="0" applyFont="1" applyFill="1" applyBorder="1"/>
    <xf numFmtId="0" fontId="5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2" fontId="5" fillId="3" borderId="0" xfId="0" applyNumberFormat="1" applyFont="1" applyFill="1" applyBorder="1"/>
    <xf numFmtId="2" fontId="38" fillId="3" borderId="0" xfId="0" applyNumberFormat="1" applyFont="1" applyFill="1" applyBorder="1"/>
    <xf numFmtId="0" fontId="5" fillId="0" borderId="2" xfId="0" applyFont="1" applyFill="1" applyBorder="1"/>
    <xf numFmtId="0" fontId="6" fillId="0" borderId="26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13" fillId="0" borderId="0" xfId="0" applyFont="1"/>
    <xf numFmtId="0" fontId="44" fillId="0" borderId="0" xfId="0" applyFont="1" applyBorder="1" applyAlignment="1">
      <alignment horizontal="center"/>
    </xf>
    <xf numFmtId="0" fontId="45" fillId="0" borderId="0" xfId="0" applyFont="1" applyBorder="1" applyAlignment="1">
      <alignment horizontal="right"/>
    </xf>
    <xf numFmtId="0" fontId="36" fillId="2" borderId="0" xfId="0" applyFont="1" applyFill="1" applyBorder="1" applyAlignment="1">
      <alignment horizontal="left" vertical="top"/>
    </xf>
    <xf numFmtId="0" fontId="46" fillId="12" borderId="0" xfId="0" applyFont="1" applyFill="1" applyBorder="1"/>
    <xf numFmtId="0" fontId="47" fillId="13" borderId="30" xfId="0" applyFont="1" applyFill="1" applyBorder="1" applyAlignment="1">
      <alignment horizontal="right" vertical="center"/>
    </xf>
    <xf numFmtId="0" fontId="47" fillId="13" borderId="30" xfId="0" applyFont="1" applyFill="1" applyBorder="1" applyAlignment="1">
      <alignment horizontal="right" vertical="center" indent="1"/>
    </xf>
    <xf numFmtId="0" fontId="48" fillId="13" borderId="30" xfId="0" applyFont="1" applyFill="1" applyBorder="1" applyAlignment="1">
      <alignment horizontal="right" vertical="center" indent="1"/>
    </xf>
    <xf numFmtId="0" fontId="50" fillId="14" borderId="0" xfId="0" applyFont="1" applyFill="1"/>
    <xf numFmtId="0" fontId="44" fillId="0" borderId="0" xfId="0" applyFont="1" applyBorder="1" applyAlignment="1">
      <alignment horizontal="right"/>
    </xf>
    <xf numFmtId="0" fontId="51" fillId="3" borderId="33" xfId="0" applyFont="1" applyFill="1" applyBorder="1" applyAlignment="1">
      <alignment horizontal="center" vertical="center"/>
    </xf>
    <xf numFmtId="0" fontId="52" fillId="3" borderId="34" xfId="0" applyFont="1" applyFill="1" applyBorder="1" applyAlignment="1">
      <alignment horizontal="center" vertical="center"/>
    </xf>
    <xf numFmtId="0" fontId="52" fillId="15" borderId="35" xfId="0" applyFont="1" applyFill="1" applyBorder="1" applyAlignment="1">
      <alignment horizontal="center" vertical="center"/>
    </xf>
    <xf numFmtId="0" fontId="52" fillId="3" borderId="35" xfId="0" applyFont="1" applyFill="1" applyBorder="1" applyAlignment="1">
      <alignment horizontal="center" vertical="center"/>
    </xf>
    <xf numFmtId="0" fontId="52" fillId="15" borderId="36" xfId="0" applyFont="1" applyFill="1" applyBorder="1" applyAlignment="1">
      <alignment horizontal="center" vertical="center"/>
    </xf>
    <xf numFmtId="0" fontId="52" fillId="3" borderId="36" xfId="0" applyFont="1" applyFill="1" applyBorder="1" applyAlignment="1">
      <alignment horizontal="center" vertical="center"/>
    </xf>
    <xf numFmtId="0" fontId="51" fillId="3" borderId="37" xfId="0" applyFont="1" applyFill="1" applyBorder="1" applyAlignment="1">
      <alignment horizontal="center" vertical="center"/>
    </xf>
    <xf numFmtId="0" fontId="51" fillId="3" borderId="40" xfId="0" applyFont="1" applyFill="1" applyBorder="1" applyAlignment="1">
      <alignment horizontal="center" vertical="center"/>
    </xf>
    <xf numFmtId="182" fontId="53" fillId="3" borderId="42" xfId="0" applyNumberFormat="1" applyFont="1" applyFill="1" applyBorder="1" applyAlignment="1">
      <alignment horizontal="center" vertical="center"/>
    </xf>
    <xf numFmtId="182" fontId="53" fillId="15" borderId="42" xfId="0" applyNumberFormat="1" applyFont="1" applyFill="1" applyBorder="1" applyAlignment="1">
      <alignment horizontal="center" vertical="center"/>
    </xf>
    <xf numFmtId="0" fontId="51" fillId="3" borderId="43" xfId="0" applyFont="1" applyFill="1" applyBorder="1" applyAlignment="1">
      <alignment vertical="center"/>
    </xf>
    <xf numFmtId="0" fontId="48" fillId="13" borderId="44" xfId="0" applyFont="1" applyFill="1" applyBorder="1" applyAlignment="1">
      <alignment horizontal="center" vertical="center" wrapText="1"/>
    </xf>
    <xf numFmtId="0" fontId="54" fillId="15" borderId="45" xfId="0" applyFont="1" applyFill="1" applyBorder="1" applyAlignment="1" applyProtection="1">
      <alignment vertical="center"/>
      <protection locked="0"/>
    </xf>
    <xf numFmtId="0" fontId="54" fillId="15" borderId="45" xfId="0" applyFont="1" applyFill="1" applyBorder="1" applyAlignment="1"/>
    <xf numFmtId="0" fontId="54" fillId="16" borderId="45" xfId="0" applyFont="1" applyFill="1" applyBorder="1" applyAlignment="1"/>
    <xf numFmtId="0" fontId="54" fillId="17" borderId="46" xfId="0" applyFont="1" applyFill="1" applyBorder="1" applyAlignment="1"/>
    <xf numFmtId="0" fontId="54" fillId="16" borderId="45" xfId="0" applyFont="1" applyFill="1" applyBorder="1"/>
    <xf numFmtId="0" fontId="54" fillId="14" borderId="45" xfId="0" applyFont="1" applyFill="1" applyBorder="1"/>
    <xf numFmtId="0" fontId="54" fillId="14" borderId="48" xfId="0" applyFont="1" applyFill="1" applyBorder="1"/>
    <xf numFmtId="0" fontId="48" fillId="13" borderId="49" xfId="0" applyFont="1" applyFill="1" applyBorder="1" applyAlignment="1">
      <alignment horizontal="center" vertical="center" wrapText="1"/>
    </xf>
    <xf numFmtId="0" fontId="54" fillId="14" borderId="50" xfId="0" applyFont="1" applyFill="1" applyBorder="1" applyAlignment="1"/>
    <xf numFmtId="0" fontId="54" fillId="15" borderId="50" xfId="0" applyFont="1" applyFill="1" applyBorder="1" applyAlignment="1" applyProtection="1">
      <alignment vertical="center"/>
      <protection locked="0"/>
    </xf>
    <xf numFmtId="0" fontId="54" fillId="15" borderId="50" xfId="0" applyFont="1" applyFill="1" applyBorder="1" applyAlignment="1"/>
    <xf numFmtId="0" fontId="54" fillId="16" borderId="50" xfId="0" applyFont="1" applyFill="1" applyBorder="1" applyAlignment="1"/>
    <xf numFmtId="0" fontId="54" fillId="17" borderId="0" xfId="0" applyFont="1" applyFill="1" applyBorder="1" applyAlignment="1"/>
    <xf numFmtId="0" fontId="54" fillId="16" borderId="50" xfId="0" applyFont="1" applyFill="1" applyBorder="1"/>
    <xf numFmtId="0" fontId="54" fillId="14" borderId="50" xfId="0" applyFont="1" applyFill="1" applyBorder="1"/>
    <xf numFmtId="0" fontId="54" fillId="14" borderId="52" xfId="0" applyFont="1" applyFill="1" applyBorder="1"/>
    <xf numFmtId="0" fontId="54" fillId="17" borderId="53" xfId="0" applyFont="1" applyFill="1" applyBorder="1" applyAlignment="1"/>
    <xf numFmtId="0" fontId="48" fillId="19" borderId="49" xfId="0" applyFont="1" applyFill="1" applyBorder="1" applyAlignment="1">
      <alignment horizontal="center" vertical="center" wrapText="1"/>
    </xf>
    <xf numFmtId="0" fontId="54" fillId="18" borderId="50" xfId="0" applyFont="1" applyFill="1" applyBorder="1" applyAlignment="1" applyProtection="1">
      <alignment vertical="center"/>
      <protection locked="0"/>
    </xf>
    <xf numFmtId="0" fontId="54" fillId="18" borderId="50" xfId="0" applyFont="1" applyFill="1" applyBorder="1" applyAlignment="1"/>
    <xf numFmtId="0" fontId="54" fillId="20" borderId="50" xfId="0" applyFont="1" applyFill="1" applyBorder="1" applyAlignment="1"/>
    <xf numFmtId="0" fontId="54" fillId="20" borderId="50" xfId="0" applyFont="1" applyFill="1" applyBorder="1"/>
    <xf numFmtId="0" fontId="54" fillId="20" borderId="50" xfId="0" applyFont="1" applyFill="1" applyBorder="1" applyAlignment="1" applyProtection="1">
      <alignment vertical="center"/>
      <protection locked="0"/>
    </xf>
    <xf numFmtId="0" fontId="54" fillId="3" borderId="50" xfId="0" applyFont="1" applyFill="1" applyBorder="1" applyAlignment="1" applyProtection="1">
      <alignment vertical="center"/>
      <protection locked="0"/>
    </xf>
    <xf numFmtId="0" fontId="54" fillId="3" borderId="50" xfId="0" applyFont="1" applyFill="1" applyBorder="1"/>
    <xf numFmtId="0" fontId="48" fillId="13" borderId="49" xfId="0" applyFont="1" applyFill="1" applyBorder="1" applyAlignment="1">
      <alignment vertical="center" wrapText="1"/>
    </xf>
    <xf numFmtId="0" fontId="48" fillId="13" borderId="55" xfId="0" applyFont="1" applyFill="1" applyBorder="1" applyAlignment="1">
      <alignment vertical="center" wrapText="1"/>
    </xf>
    <xf numFmtId="0" fontId="54" fillId="14" borderId="56" xfId="0" applyFont="1" applyFill="1" applyBorder="1"/>
    <xf numFmtId="0" fontId="54" fillId="16" borderId="56" xfId="0" applyFont="1" applyFill="1" applyBorder="1"/>
    <xf numFmtId="0" fontId="54" fillId="3" borderId="56" xfId="0" applyFont="1" applyFill="1" applyBorder="1" applyAlignment="1" applyProtection="1">
      <alignment vertical="center"/>
      <protection locked="0"/>
    </xf>
    <xf numFmtId="0" fontId="54" fillId="14" borderId="59" xfId="0" applyFont="1" applyFill="1" applyBorder="1"/>
    <xf numFmtId="183" fontId="53" fillId="3" borderId="39" xfId="0" applyNumberFormat="1" applyFont="1" applyFill="1" applyBorder="1" applyAlignment="1">
      <alignment horizontal="center" vertical="center"/>
    </xf>
    <xf numFmtId="183" fontId="53" fillId="15" borderId="39" xfId="0" applyNumberFormat="1" applyFont="1" applyFill="1" applyBorder="1" applyAlignment="1">
      <alignment horizontal="center" vertical="center"/>
    </xf>
    <xf numFmtId="0" fontId="9" fillId="0" borderId="0" xfId="0" applyFont="1" applyAlignment="1" applyProtection="1">
      <alignment horizontal="center" wrapText="1"/>
    </xf>
    <xf numFmtId="0" fontId="9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27" fillId="2" borderId="60" xfId="0" applyFont="1" applyFill="1" applyBorder="1" applyAlignment="1">
      <alignment horizontal="center" vertical="center"/>
    </xf>
    <xf numFmtId="0" fontId="27" fillId="2" borderId="60" xfId="0" applyFont="1" applyFill="1" applyBorder="1" applyAlignment="1">
      <alignment horizontal="center" vertical="center" wrapText="1"/>
    </xf>
    <xf numFmtId="0" fontId="6" fillId="0" borderId="60" xfId="0" applyNumberFormat="1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/>
    </xf>
    <xf numFmtId="0" fontId="6" fillId="0" borderId="60" xfId="0" applyFont="1" applyBorder="1" applyAlignment="1">
      <alignment horizontal="left" vertical="center" wrapText="1"/>
    </xf>
    <xf numFmtId="14" fontId="6" fillId="0" borderId="60" xfId="0" applyNumberFormat="1" applyFont="1" applyBorder="1" applyAlignment="1">
      <alignment horizontal="center" vertical="center"/>
    </xf>
    <xf numFmtId="180" fontId="6" fillId="0" borderId="60" xfId="0" applyNumberFormat="1" applyFont="1" applyBorder="1" applyAlignment="1">
      <alignment horizontal="center" vertical="center"/>
    </xf>
    <xf numFmtId="0" fontId="6" fillId="0" borderId="60" xfId="0" applyFont="1" applyBorder="1" applyAlignment="1">
      <alignment horizontal="left" vertical="center"/>
    </xf>
    <xf numFmtId="0" fontId="15" fillId="5" borderId="0" xfId="2" applyAlignment="1"/>
    <xf numFmtId="0" fontId="5" fillId="22" borderId="0" xfId="0" applyFont="1" applyFill="1"/>
    <xf numFmtId="184" fontId="5" fillId="23" borderId="63" xfId="0" applyNumberFormat="1" applyFont="1" applyFill="1" applyBorder="1"/>
    <xf numFmtId="184" fontId="5" fillId="23" borderId="8" xfId="0" applyNumberFormat="1" applyFont="1" applyFill="1" applyBorder="1"/>
    <xf numFmtId="184" fontId="5" fillId="23" borderId="5" xfId="0" applyNumberFormat="1" applyFont="1" applyFill="1" applyBorder="1"/>
    <xf numFmtId="184" fontId="5" fillId="24" borderId="62" xfId="0" applyNumberFormat="1" applyFont="1" applyFill="1" applyBorder="1"/>
    <xf numFmtId="0" fontId="7" fillId="0" borderId="0" xfId="0" applyNumberFormat="1" applyFont="1" applyFill="1" applyBorder="1" applyAlignment="1">
      <alignment horizontal="center" vertical="center"/>
    </xf>
    <xf numFmtId="0" fontId="7" fillId="25" borderId="61" xfId="0" applyNumberFormat="1" applyFont="1" applyFill="1" applyBorder="1" applyAlignment="1">
      <alignment horizontal="center" vertical="center"/>
    </xf>
    <xf numFmtId="176" fontId="6" fillId="25" borderId="61" xfId="0" applyNumberFormat="1" applyFont="1" applyFill="1" applyBorder="1" applyAlignment="1">
      <alignment horizontal="center" vertical="center"/>
    </xf>
    <xf numFmtId="10" fontId="6" fillId="25" borderId="61" xfId="0" applyNumberFormat="1" applyFont="1" applyFill="1" applyBorder="1" applyAlignment="1">
      <alignment horizontal="center" vertical="center"/>
    </xf>
    <xf numFmtId="179" fontId="6" fillId="25" borderId="61" xfId="0" applyNumberFormat="1" applyFont="1" applyFill="1" applyBorder="1" applyAlignment="1">
      <alignment horizontal="center" vertical="center"/>
    </xf>
    <xf numFmtId="178" fontId="6" fillId="0" borderId="61" xfId="0" applyNumberFormat="1" applyFont="1" applyFill="1" applyBorder="1" applyAlignment="1">
      <alignment horizontal="left" vertical="center"/>
    </xf>
    <xf numFmtId="0" fontId="27" fillId="2" borderId="65" xfId="0" applyFont="1" applyFill="1" applyBorder="1" applyAlignment="1">
      <alignment horizontal="center" vertical="center"/>
    </xf>
    <xf numFmtId="0" fontId="0" fillId="0" borderId="64" xfId="0" applyBorder="1"/>
    <xf numFmtId="0" fontId="0" fillId="0" borderId="0" xfId="0" applyAlignment="1">
      <alignment wrapText="1"/>
    </xf>
    <xf numFmtId="0" fontId="56" fillId="25" borderId="0" xfId="0" applyFont="1" applyFill="1" applyBorder="1" applyAlignment="1">
      <alignment horizontal="left" vertical="center"/>
    </xf>
    <xf numFmtId="14" fontId="0" fillId="0" borderId="0" xfId="0" applyNumberFormat="1"/>
    <xf numFmtId="9" fontId="0" fillId="0" borderId="0" xfId="0" applyNumberFormat="1"/>
    <xf numFmtId="0" fontId="34" fillId="10" borderId="24" xfId="0" applyFont="1" applyFill="1" applyBorder="1" applyAlignment="1">
      <alignment vertical="top" wrapText="1"/>
    </xf>
    <xf numFmtId="0" fontId="0" fillId="0" borderId="0" xfId="0" applyFill="1" applyBorder="1"/>
    <xf numFmtId="14" fontId="49" fillId="0" borderId="30" xfId="0" applyNumberFormat="1" applyFont="1" applyBorder="1" applyAlignment="1">
      <alignment horizontal="center" vertical="center"/>
    </xf>
    <xf numFmtId="14" fontId="49" fillId="0" borderId="31" xfId="0" applyNumberFormat="1" applyFont="1" applyBorder="1" applyAlignment="1">
      <alignment horizontal="center" vertical="center"/>
    </xf>
    <xf numFmtId="14" fontId="49" fillId="0" borderId="32" xfId="0" applyNumberFormat="1" applyFont="1" applyBorder="1" applyAlignment="1">
      <alignment horizontal="center" vertical="center"/>
    </xf>
    <xf numFmtId="0" fontId="51" fillId="3" borderId="38" xfId="0" applyFont="1" applyFill="1" applyBorder="1" applyAlignment="1">
      <alignment horizontal="center" vertical="center"/>
    </xf>
    <xf numFmtId="0" fontId="51" fillId="3" borderId="41" xfId="0" applyFont="1" applyFill="1" applyBorder="1" applyAlignment="1">
      <alignment horizontal="center" vertical="center"/>
    </xf>
    <xf numFmtId="0" fontId="48" fillId="18" borderId="47" xfId="0" applyFont="1" applyFill="1" applyBorder="1" applyAlignment="1">
      <alignment horizontal="center" vertical="center" wrapText="1"/>
    </xf>
    <xf numFmtId="0" fontId="48" fillId="18" borderId="51" xfId="0" applyFont="1" applyFill="1" applyBorder="1" applyAlignment="1">
      <alignment horizontal="center" vertical="center"/>
    </xf>
    <xf numFmtId="0" fontId="48" fillId="18" borderId="58" xfId="0" applyFont="1" applyFill="1" applyBorder="1" applyAlignment="1">
      <alignment horizontal="center" vertical="center"/>
    </xf>
    <xf numFmtId="0" fontId="55" fillId="21" borderId="54" xfId="0" applyFont="1" applyFill="1" applyBorder="1" applyAlignment="1">
      <alignment horizontal="center" vertical="center" textRotation="90"/>
    </xf>
    <xf numFmtId="0" fontId="55" fillId="21" borderId="0" xfId="0" applyFont="1" applyFill="1" applyBorder="1" applyAlignment="1">
      <alignment horizontal="center" vertical="center" textRotation="90"/>
    </xf>
    <xf numFmtId="0" fontId="55" fillId="21" borderId="57" xfId="0" applyFont="1" applyFill="1" applyBorder="1" applyAlignment="1">
      <alignment horizontal="center" vertical="center" textRotation="90"/>
    </xf>
    <xf numFmtId="0" fontId="34" fillId="10" borderId="24" xfId="0" applyFont="1" applyFill="1" applyBorder="1" applyAlignment="1">
      <alignment horizontal="left" vertical="top"/>
    </xf>
    <xf numFmtId="0" fontId="34" fillId="10" borderId="25" xfId="0" applyFont="1" applyFill="1" applyBorder="1" applyAlignment="1">
      <alignment horizontal="left" vertical="top"/>
    </xf>
    <xf numFmtId="0" fontId="34" fillId="10" borderId="26" xfId="0" applyFont="1" applyFill="1" applyBorder="1" applyAlignment="1">
      <alignment horizontal="left" vertical="top"/>
    </xf>
    <xf numFmtId="0" fontId="36" fillId="2" borderId="0" xfId="0" applyFont="1" applyFill="1" applyBorder="1" applyAlignment="1">
      <alignment horizontal="left" wrapText="1"/>
    </xf>
    <xf numFmtId="0" fontId="43" fillId="0" borderId="0" xfId="0" applyFont="1" applyBorder="1" applyAlignment="1">
      <alignment horizontal="center"/>
    </xf>
    <xf numFmtId="0" fontId="7" fillId="3" borderId="6" xfId="0" applyFont="1" applyFill="1" applyBorder="1" applyAlignment="1" applyProtection="1">
      <alignment horizontal="right" vertical="center"/>
    </xf>
    <xf numFmtId="0" fontId="19" fillId="7" borderId="7" xfId="0" applyFont="1" applyFill="1" applyBorder="1" applyAlignment="1">
      <alignment horizontal="center" vertical="center"/>
    </xf>
    <xf numFmtId="0" fontId="17" fillId="6" borderId="18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20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7" fillId="0" borderId="61" xfId="0" applyNumberFormat="1" applyFont="1" applyFill="1" applyBorder="1" applyAlignment="1">
      <alignment horizontal="left" vertical="center"/>
    </xf>
    <xf numFmtId="0" fontId="21" fillId="0" borderId="14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</cellXfs>
  <cellStyles count="5">
    <cellStyle name="Normal_Sheet1" xfId="1"/>
    <cellStyle name="百分比" xfId="4" builtinId="5"/>
    <cellStyle name="常规" xfId="0" builtinId="0"/>
    <cellStyle name="货币" xfId="3" builtinId="4"/>
    <cellStyle name="着色 1" xfId="2" builtinId="29"/>
  </cellStyles>
  <dxfs count="26"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lor rgb="FF0070C0"/>
      </font>
    </dxf>
    <dxf>
      <font>
        <color rgb="FF0070C0"/>
      </font>
    </dxf>
    <dxf>
      <fill>
        <patternFill>
          <bgColor rgb="FF00B0F0"/>
        </patternFill>
      </fill>
    </dxf>
    <dxf>
      <font>
        <strike/>
      </font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00B050"/>
      </font>
      <numFmt numFmtId="0" formatCode="General"/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condense val="0"/>
        <extend val="0"/>
      </font>
      <fill>
        <patternFill>
          <bgColor indexed="13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rgb="FFFFC000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00B050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93097697666319"/>
          <c:y val="9.637476942265287E-2"/>
          <c:w val="0.82535708762073934"/>
          <c:h val="0.8198541312846434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待办事项!$B$5:$D$5</c:f>
              <c:strCache>
                <c:ptCount val="3"/>
                <c:pt idx="0">
                  <c:v>按时完成</c:v>
                </c:pt>
                <c:pt idx="1">
                  <c:v>超时完成</c:v>
                </c:pt>
                <c:pt idx="2">
                  <c:v>其他</c:v>
                </c:pt>
              </c:strCache>
            </c:strRef>
          </c:cat>
          <c:val>
            <c:numRef>
              <c:f>待办事项!$B$6:$D$6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065111706397528E-2"/>
          <c:y val="0.10814557426045725"/>
          <c:w val="0.82633680925019504"/>
          <c:h val="0.8180455172375048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待办事项!$G$5:$I$5</c:f>
              <c:strCache>
                <c:ptCount val="3"/>
                <c:pt idx="0">
                  <c:v>高</c:v>
                </c:pt>
                <c:pt idx="1">
                  <c:v>中</c:v>
                </c:pt>
                <c:pt idx="2">
                  <c:v>低</c:v>
                </c:pt>
              </c:strCache>
            </c:strRef>
          </c:cat>
          <c:val>
            <c:numRef>
              <c:f>待办事项!$G$6:$I$6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45607508367473"/>
          <c:y val="0.16058512669129937"/>
          <c:w val="0.47548727837591731"/>
          <c:h val="0.80898877223680377"/>
        </c:manualLayout>
      </c:layout>
      <c:radarChart>
        <c:radarStyle val="marker"/>
        <c:varyColors val="0"/>
        <c:ser>
          <c:idx val="1"/>
          <c:order val="0"/>
          <c:tx>
            <c:strRef>
              <c:f>缺陷!$E$9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缺陷!$G$7:$N$7</c:f>
              <c:strCache>
                <c:ptCount val="8"/>
                <c:pt idx="0">
                  <c:v>Open</c:v>
                </c:pt>
                <c:pt idx="1">
                  <c:v>Reopen</c:v>
                </c:pt>
                <c:pt idx="2">
                  <c:v>Fixed</c:v>
                </c:pt>
                <c:pt idx="3">
                  <c:v>Deferred</c:v>
                </c:pt>
                <c:pt idx="4">
                  <c:v>Closed</c:v>
                </c:pt>
                <c:pt idx="5">
                  <c:v>Rejected</c:v>
                </c:pt>
                <c:pt idx="6">
                  <c:v>Invalid</c:v>
                </c:pt>
                <c:pt idx="7">
                  <c:v>New</c:v>
                </c:pt>
              </c:strCache>
            </c:strRef>
          </c:cat>
          <c:val>
            <c:numRef>
              <c:f>缺陷!$G$9:$N$9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1"/>
          <c:tx>
            <c:strRef>
              <c:f>缺陷!$E$10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缺陷!$G$7:$N$7</c:f>
              <c:strCache>
                <c:ptCount val="8"/>
                <c:pt idx="0">
                  <c:v>Open</c:v>
                </c:pt>
                <c:pt idx="1">
                  <c:v>Reopen</c:v>
                </c:pt>
                <c:pt idx="2">
                  <c:v>Fixed</c:v>
                </c:pt>
                <c:pt idx="3">
                  <c:v>Deferred</c:v>
                </c:pt>
                <c:pt idx="4">
                  <c:v>Closed</c:v>
                </c:pt>
                <c:pt idx="5">
                  <c:v>Rejected</c:v>
                </c:pt>
                <c:pt idx="6">
                  <c:v>Invalid</c:v>
                </c:pt>
                <c:pt idx="7">
                  <c:v>New</c:v>
                </c:pt>
              </c:strCache>
            </c:strRef>
          </c:cat>
          <c:val>
            <c:numRef>
              <c:f>缺陷!$G$10:$N$10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3"/>
          <c:order val="2"/>
          <c:tx>
            <c:strRef>
              <c:f>缺陷!$E$11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缺陷!$G$7:$N$7</c:f>
              <c:strCache>
                <c:ptCount val="8"/>
                <c:pt idx="0">
                  <c:v>Open</c:v>
                </c:pt>
                <c:pt idx="1">
                  <c:v>Reopen</c:v>
                </c:pt>
                <c:pt idx="2">
                  <c:v>Fixed</c:v>
                </c:pt>
                <c:pt idx="3">
                  <c:v>Deferred</c:v>
                </c:pt>
                <c:pt idx="4">
                  <c:v>Closed</c:v>
                </c:pt>
                <c:pt idx="5">
                  <c:v>Rejected</c:v>
                </c:pt>
                <c:pt idx="6">
                  <c:v>Invalid</c:v>
                </c:pt>
                <c:pt idx="7">
                  <c:v>New</c:v>
                </c:pt>
              </c:strCache>
            </c:strRef>
          </c:cat>
          <c:val>
            <c:numRef>
              <c:f>缺陷!$G$11:$N$11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3"/>
          <c:tx>
            <c:strRef>
              <c:f>缺陷!$E$12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缺陷!$G$7:$N$7</c:f>
              <c:strCache>
                <c:ptCount val="8"/>
                <c:pt idx="0">
                  <c:v>Open</c:v>
                </c:pt>
                <c:pt idx="1">
                  <c:v>Reopen</c:v>
                </c:pt>
                <c:pt idx="2">
                  <c:v>Fixed</c:v>
                </c:pt>
                <c:pt idx="3">
                  <c:v>Deferred</c:v>
                </c:pt>
                <c:pt idx="4">
                  <c:v>Closed</c:v>
                </c:pt>
                <c:pt idx="5">
                  <c:v>Rejected</c:v>
                </c:pt>
                <c:pt idx="6">
                  <c:v>Invalid</c:v>
                </c:pt>
                <c:pt idx="7">
                  <c:v>New</c:v>
                </c:pt>
              </c:strCache>
            </c:strRef>
          </c:cat>
          <c:val>
            <c:numRef>
              <c:f>缺陷!$G$12:$N$12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5"/>
          <c:order val="4"/>
          <c:tx>
            <c:strRef>
              <c:f>缺陷!$E$13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缺陷!$G$7:$N$7</c:f>
              <c:strCache>
                <c:ptCount val="8"/>
                <c:pt idx="0">
                  <c:v>Open</c:v>
                </c:pt>
                <c:pt idx="1">
                  <c:v>Reopen</c:v>
                </c:pt>
                <c:pt idx="2">
                  <c:v>Fixed</c:v>
                </c:pt>
                <c:pt idx="3">
                  <c:v>Deferred</c:v>
                </c:pt>
                <c:pt idx="4">
                  <c:v>Closed</c:v>
                </c:pt>
                <c:pt idx="5">
                  <c:v>Rejected</c:v>
                </c:pt>
                <c:pt idx="6">
                  <c:v>Invalid</c:v>
                </c:pt>
                <c:pt idx="7">
                  <c:v>New</c:v>
                </c:pt>
              </c:strCache>
            </c:strRef>
          </c:cat>
          <c:val>
            <c:numRef>
              <c:f>缺陷!$G$13:$N$13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69488"/>
        <c:axId val="93970048"/>
      </c:radarChart>
      <c:catAx>
        <c:axId val="9396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70048"/>
        <c:crosses val="autoZero"/>
        <c:auto val="1"/>
        <c:lblAlgn val="ctr"/>
        <c:lblOffset val="100"/>
        <c:noMultiLvlLbl val="0"/>
      </c:catAx>
      <c:valAx>
        <c:axId val="939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缺陷!$G$7:$N$7</c:f>
              <c:strCache>
                <c:ptCount val="8"/>
                <c:pt idx="0">
                  <c:v>Open</c:v>
                </c:pt>
                <c:pt idx="1">
                  <c:v>Reopen</c:v>
                </c:pt>
                <c:pt idx="2">
                  <c:v>Fixed</c:v>
                </c:pt>
                <c:pt idx="3">
                  <c:v>Deferred</c:v>
                </c:pt>
                <c:pt idx="4">
                  <c:v>Closed</c:v>
                </c:pt>
                <c:pt idx="5">
                  <c:v>Rejected</c:v>
                </c:pt>
                <c:pt idx="6">
                  <c:v>Invalid</c:v>
                </c:pt>
                <c:pt idx="7">
                  <c:v>New</c:v>
                </c:pt>
              </c:strCache>
            </c:strRef>
          </c:cat>
          <c:val>
            <c:numRef>
              <c:f>缺陷!$G$8:$N$8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66062238303759E-2"/>
          <c:y val="7.8358422109001097E-2"/>
          <c:w val="0.76623479692157126"/>
          <c:h val="0.8497716732776824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缺陷!$E$9:$E$13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缺陷!$F$9:$F$13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自信心范围图!$B$1</c:f>
              <c:strCache>
                <c:ptCount val="1"/>
                <c:pt idx="0">
                  <c:v>可能性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自信心范围图!$A$2:$A$12</c:f>
              <c:numCache>
                <c:formatCode>m/d/yyyy</c:formatCode>
                <c:ptCount val="1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</c:numCache>
            </c:numRef>
          </c:cat>
          <c:val>
            <c:numRef>
              <c:f>自信心范围图!$B$2:$B$12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0.4</c:v>
                </c:pt>
                <c:pt idx="6">
                  <c:v>0.6</c:v>
                </c:pt>
                <c:pt idx="7">
                  <c:v>0.75</c:v>
                </c:pt>
                <c:pt idx="8">
                  <c:v>0.85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35504"/>
        <c:axId val="194536064"/>
      </c:lineChart>
      <c:dateAx>
        <c:axId val="194535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536064"/>
        <c:crosses val="autoZero"/>
        <c:auto val="1"/>
        <c:lblOffset val="100"/>
        <c:baseTimeUnit val="months"/>
      </c:dateAx>
      <c:valAx>
        <c:axId val="194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5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$G$2" fmlaRange="版本" noThreeD="1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38100</xdr:rowOff>
        </xdr:from>
        <xdr:to>
          <xdr:col>4</xdr:col>
          <xdr:colOff>571500</xdr:colOff>
          <xdr:row>4</xdr:row>
          <xdr:rowOff>161925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28576</xdr:colOff>
      <xdr:row>12</xdr:row>
      <xdr:rowOff>9524</xdr:rowOff>
    </xdr:from>
    <xdr:to>
      <xdr:col>6</xdr:col>
      <xdr:colOff>123825</xdr:colOff>
      <xdr:row>25</xdr:row>
      <xdr:rowOff>76200</xdr:rowOff>
    </xdr:to>
    <xdr:graphicFrame macro="">
      <xdr:nvGraphicFramePr>
        <xdr:cNvPr id="2" name="图表 1" title="按状态统计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12</xdr:row>
      <xdr:rowOff>9524</xdr:rowOff>
    </xdr:from>
    <xdr:to>
      <xdr:col>10</xdr:col>
      <xdr:colOff>190500</xdr:colOff>
      <xdr:row>25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66674</xdr:colOff>
      <xdr:row>28</xdr:row>
      <xdr:rowOff>9525</xdr:rowOff>
    </xdr:from>
    <xdr:to>
      <xdr:col>16</xdr:col>
      <xdr:colOff>542925</xdr:colOff>
      <xdr:row>42</xdr:row>
      <xdr:rowOff>28576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23813</xdr:colOff>
      <xdr:row>28</xdr:row>
      <xdr:rowOff>9525</xdr:rowOff>
    </xdr:from>
    <xdr:to>
      <xdr:col>6</xdr:col>
      <xdr:colOff>57151</xdr:colOff>
      <xdr:row>41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66675</xdr:colOff>
      <xdr:row>28</xdr:row>
      <xdr:rowOff>0</xdr:rowOff>
    </xdr:from>
    <xdr:to>
      <xdr:col>10</xdr:col>
      <xdr:colOff>66675</xdr:colOff>
      <xdr:row>41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642937</xdr:colOff>
      <xdr:row>0</xdr:row>
      <xdr:rowOff>119062</xdr:rowOff>
    </xdr:from>
    <xdr:to>
      <xdr:col>10</xdr:col>
      <xdr:colOff>414337</xdr:colOff>
      <xdr:row>16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29"/>
  <sheetViews>
    <sheetView topLeftCell="A10" workbookViewId="0">
      <selection activeCell="L14" sqref="L14"/>
    </sheetView>
  </sheetViews>
  <sheetFormatPr defaultRowHeight="13.5" x14ac:dyDescent="0.15"/>
  <cols>
    <col min="2" max="2" width="12.625" customWidth="1"/>
    <col min="8" max="8" width="9.875" customWidth="1"/>
    <col min="13" max="13" width="13.625" customWidth="1"/>
  </cols>
  <sheetData>
    <row r="2" spans="2:14" x14ac:dyDescent="0.15">
      <c r="G2">
        <v>2</v>
      </c>
    </row>
    <row r="13" spans="2:14" ht="24.75" x14ac:dyDescent="0.4">
      <c r="B13" s="113" t="s">
        <v>83</v>
      </c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</row>
    <row r="14" spans="2:14" ht="16.5" x14ac:dyDescent="0.3">
      <c r="B14" s="84" t="s">
        <v>177</v>
      </c>
      <c r="C14" s="84"/>
      <c r="D14" s="84"/>
      <c r="E14" s="84"/>
      <c r="F14" s="109"/>
      <c r="G14" s="109"/>
      <c r="H14" s="109"/>
      <c r="I14" s="109"/>
      <c r="J14" s="109"/>
      <c r="K14" s="109"/>
      <c r="L14" s="84"/>
      <c r="M14" s="84"/>
      <c r="N14" s="84"/>
    </row>
    <row r="15" spans="2:14" ht="16.5" x14ac:dyDescent="0.3">
      <c r="B15" s="84">
        <f>待办事项!A6</f>
        <v>3</v>
      </c>
      <c r="C15" s="84"/>
      <c r="D15" s="84"/>
      <c r="E15" s="84"/>
      <c r="F15" s="109"/>
      <c r="G15" s="109"/>
      <c r="H15" s="109"/>
      <c r="I15" s="109"/>
      <c r="J15" s="109"/>
      <c r="K15" s="109"/>
      <c r="L15" s="84"/>
      <c r="M15" s="84"/>
      <c r="N15" s="84"/>
    </row>
    <row r="16" spans="2:14" ht="16.5" x14ac:dyDescent="0.3">
      <c r="B16" s="84" t="s">
        <v>179</v>
      </c>
      <c r="C16" s="84"/>
      <c r="D16" s="84"/>
      <c r="E16" s="84"/>
      <c r="F16" s="109"/>
      <c r="G16" s="109"/>
      <c r="H16" s="109"/>
      <c r="I16" s="109"/>
      <c r="J16" s="109"/>
      <c r="K16" s="109"/>
      <c r="L16" s="84"/>
      <c r="M16" s="84"/>
      <c r="N16" s="84"/>
    </row>
    <row r="17" spans="2:14" ht="16.5" x14ac:dyDescent="0.3">
      <c r="B17" s="84">
        <f ca="1">待办事项!K6</f>
        <v>1</v>
      </c>
      <c r="C17" s="84"/>
      <c r="D17" s="84"/>
      <c r="E17" s="84"/>
      <c r="F17" s="109"/>
      <c r="G17" s="109"/>
      <c r="H17" s="109"/>
      <c r="I17" s="109"/>
      <c r="J17" s="109"/>
      <c r="K17" s="109"/>
      <c r="L17" s="84"/>
      <c r="M17" s="84"/>
      <c r="N17" s="84"/>
    </row>
    <row r="18" spans="2:14" ht="16.5" x14ac:dyDescent="0.3">
      <c r="B18" s="84"/>
      <c r="C18" s="84"/>
      <c r="D18" s="84"/>
      <c r="E18" s="84"/>
      <c r="F18" s="109"/>
      <c r="G18" s="109"/>
      <c r="H18" s="109"/>
      <c r="I18" s="109"/>
      <c r="J18" s="109"/>
      <c r="K18" s="109"/>
      <c r="L18" s="84"/>
      <c r="M18" s="84"/>
      <c r="N18" s="84"/>
    </row>
    <row r="19" spans="2:14" ht="16.5" x14ac:dyDescent="0.3">
      <c r="B19" s="84"/>
      <c r="C19" s="84"/>
      <c r="D19" s="84"/>
      <c r="E19" s="84"/>
      <c r="F19" s="109"/>
      <c r="G19" s="109"/>
      <c r="H19" s="109"/>
      <c r="I19" s="109"/>
      <c r="J19" s="109"/>
      <c r="K19" s="109"/>
      <c r="L19" s="84"/>
      <c r="M19" s="84"/>
      <c r="N19" s="84"/>
    </row>
    <row r="20" spans="2:14" ht="16.5" x14ac:dyDescent="0.3">
      <c r="B20" s="84"/>
      <c r="C20" s="84"/>
      <c r="D20" s="84"/>
      <c r="E20" s="84"/>
      <c r="F20" s="109"/>
      <c r="G20" s="109"/>
      <c r="H20" s="109"/>
      <c r="I20" s="109"/>
      <c r="J20" s="109"/>
      <c r="K20" s="109"/>
      <c r="L20" s="84"/>
      <c r="M20" s="84"/>
      <c r="N20" s="84"/>
    </row>
    <row r="21" spans="2:14" ht="16.5" x14ac:dyDescent="0.3">
      <c r="B21" s="84"/>
      <c r="C21" s="84"/>
      <c r="D21" s="84"/>
      <c r="E21" s="84"/>
      <c r="F21" s="109"/>
      <c r="G21" s="109"/>
      <c r="H21" s="109"/>
      <c r="I21" s="109"/>
      <c r="J21" s="109"/>
      <c r="K21" s="109"/>
      <c r="L21" s="84"/>
      <c r="M21" s="84"/>
      <c r="N21" s="84"/>
    </row>
    <row r="22" spans="2:14" ht="16.5" x14ac:dyDescent="0.3">
      <c r="B22" s="84"/>
      <c r="C22" s="84"/>
      <c r="D22" s="84"/>
      <c r="E22" s="84"/>
      <c r="F22" s="109"/>
      <c r="G22" s="109"/>
      <c r="H22" s="109"/>
      <c r="I22" s="109"/>
      <c r="J22" s="109"/>
      <c r="K22" s="109"/>
      <c r="L22" s="84"/>
      <c r="M22" s="84"/>
      <c r="N22" s="84"/>
    </row>
    <row r="23" spans="2:14" ht="16.5" x14ac:dyDescent="0.3">
      <c r="B23" s="84"/>
      <c r="C23" s="109"/>
      <c r="D23" s="109"/>
      <c r="E23" s="109"/>
      <c r="F23" s="109"/>
      <c r="G23" s="109"/>
      <c r="H23" s="109"/>
      <c r="I23" s="109"/>
      <c r="J23" s="109"/>
      <c r="K23" s="109"/>
      <c r="L23" s="84"/>
      <c r="M23" s="84"/>
      <c r="N23" s="84"/>
    </row>
    <row r="24" spans="2:14" ht="16.5" x14ac:dyDescent="0.3">
      <c r="B24" s="84"/>
      <c r="C24" s="109"/>
      <c r="D24" s="109"/>
      <c r="E24" s="109"/>
      <c r="F24" s="109"/>
      <c r="G24" s="109"/>
      <c r="H24" s="109"/>
      <c r="I24" s="109"/>
      <c r="J24" s="109"/>
      <c r="K24" s="109"/>
      <c r="L24" s="84"/>
      <c r="M24" s="84"/>
      <c r="N24" s="84"/>
    </row>
    <row r="29" spans="2:14" ht="24.75" x14ac:dyDescent="0.4">
      <c r="B29" s="113" t="s">
        <v>238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Drop Down 1">
              <controlPr defaultSize="0" autoLine="0" autoPict="0">
                <anchor moveWithCells="1">
                  <from>
                    <xdr:col>3</xdr:col>
                    <xdr:colOff>19050</xdr:colOff>
                    <xdr:row>3</xdr:row>
                    <xdr:rowOff>38100</xdr:rowOff>
                  </from>
                  <to>
                    <xdr:col>4</xdr:col>
                    <xdr:colOff>571500</xdr:colOff>
                    <xdr:row>4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opLeftCell="G1" workbookViewId="0">
      <selection activeCell="L14" sqref="L14"/>
    </sheetView>
  </sheetViews>
  <sheetFormatPr defaultRowHeight="13.5" x14ac:dyDescent="0.15"/>
  <cols>
    <col min="3" max="3" width="17.625" customWidth="1"/>
    <col min="4" max="8" width="11.875" customWidth="1"/>
  </cols>
  <sheetData>
    <row r="2" spans="1:12" x14ac:dyDescent="0.15">
      <c r="A2" s="107" t="s">
        <v>15</v>
      </c>
      <c r="B2" s="107" t="s">
        <v>75</v>
      </c>
      <c r="C2" s="107" t="s">
        <v>99</v>
      </c>
      <c r="D2" s="107" t="s">
        <v>98</v>
      </c>
      <c r="E2" s="107" t="s">
        <v>159</v>
      </c>
      <c r="F2" s="107" t="s">
        <v>149</v>
      </c>
      <c r="G2" s="107" t="s">
        <v>169</v>
      </c>
      <c r="H2" s="107" t="s">
        <v>181</v>
      </c>
      <c r="I2" s="206" t="s">
        <v>256</v>
      </c>
      <c r="J2" s="206" t="s">
        <v>264</v>
      </c>
      <c r="K2" s="206" t="s">
        <v>265</v>
      </c>
      <c r="L2" s="206" t="s">
        <v>312</v>
      </c>
    </row>
    <row r="3" spans="1:12" x14ac:dyDescent="0.15">
      <c r="A3" s="114" t="s">
        <v>82</v>
      </c>
      <c r="B3" s="114" t="s">
        <v>156</v>
      </c>
      <c r="C3" s="115" t="s">
        <v>90</v>
      </c>
      <c r="D3" s="116" t="s">
        <v>92</v>
      </c>
      <c r="E3" s="117" t="s">
        <v>163</v>
      </c>
      <c r="F3" s="117" t="s">
        <v>167</v>
      </c>
      <c r="G3" s="117" t="s">
        <v>170</v>
      </c>
      <c r="H3" s="118">
        <v>42100</v>
      </c>
      <c r="I3" s="121" t="s">
        <v>290</v>
      </c>
      <c r="J3" s="121" t="s">
        <v>278</v>
      </c>
      <c r="K3" s="121" t="s">
        <v>289</v>
      </c>
      <c r="L3" s="84">
        <v>1</v>
      </c>
    </row>
    <row r="4" spans="1:12" x14ac:dyDescent="0.15">
      <c r="A4" s="114" t="s">
        <v>16</v>
      </c>
      <c r="B4" s="114" t="s">
        <v>81</v>
      </c>
      <c r="C4" s="116" t="s">
        <v>106</v>
      </c>
      <c r="D4" s="116" t="s">
        <v>94</v>
      </c>
      <c r="E4" s="116" t="s">
        <v>160</v>
      </c>
      <c r="F4" s="119">
        <v>0.1</v>
      </c>
      <c r="G4" s="119" t="s">
        <v>172</v>
      </c>
      <c r="H4" s="122"/>
      <c r="I4" s="121" t="s">
        <v>257</v>
      </c>
      <c r="J4" s="121" t="s">
        <v>280</v>
      </c>
      <c r="K4" s="121" t="s">
        <v>285</v>
      </c>
      <c r="L4" s="84">
        <v>2</v>
      </c>
    </row>
    <row r="5" spans="1:12" x14ac:dyDescent="0.15">
      <c r="A5" s="114" t="s">
        <v>17</v>
      </c>
      <c r="B5" s="114" t="s">
        <v>77</v>
      </c>
      <c r="C5" s="116" t="s">
        <v>100</v>
      </c>
      <c r="D5" s="116" t="s">
        <v>97</v>
      </c>
      <c r="E5" s="116" t="s">
        <v>161</v>
      </c>
      <c r="F5" s="119">
        <v>0.2</v>
      </c>
      <c r="G5" s="119" t="s">
        <v>174</v>
      </c>
      <c r="H5" s="122"/>
      <c r="I5" s="121" t="s">
        <v>258</v>
      </c>
      <c r="J5" s="121" t="s">
        <v>282</v>
      </c>
      <c r="K5" s="121" t="s">
        <v>286</v>
      </c>
      <c r="L5" s="84">
        <v>3</v>
      </c>
    </row>
    <row r="6" spans="1:12" x14ac:dyDescent="0.15">
      <c r="A6" s="114" t="s">
        <v>18</v>
      </c>
      <c r="B6" s="114" t="s">
        <v>79</v>
      </c>
      <c r="C6" s="116" t="s">
        <v>101</v>
      </c>
      <c r="D6" s="116" t="s">
        <v>95</v>
      </c>
      <c r="E6" s="116" t="s">
        <v>162</v>
      </c>
      <c r="F6" s="119">
        <v>0.3</v>
      </c>
      <c r="G6" s="119" t="s">
        <v>175</v>
      </c>
      <c r="H6" s="122"/>
      <c r="I6" s="121" t="s">
        <v>259</v>
      </c>
      <c r="J6" s="121" t="s">
        <v>284</v>
      </c>
      <c r="K6" s="121" t="s">
        <v>287</v>
      </c>
      <c r="L6" s="225">
        <v>5</v>
      </c>
    </row>
    <row r="7" spans="1:12" x14ac:dyDescent="0.15">
      <c r="A7" s="114" t="s">
        <v>19</v>
      </c>
      <c r="B7" s="114"/>
      <c r="C7" s="116" t="s">
        <v>102</v>
      </c>
      <c r="D7" s="117"/>
      <c r="E7" s="117"/>
      <c r="F7" s="120">
        <v>0.4</v>
      </c>
      <c r="G7" s="119" t="s">
        <v>176</v>
      </c>
      <c r="H7" s="122"/>
      <c r="I7" s="121" t="s">
        <v>260</v>
      </c>
      <c r="J7" s="121"/>
      <c r="K7" s="121" t="s">
        <v>288</v>
      </c>
      <c r="L7" s="225">
        <v>8</v>
      </c>
    </row>
    <row r="8" spans="1:12" x14ac:dyDescent="0.15">
      <c r="A8" s="114" t="s">
        <v>20</v>
      </c>
      <c r="B8" s="114"/>
      <c r="C8" s="116" t="s">
        <v>103</v>
      </c>
      <c r="D8" s="117"/>
      <c r="E8" s="117"/>
      <c r="F8" s="120">
        <v>0.5</v>
      </c>
      <c r="G8" s="120"/>
      <c r="H8" s="118"/>
      <c r="I8" s="121" t="s">
        <v>261</v>
      </c>
      <c r="J8" s="121"/>
      <c r="K8" s="121"/>
      <c r="L8" s="225">
        <v>13</v>
      </c>
    </row>
    <row r="9" spans="1:12" x14ac:dyDescent="0.15">
      <c r="A9" s="114" t="s">
        <v>21</v>
      </c>
      <c r="B9" s="114"/>
      <c r="C9" s="116" t="s">
        <v>105</v>
      </c>
      <c r="D9" s="117"/>
      <c r="E9" s="117"/>
      <c r="F9" s="120">
        <v>0.6</v>
      </c>
      <c r="G9" s="120"/>
      <c r="H9" s="118"/>
      <c r="I9" s="121" t="s">
        <v>262</v>
      </c>
      <c r="J9" s="121"/>
      <c r="K9" s="121"/>
      <c r="L9" s="225">
        <v>21</v>
      </c>
    </row>
    <row r="10" spans="1:12" x14ac:dyDescent="0.15">
      <c r="A10" s="114" t="s">
        <v>22</v>
      </c>
      <c r="B10" s="114"/>
      <c r="C10" s="116" t="s">
        <v>104</v>
      </c>
      <c r="D10" s="117"/>
      <c r="E10" s="117"/>
      <c r="F10" s="120">
        <v>0.7</v>
      </c>
      <c r="G10" s="120"/>
      <c r="H10" s="118"/>
      <c r="I10" s="121" t="s">
        <v>263</v>
      </c>
      <c r="J10" s="121"/>
      <c r="K10" s="121"/>
      <c r="L10" s="225">
        <v>40</v>
      </c>
    </row>
    <row r="11" spans="1:12" x14ac:dyDescent="0.15">
      <c r="A11" s="114" t="s">
        <v>23</v>
      </c>
      <c r="B11" s="114"/>
      <c r="C11" s="114"/>
      <c r="D11" s="117"/>
      <c r="E11" s="117"/>
      <c r="F11" s="120">
        <v>0.8</v>
      </c>
      <c r="G11" s="120"/>
      <c r="H11" s="118"/>
      <c r="I11" s="121"/>
      <c r="J11" s="121"/>
      <c r="K11" s="121"/>
      <c r="L11" s="225">
        <v>100</v>
      </c>
    </row>
    <row r="12" spans="1:12" x14ac:dyDescent="0.15">
      <c r="A12" s="117"/>
      <c r="B12" s="117"/>
      <c r="C12" s="117"/>
      <c r="D12" s="117"/>
      <c r="E12" s="117"/>
      <c r="F12" s="120">
        <v>0.9</v>
      </c>
      <c r="G12" s="120"/>
      <c r="H12" s="118"/>
      <c r="I12" s="121"/>
      <c r="J12" s="121"/>
      <c r="K12" s="121"/>
      <c r="L12" s="84"/>
    </row>
    <row r="13" spans="1:12" x14ac:dyDescent="0.15">
      <c r="A13" s="117"/>
      <c r="B13" s="117"/>
      <c r="C13" s="117"/>
      <c r="D13" s="117"/>
      <c r="E13" s="117"/>
      <c r="F13" s="120">
        <v>1</v>
      </c>
      <c r="G13" s="120"/>
      <c r="H13" s="118"/>
      <c r="I13" s="121"/>
      <c r="J13" s="121"/>
      <c r="K13" s="121"/>
      <c r="L13" s="84"/>
    </row>
    <row r="14" spans="1:12" x14ac:dyDescent="0.15">
      <c r="A14" s="121"/>
      <c r="B14" s="121"/>
      <c r="C14" s="121"/>
      <c r="D14" s="121"/>
      <c r="E14" s="121"/>
      <c r="F14" s="121"/>
      <c r="G14" s="121"/>
      <c r="H14" s="123"/>
      <c r="I14" s="121"/>
      <c r="J14" s="121"/>
      <c r="K14" s="121"/>
      <c r="L14" s="84"/>
    </row>
    <row r="15" spans="1:12" x14ac:dyDescent="0.15">
      <c r="A15" s="121"/>
      <c r="B15" s="121"/>
      <c r="C15" s="121"/>
      <c r="D15" s="121"/>
      <c r="E15" s="121"/>
      <c r="F15" s="121"/>
      <c r="G15" s="121"/>
      <c r="H15" s="123"/>
      <c r="I15" s="121"/>
      <c r="J15" s="121"/>
      <c r="K15" s="121"/>
      <c r="L15" s="84"/>
    </row>
    <row r="16" spans="1:12" x14ac:dyDescent="0.15">
      <c r="A16" s="121"/>
      <c r="B16" s="121"/>
      <c r="C16" s="121"/>
      <c r="D16" s="121"/>
      <c r="E16" s="121"/>
      <c r="F16" s="121"/>
      <c r="G16" s="121"/>
      <c r="H16" s="123"/>
      <c r="I16" s="121"/>
      <c r="J16" s="121"/>
      <c r="K16" s="121"/>
      <c r="L16" s="84"/>
    </row>
    <row r="17" spans="1:12" x14ac:dyDescent="0.15">
      <c r="A17" s="121"/>
      <c r="B17" s="121"/>
      <c r="C17" s="121"/>
      <c r="D17" s="121"/>
      <c r="E17" s="121"/>
      <c r="F17" s="121"/>
      <c r="G17" s="121"/>
      <c r="H17" s="123"/>
      <c r="I17" s="121"/>
      <c r="J17" s="121"/>
      <c r="K17" s="121"/>
      <c r="L17" s="84"/>
    </row>
    <row r="18" spans="1:12" x14ac:dyDescent="0.15">
      <c r="A18" s="121"/>
      <c r="B18" s="121"/>
      <c r="C18" s="121"/>
      <c r="D18" s="121"/>
      <c r="E18" s="121"/>
      <c r="F18" s="121"/>
      <c r="G18" s="121"/>
      <c r="H18" s="123"/>
      <c r="I18" s="121"/>
      <c r="J18" s="121"/>
      <c r="K18" s="121"/>
      <c r="L18" s="84"/>
    </row>
    <row r="19" spans="1:12" x14ac:dyDescent="0.15">
      <c r="A19" s="121"/>
      <c r="B19" s="121"/>
      <c r="C19" s="121"/>
      <c r="D19" s="121"/>
      <c r="E19" s="121"/>
      <c r="F19" s="121"/>
      <c r="G19" s="121"/>
      <c r="H19" s="123"/>
      <c r="I19" s="121"/>
      <c r="J19" s="121"/>
      <c r="K19" s="121"/>
      <c r="L19" s="84"/>
    </row>
    <row r="20" spans="1:12" x14ac:dyDescent="0.15">
      <c r="A20" s="121"/>
      <c r="B20" s="121"/>
      <c r="C20" s="121"/>
      <c r="D20" s="121"/>
      <c r="E20" s="121"/>
      <c r="F20" s="121"/>
      <c r="G20" s="121"/>
      <c r="H20" s="123"/>
      <c r="I20" s="121"/>
      <c r="J20" s="121"/>
      <c r="K20" s="121"/>
      <c r="L20" s="84"/>
    </row>
    <row r="21" spans="1:12" x14ac:dyDescent="0.15">
      <c r="A21" s="121"/>
      <c r="B21" s="121"/>
      <c r="C21" s="121"/>
      <c r="D21" s="121"/>
      <c r="E21" s="121"/>
      <c r="F21" s="121"/>
      <c r="G21" s="121"/>
      <c r="H21" s="123"/>
      <c r="I21" s="121"/>
      <c r="J21" s="121"/>
      <c r="K21" s="121"/>
      <c r="L21" s="84"/>
    </row>
    <row r="22" spans="1:12" x14ac:dyDescent="0.15">
      <c r="A22" s="121"/>
      <c r="B22" s="121"/>
      <c r="C22" s="121"/>
      <c r="D22" s="121"/>
      <c r="E22" s="121"/>
      <c r="F22" s="121"/>
      <c r="G22" s="121"/>
      <c r="H22" s="123"/>
      <c r="I22" s="121"/>
      <c r="J22" s="121"/>
      <c r="K22" s="121"/>
      <c r="L22" s="84"/>
    </row>
    <row r="23" spans="1:12" x14ac:dyDescent="0.15">
      <c r="A23" s="121"/>
      <c r="B23" s="121"/>
      <c r="C23" s="121"/>
      <c r="D23" s="121"/>
      <c r="E23" s="121"/>
      <c r="F23" s="121"/>
      <c r="G23" s="121"/>
      <c r="H23" s="123"/>
      <c r="I23" s="121"/>
      <c r="J23" s="121"/>
      <c r="K23" s="121"/>
      <c r="L23" s="84"/>
    </row>
    <row r="24" spans="1:12" x14ac:dyDescent="0.15">
      <c r="A24" s="121"/>
      <c r="B24" s="121"/>
      <c r="C24" s="121"/>
      <c r="D24" s="121"/>
      <c r="E24" s="121"/>
      <c r="F24" s="121"/>
      <c r="G24" s="121"/>
      <c r="H24" s="123"/>
      <c r="I24" s="121"/>
      <c r="J24" s="121"/>
      <c r="K24" s="121"/>
      <c r="L24" s="84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C32" sqref="C32"/>
    </sheetView>
  </sheetViews>
  <sheetFormatPr defaultRowHeight="13.5" x14ac:dyDescent="0.15"/>
  <sheetData>
    <row r="1" spans="1:22" ht="29.25" x14ac:dyDescent="0.5">
      <c r="A1" s="77" t="s">
        <v>209</v>
      </c>
    </row>
    <row r="3" spans="1:22" ht="14.25" thickBot="1" x14ac:dyDescent="0.2"/>
    <row r="4" spans="1:22" ht="15.75" thickBot="1" x14ac:dyDescent="0.25">
      <c r="A4" s="145"/>
      <c r="B4" s="146"/>
      <c r="C4" s="147" t="s">
        <v>210</v>
      </c>
      <c r="D4" s="226">
        <v>41644</v>
      </c>
      <c r="E4" s="227"/>
      <c r="F4" s="227"/>
      <c r="G4" s="22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5" thickBot="1" x14ac:dyDescent="0.25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9"/>
    </row>
    <row r="6" spans="1:22" ht="15" x14ac:dyDescent="0.15">
      <c r="A6" s="150" t="s">
        <v>211</v>
      </c>
      <c r="B6" s="151">
        <v>1</v>
      </c>
      <c r="C6" s="152">
        <f>B6+1</f>
        <v>2</v>
      </c>
      <c r="D6" s="153">
        <f t="shared" ref="D6:T6" si="0">C6+1</f>
        <v>3</v>
      </c>
      <c r="E6" s="152">
        <f t="shared" si="0"/>
        <v>4</v>
      </c>
      <c r="F6" s="153">
        <f t="shared" si="0"/>
        <v>5</v>
      </c>
      <c r="G6" s="152">
        <f t="shared" si="0"/>
        <v>6</v>
      </c>
      <c r="H6" s="153">
        <f t="shared" si="0"/>
        <v>7</v>
      </c>
      <c r="I6" s="152">
        <f t="shared" si="0"/>
        <v>8</v>
      </c>
      <c r="J6" s="153">
        <f t="shared" si="0"/>
        <v>9</v>
      </c>
      <c r="K6" s="152">
        <f t="shared" si="0"/>
        <v>10</v>
      </c>
      <c r="L6" s="153">
        <f t="shared" si="0"/>
        <v>11</v>
      </c>
      <c r="M6" s="152">
        <f t="shared" si="0"/>
        <v>12</v>
      </c>
      <c r="N6" s="153">
        <f t="shared" si="0"/>
        <v>13</v>
      </c>
      <c r="O6" s="152">
        <f t="shared" si="0"/>
        <v>14</v>
      </c>
      <c r="P6" s="153">
        <f t="shared" si="0"/>
        <v>15</v>
      </c>
      <c r="Q6" s="154">
        <f t="shared" si="0"/>
        <v>16</v>
      </c>
      <c r="R6" s="155">
        <f t="shared" si="0"/>
        <v>17</v>
      </c>
      <c r="S6" s="154">
        <f t="shared" si="0"/>
        <v>18</v>
      </c>
      <c r="T6" s="155">
        <f t="shared" si="0"/>
        <v>19</v>
      </c>
      <c r="U6" s="154">
        <f>T6+1</f>
        <v>20</v>
      </c>
      <c r="V6" s="156"/>
    </row>
    <row r="7" spans="1:22" ht="15" x14ac:dyDescent="0.15">
      <c r="A7" s="229" t="s">
        <v>212</v>
      </c>
      <c r="B7" s="193">
        <f>D4</f>
        <v>41644</v>
      </c>
      <c r="C7" s="194">
        <f>B7+7</f>
        <v>41651</v>
      </c>
      <c r="D7" s="193">
        <f t="shared" ref="D7:T7" si="1">C7+7</f>
        <v>41658</v>
      </c>
      <c r="E7" s="194">
        <f t="shared" si="1"/>
        <v>41665</v>
      </c>
      <c r="F7" s="193">
        <f t="shared" si="1"/>
        <v>41672</v>
      </c>
      <c r="G7" s="194">
        <f t="shared" si="1"/>
        <v>41679</v>
      </c>
      <c r="H7" s="193">
        <f t="shared" si="1"/>
        <v>41686</v>
      </c>
      <c r="I7" s="194">
        <f t="shared" si="1"/>
        <v>41693</v>
      </c>
      <c r="J7" s="193">
        <f t="shared" si="1"/>
        <v>41700</v>
      </c>
      <c r="K7" s="194">
        <f t="shared" si="1"/>
        <v>41707</v>
      </c>
      <c r="L7" s="193">
        <f t="shared" si="1"/>
        <v>41714</v>
      </c>
      <c r="M7" s="194">
        <f t="shared" si="1"/>
        <v>41721</v>
      </c>
      <c r="N7" s="193">
        <f t="shared" si="1"/>
        <v>41728</v>
      </c>
      <c r="O7" s="194">
        <f t="shared" si="1"/>
        <v>41735</v>
      </c>
      <c r="P7" s="193">
        <f t="shared" si="1"/>
        <v>41742</v>
      </c>
      <c r="Q7" s="194">
        <f t="shared" si="1"/>
        <v>41749</v>
      </c>
      <c r="R7" s="193">
        <f t="shared" si="1"/>
        <v>41756</v>
      </c>
      <c r="S7" s="194">
        <f t="shared" si="1"/>
        <v>41763</v>
      </c>
      <c r="T7" s="193">
        <f t="shared" si="1"/>
        <v>41770</v>
      </c>
      <c r="U7" s="194">
        <f>T7+7</f>
        <v>41777</v>
      </c>
      <c r="V7" s="157" t="s">
        <v>213</v>
      </c>
    </row>
    <row r="8" spans="1:22" ht="15.75" thickBot="1" x14ac:dyDescent="0.2">
      <c r="A8" s="230"/>
      <c r="B8" s="158">
        <f>B7</f>
        <v>41644</v>
      </c>
      <c r="C8" s="159">
        <f>C7</f>
        <v>41651</v>
      </c>
      <c r="D8" s="158">
        <f t="shared" ref="D8:U8" si="2">D7</f>
        <v>41658</v>
      </c>
      <c r="E8" s="159">
        <f t="shared" si="2"/>
        <v>41665</v>
      </c>
      <c r="F8" s="158">
        <f t="shared" si="2"/>
        <v>41672</v>
      </c>
      <c r="G8" s="159">
        <f t="shared" si="2"/>
        <v>41679</v>
      </c>
      <c r="H8" s="158">
        <f t="shared" si="2"/>
        <v>41686</v>
      </c>
      <c r="I8" s="159">
        <f t="shared" si="2"/>
        <v>41693</v>
      </c>
      <c r="J8" s="158">
        <f t="shared" si="2"/>
        <v>41700</v>
      </c>
      <c r="K8" s="159">
        <f t="shared" si="2"/>
        <v>41707</v>
      </c>
      <c r="L8" s="158">
        <f t="shared" si="2"/>
        <v>41714</v>
      </c>
      <c r="M8" s="159">
        <f t="shared" si="2"/>
        <v>41721</v>
      </c>
      <c r="N8" s="158">
        <f t="shared" si="2"/>
        <v>41728</v>
      </c>
      <c r="O8" s="159">
        <f t="shared" si="2"/>
        <v>41735</v>
      </c>
      <c r="P8" s="158">
        <f t="shared" si="2"/>
        <v>41742</v>
      </c>
      <c r="Q8" s="159">
        <f t="shared" si="2"/>
        <v>41749</v>
      </c>
      <c r="R8" s="158">
        <f t="shared" si="2"/>
        <v>41756</v>
      </c>
      <c r="S8" s="159">
        <f t="shared" si="2"/>
        <v>41763</v>
      </c>
      <c r="T8" s="158">
        <f t="shared" si="2"/>
        <v>41770</v>
      </c>
      <c r="U8" s="159">
        <f t="shared" si="2"/>
        <v>41777</v>
      </c>
      <c r="V8" s="160"/>
    </row>
    <row r="9" spans="1:22" ht="15" x14ac:dyDescent="0.2">
      <c r="A9" s="161" t="s">
        <v>214</v>
      </c>
      <c r="B9" s="162" t="s">
        <v>215</v>
      </c>
      <c r="C9" s="163"/>
      <c r="D9" s="163"/>
      <c r="E9" s="163"/>
      <c r="F9" s="163"/>
      <c r="G9" s="164"/>
      <c r="H9" s="165"/>
      <c r="I9" s="166"/>
      <c r="J9" s="167"/>
      <c r="K9" s="166"/>
      <c r="L9" s="167"/>
      <c r="M9" s="166"/>
      <c r="N9" s="167"/>
      <c r="O9" s="166"/>
      <c r="P9" s="167"/>
      <c r="Q9" s="166"/>
      <c r="R9" s="167"/>
      <c r="S9" s="166"/>
      <c r="T9" s="167"/>
      <c r="U9" s="231" t="s">
        <v>216</v>
      </c>
      <c r="V9" s="168"/>
    </row>
    <row r="10" spans="1:22" ht="15" x14ac:dyDescent="0.2">
      <c r="A10" s="169" t="s">
        <v>217</v>
      </c>
      <c r="B10" s="170"/>
      <c r="C10" s="171" t="s">
        <v>218</v>
      </c>
      <c r="D10" s="172"/>
      <c r="E10" s="172"/>
      <c r="F10" s="170"/>
      <c r="G10" s="173"/>
      <c r="H10" s="174"/>
      <c r="I10" s="175"/>
      <c r="J10" s="176"/>
      <c r="K10" s="175"/>
      <c r="L10" s="176"/>
      <c r="M10" s="175"/>
      <c r="N10" s="176"/>
      <c r="O10" s="175"/>
      <c r="P10" s="176"/>
      <c r="Q10" s="175"/>
      <c r="R10" s="176"/>
      <c r="S10" s="175"/>
      <c r="T10" s="176"/>
      <c r="U10" s="232"/>
      <c r="V10" s="177"/>
    </row>
    <row r="11" spans="1:22" ht="15" x14ac:dyDescent="0.2">
      <c r="A11" s="169"/>
      <c r="B11" s="170"/>
      <c r="C11" s="173"/>
      <c r="D11" s="171" t="s">
        <v>219</v>
      </c>
      <c r="E11" s="172"/>
      <c r="F11" s="172"/>
      <c r="G11" s="173"/>
      <c r="H11" s="178"/>
      <c r="I11" s="175"/>
      <c r="J11" s="176"/>
      <c r="K11" s="175"/>
      <c r="L11" s="176"/>
      <c r="M11" s="175"/>
      <c r="N11" s="176"/>
      <c r="O11" s="175"/>
      <c r="P11" s="176"/>
      <c r="Q11" s="175"/>
      <c r="R11" s="176"/>
      <c r="S11" s="175"/>
      <c r="T11" s="176"/>
      <c r="U11" s="232"/>
      <c r="V11" s="177"/>
    </row>
    <row r="12" spans="1:22" ht="15" x14ac:dyDescent="0.2">
      <c r="A12" s="179" t="s">
        <v>220</v>
      </c>
      <c r="B12" s="170"/>
      <c r="C12" s="173"/>
      <c r="D12" s="170"/>
      <c r="E12" s="180" t="s">
        <v>221</v>
      </c>
      <c r="F12" s="181"/>
      <c r="G12" s="181"/>
      <c r="H12" s="182"/>
      <c r="I12" s="183"/>
      <c r="J12" s="176"/>
      <c r="K12" s="175"/>
      <c r="L12" s="176"/>
      <c r="M12" s="175"/>
      <c r="N12" s="176"/>
      <c r="O12" s="175"/>
      <c r="P12" s="176"/>
      <c r="Q12" s="175"/>
      <c r="R12" s="176"/>
      <c r="S12" s="175"/>
      <c r="T12" s="176"/>
      <c r="U12" s="232"/>
      <c r="V12" s="177"/>
    </row>
    <row r="13" spans="1:22" ht="15" x14ac:dyDescent="0.2">
      <c r="A13" s="179" t="s">
        <v>222</v>
      </c>
      <c r="B13" s="170"/>
      <c r="C13" s="173"/>
      <c r="D13" s="170"/>
      <c r="E13" s="180" t="s">
        <v>223</v>
      </c>
      <c r="F13" s="181"/>
      <c r="G13" s="181"/>
      <c r="H13" s="182"/>
      <c r="I13" s="183"/>
      <c r="J13" s="176"/>
      <c r="K13" s="175"/>
      <c r="L13" s="176"/>
      <c r="M13" s="175"/>
      <c r="N13" s="176"/>
      <c r="O13" s="175"/>
      <c r="P13" s="176"/>
      <c r="Q13" s="175"/>
      <c r="R13" s="176"/>
      <c r="S13" s="175"/>
      <c r="T13" s="176"/>
      <c r="U13" s="232"/>
      <c r="V13" s="177"/>
    </row>
    <row r="14" spans="1:22" ht="15" x14ac:dyDescent="0.2">
      <c r="A14" s="179"/>
      <c r="B14" s="170"/>
      <c r="C14" s="173"/>
      <c r="D14" s="170"/>
      <c r="E14" s="173"/>
      <c r="F14" s="180" t="s">
        <v>224</v>
      </c>
      <c r="G14" s="182"/>
      <c r="H14" s="182"/>
      <c r="I14" s="183"/>
      <c r="J14" s="176"/>
      <c r="K14" s="175"/>
      <c r="L14" s="176"/>
      <c r="M14" s="175"/>
      <c r="N14" s="176"/>
      <c r="O14" s="175"/>
      <c r="P14" s="176"/>
      <c r="Q14" s="175"/>
      <c r="R14" s="176"/>
      <c r="S14" s="175"/>
      <c r="T14" s="176"/>
      <c r="U14" s="232"/>
      <c r="V14" s="177"/>
    </row>
    <row r="15" spans="1:22" ht="15" x14ac:dyDescent="0.2">
      <c r="A15" s="179"/>
      <c r="B15" s="170"/>
      <c r="C15" s="173"/>
      <c r="D15" s="170"/>
      <c r="E15" s="173"/>
      <c r="F15" s="180" t="s">
        <v>225</v>
      </c>
      <c r="G15" s="181"/>
      <c r="H15" s="182"/>
      <c r="I15" s="183"/>
      <c r="J15" s="176"/>
      <c r="K15" s="175"/>
      <c r="L15" s="176"/>
      <c r="M15" s="175"/>
      <c r="N15" s="176"/>
      <c r="O15" s="175"/>
      <c r="P15" s="176"/>
      <c r="Q15" s="175"/>
      <c r="R15" s="176"/>
      <c r="S15" s="175"/>
      <c r="T15" s="176"/>
      <c r="U15" s="232"/>
      <c r="V15" s="177"/>
    </row>
    <row r="16" spans="1:22" ht="15" x14ac:dyDescent="0.2">
      <c r="A16" s="179"/>
      <c r="B16" s="170"/>
      <c r="C16" s="173"/>
      <c r="D16" s="170"/>
      <c r="E16" s="173"/>
      <c r="F16" s="170"/>
      <c r="G16" s="173"/>
      <c r="H16" s="184" t="s">
        <v>226</v>
      </c>
      <c r="I16" s="183"/>
      <c r="J16" s="183"/>
      <c r="K16" s="183"/>
      <c r="L16" s="183"/>
      <c r="M16" s="183"/>
      <c r="N16" s="176"/>
      <c r="O16" s="175"/>
      <c r="P16" s="176"/>
      <c r="Q16" s="175"/>
      <c r="R16" s="176"/>
      <c r="S16" s="175"/>
      <c r="T16" s="176"/>
      <c r="U16" s="232"/>
      <c r="V16" s="177"/>
    </row>
    <row r="17" spans="1:22" ht="15" x14ac:dyDescent="0.2">
      <c r="A17" s="179"/>
      <c r="B17" s="170"/>
      <c r="C17" s="173"/>
      <c r="D17" s="170"/>
      <c r="E17" s="173"/>
      <c r="F17" s="170"/>
      <c r="G17" s="173"/>
      <c r="H17" s="184" t="s">
        <v>227</v>
      </c>
      <c r="I17" s="183"/>
      <c r="J17" s="183"/>
      <c r="K17" s="183"/>
      <c r="L17" s="183"/>
      <c r="M17" s="183"/>
      <c r="N17" s="176"/>
      <c r="O17" s="175"/>
      <c r="P17" s="176"/>
      <c r="Q17" s="175"/>
      <c r="R17" s="176"/>
      <c r="S17" s="175"/>
      <c r="T17" s="176"/>
      <c r="U17" s="232"/>
      <c r="V17" s="177"/>
    </row>
    <row r="18" spans="1:22" ht="15" x14ac:dyDescent="0.2">
      <c r="A18" s="169" t="s">
        <v>220</v>
      </c>
      <c r="B18" s="176"/>
      <c r="C18" s="175"/>
      <c r="D18" s="176"/>
      <c r="E18" s="175"/>
      <c r="F18" s="176"/>
      <c r="G18" s="175"/>
      <c r="H18" s="234" t="s">
        <v>228</v>
      </c>
      <c r="I18" s="185" t="s">
        <v>229</v>
      </c>
      <c r="J18" s="186"/>
      <c r="K18" s="186"/>
      <c r="L18" s="186"/>
      <c r="M18" s="186"/>
      <c r="N18" s="176"/>
      <c r="O18" s="175"/>
      <c r="P18" s="176"/>
      <c r="Q18" s="175"/>
      <c r="R18" s="176"/>
      <c r="S18" s="175"/>
      <c r="T18" s="176"/>
      <c r="U18" s="232"/>
      <c r="V18" s="177"/>
    </row>
    <row r="19" spans="1:22" ht="15" x14ac:dyDescent="0.2">
      <c r="A19" s="169" t="s">
        <v>230</v>
      </c>
      <c r="B19" s="176"/>
      <c r="C19" s="175"/>
      <c r="D19" s="176"/>
      <c r="E19" s="175"/>
      <c r="F19" s="176"/>
      <c r="G19" s="175"/>
      <c r="H19" s="235"/>
      <c r="I19" s="185" t="s">
        <v>231</v>
      </c>
      <c r="J19" s="186"/>
      <c r="K19" s="186"/>
      <c r="L19" s="186"/>
      <c r="M19" s="186"/>
      <c r="N19" s="186"/>
      <c r="O19" s="175"/>
      <c r="P19" s="176"/>
      <c r="Q19" s="175"/>
      <c r="R19" s="176"/>
      <c r="S19" s="175"/>
      <c r="T19" s="176"/>
      <c r="U19" s="232"/>
      <c r="V19" s="177"/>
    </row>
    <row r="20" spans="1:22" ht="15" x14ac:dyDescent="0.2">
      <c r="A20" s="169"/>
      <c r="B20" s="176"/>
      <c r="C20" s="175"/>
      <c r="D20" s="176"/>
      <c r="E20" s="175"/>
      <c r="F20" s="176"/>
      <c r="G20" s="175"/>
      <c r="H20" s="235"/>
      <c r="I20" s="175"/>
      <c r="J20" s="185" t="s">
        <v>232</v>
      </c>
      <c r="K20" s="186"/>
      <c r="L20" s="186"/>
      <c r="M20" s="186"/>
      <c r="N20" s="186"/>
      <c r="O20" s="175"/>
      <c r="P20" s="176"/>
      <c r="Q20" s="175"/>
      <c r="R20" s="176"/>
      <c r="S20" s="175"/>
      <c r="T20" s="176"/>
      <c r="U20" s="232"/>
      <c r="V20" s="177"/>
    </row>
    <row r="21" spans="1:22" ht="15" x14ac:dyDescent="0.2">
      <c r="A21" s="187"/>
      <c r="B21" s="176"/>
      <c r="C21" s="175"/>
      <c r="D21" s="176"/>
      <c r="E21" s="175"/>
      <c r="F21" s="176"/>
      <c r="G21" s="175"/>
      <c r="H21" s="235"/>
      <c r="I21" s="185" t="s">
        <v>233</v>
      </c>
      <c r="J21" s="186"/>
      <c r="K21" s="186"/>
      <c r="L21" s="186"/>
      <c r="M21" s="186"/>
      <c r="N21" s="186"/>
      <c r="O21" s="175"/>
      <c r="P21" s="176"/>
      <c r="Q21" s="175"/>
      <c r="R21" s="176"/>
      <c r="S21" s="175"/>
      <c r="T21" s="176"/>
      <c r="U21" s="232"/>
      <c r="V21" s="177"/>
    </row>
    <row r="22" spans="1:22" ht="15" x14ac:dyDescent="0.2">
      <c r="A22" s="187"/>
      <c r="B22" s="176"/>
      <c r="C22" s="175"/>
      <c r="D22" s="176"/>
      <c r="E22" s="175"/>
      <c r="F22" s="176"/>
      <c r="G22" s="175"/>
      <c r="H22" s="235"/>
      <c r="I22" s="175"/>
      <c r="J22" s="176"/>
      <c r="K22" s="175"/>
      <c r="L22" s="185" t="s">
        <v>234</v>
      </c>
      <c r="M22" s="186"/>
      <c r="N22" s="186"/>
      <c r="O22" s="186"/>
      <c r="P22" s="186"/>
      <c r="Q22" s="186"/>
      <c r="R22" s="176"/>
      <c r="S22" s="175"/>
      <c r="T22" s="176"/>
      <c r="U22" s="232"/>
      <c r="V22" s="177"/>
    </row>
    <row r="23" spans="1:22" ht="15" x14ac:dyDescent="0.2">
      <c r="A23" s="187"/>
      <c r="B23" s="176"/>
      <c r="C23" s="175"/>
      <c r="D23" s="176"/>
      <c r="E23" s="175"/>
      <c r="F23" s="176"/>
      <c r="G23" s="175"/>
      <c r="H23" s="235"/>
      <c r="I23" s="175"/>
      <c r="J23" s="176"/>
      <c r="K23" s="175"/>
      <c r="L23" s="185" t="s">
        <v>235</v>
      </c>
      <c r="M23" s="186"/>
      <c r="N23" s="186"/>
      <c r="O23" s="186"/>
      <c r="P23" s="176"/>
      <c r="Q23" s="175"/>
      <c r="R23" s="176"/>
      <c r="S23" s="175"/>
      <c r="T23" s="176"/>
      <c r="U23" s="232"/>
      <c r="V23" s="177"/>
    </row>
    <row r="24" spans="1:22" ht="15" x14ac:dyDescent="0.2">
      <c r="A24" s="187"/>
      <c r="B24" s="176"/>
      <c r="C24" s="175"/>
      <c r="D24" s="176"/>
      <c r="E24" s="175"/>
      <c r="F24" s="176"/>
      <c r="G24" s="175"/>
      <c r="H24" s="235"/>
      <c r="I24" s="175"/>
      <c r="J24" s="176"/>
      <c r="K24" s="175"/>
      <c r="L24" s="176"/>
      <c r="M24" s="185" t="s">
        <v>236</v>
      </c>
      <c r="N24" s="186"/>
      <c r="O24" s="186"/>
      <c r="P24" s="186"/>
      <c r="Q24" s="186"/>
      <c r="R24" s="186"/>
      <c r="S24" s="186"/>
      <c r="T24" s="186"/>
      <c r="U24" s="232"/>
      <c r="V24" s="177"/>
    </row>
    <row r="25" spans="1:22" ht="15" x14ac:dyDescent="0.2">
      <c r="A25" s="187"/>
      <c r="B25" s="176"/>
      <c r="C25" s="175"/>
      <c r="D25" s="176"/>
      <c r="E25" s="175"/>
      <c r="F25" s="176"/>
      <c r="G25" s="175"/>
      <c r="H25" s="235"/>
      <c r="I25" s="175"/>
      <c r="J25" s="176"/>
      <c r="K25" s="175"/>
      <c r="L25" s="176"/>
      <c r="M25" s="175"/>
      <c r="N25" s="185" t="s">
        <v>237</v>
      </c>
      <c r="O25" s="186"/>
      <c r="P25" s="186"/>
      <c r="Q25" s="186"/>
      <c r="R25" s="186"/>
      <c r="S25" s="175"/>
      <c r="T25" s="176"/>
      <c r="U25" s="232"/>
      <c r="V25" s="177"/>
    </row>
    <row r="26" spans="1:22" ht="15.75" thickBot="1" x14ac:dyDescent="0.25">
      <c r="A26" s="188"/>
      <c r="B26" s="189"/>
      <c r="C26" s="190"/>
      <c r="D26" s="189"/>
      <c r="E26" s="190"/>
      <c r="F26" s="189"/>
      <c r="G26" s="190"/>
      <c r="H26" s="236"/>
      <c r="I26" s="190"/>
      <c r="J26" s="189"/>
      <c r="K26" s="190"/>
      <c r="L26" s="189"/>
      <c r="M26" s="190"/>
      <c r="N26" s="189"/>
      <c r="O26" s="190"/>
      <c r="P26" s="191" t="s">
        <v>227</v>
      </c>
      <c r="Q26" s="191"/>
      <c r="R26" s="191"/>
      <c r="S26" s="191"/>
      <c r="T26" s="191"/>
      <c r="U26" s="233"/>
      <c r="V26" s="192"/>
    </row>
  </sheetData>
  <mergeCells count="4">
    <mergeCell ref="D4:G4"/>
    <mergeCell ref="A7:A8"/>
    <mergeCell ref="U9:U26"/>
    <mergeCell ref="H18:H2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4" sqref="I24"/>
    </sheetView>
  </sheetViews>
  <sheetFormatPr defaultRowHeight="13.5" x14ac:dyDescent="0.15"/>
  <cols>
    <col min="1" max="1" width="10.5" bestFit="1" customWidth="1"/>
  </cols>
  <sheetData>
    <row r="1" spans="1:2" ht="15" x14ac:dyDescent="0.15">
      <c r="A1" s="79" t="s">
        <v>309</v>
      </c>
      <c r="B1" s="79" t="s">
        <v>310</v>
      </c>
    </row>
    <row r="2" spans="1:2" x14ac:dyDescent="0.15">
      <c r="A2" s="222">
        <v>42005</v>
      </c>
      <c r="B2" s="223">
        <v>0</v>
      </c>
    </row>
    <row r="3" spans="1:2" x14ac:dyDescent="0.15">
      <c r="A3" s="222">
        <v>42036</v>
      </c>
      <c r="B3" s="223">
        <v>0</v>
      </c>
    </row>
    <row r="4" spans="1:2" x14ac:dyDescent="0.15">
      <c r="A4" s="222">
        <v>42064</v>
      </c>
      <c r="B4" s="223">
        <v>0</v>
      </c>
    </row>
    <row r="5" spans="1:2" x14ac:dyDescent="0.15">
      <c r="A5" s="222">
        <v>42095</v>
      </c>
      <c r="B5" s="223">
        <v>0</v>
      </c>
    </row>
    <row r="6" spans="1:2" x14ac:dyDescent="0.15">
      <c r="A6" s="222">
        <v>42125</v>
      </c>
      <c r="B6" s="223">
        <v>0.3</v>
      </c>
    </row>
    <row r="7" spans="1:2" x14ac:dyDescent="0.15">
      <c r="A7" s="222">
        <v>42156</v>
      </c>
      <c r="B7" s="223">
        <v>0.4</v>
      </c>
    </row>
    <row r="8" spans="1:2" x14ac:dyDescent="0.15">
      <c r="A8" s="222">
        <v>42186</v>
      </c>
      <c r="B8" s="223">
        <v>0.6</v>
      </c>
    </row>
    <row r="9" spans="1:2" x14ac:dyDescent="0.15">
      <c r="A9" s="222">
        <v>42217</v>
      </c>
      <c r="B9" s="223">
        <v>0.75</v>
      </c>
    </row>
    <row r="10" spans="1:2" x14ac:dyDescent="0.15">
      <c r="A10" s="222">
        <v>42248</v>
      </c>
      <c r="B10" s="223">
        <v>0.85</v>
      </c>
    </row>
    <row r="11" spans="1:2" x14ac:dyDescent="0.15">
      <c r="A11" s="222">
        <v>42278</v>
      </c>
      <c r="B11" s="223">
        <v>0.9</v>
      </c>
    </row>
    <row r="12" spans="1:2" x14ac:dyDescent="0.15">
      <c r="A12" s="222">
        <v>42309</v>
      </c>
      <c r="B12" s="223">
        <v>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26"/>
  <sheetViews>
    <sheetView workbookViewId="0">
      <pane ySplit="5" topLeftCell="A6" activePane="bottomLeft" state="frozen"/>
      <selection pane="bottomLeft" activeCell="D9" sqref="D9"/>
    </sheetView>
  </sheetViews>
  <sheetFormatPr defaultRowHeight="13.5" x14ac:dyDescent="0.15"/>
  <cols>
    <col min="1" max="1" width="12.375" customWidth="1"/>
    <col min="2" max="2" width="14.5" customWidth="1"/>
    <col min="6" max="6" width="10" bestFit="1" customWidth="1"/>
    <col min="7" max="8" width="12.125" customWidth="1"/>
    <col min="9" max="9" width="16.75" customWidth="1"/>
    <col min="10" max="10" width="27.5" customWidth="1"/>
    <col min="11" max="11" width="12.5" customWidth="1"/>
    <col min="12" max="12" width="11.625" bestFit="1" customWidth="1"/>
  </cols>
  <sheetData>
    <row r="2" spans="1:12" ht="29.25" x14ac:dyDescent="0.5">
      <c r="A2" s="77" t="s">
        <v>83</v>
      </c>
      <c r="B2" s="78"/>
      <c r="C2" s="4"/>
      <c r="D2" s="4"/>
      <c r="E2" s="4"/>
      <c r="F2" s="4"/>
      <c r="G2" s="4"/>
      <c r="H2" s="4"/>
      <c r="I2" s="4"/>
    </row>
    <row r="3" spans="1:12" ht="16.5" x14ac:dyDescent="0.3">
      <c r="A3" s="4"/>
      <c r="B3" s="4"/>
      <c r="C3" s="4"/>
      <c r="D3" s="4"/>
      <c r="E3" s="4"/>
      <c r="F3" s="4"/>
      <c r="G3" s="4"/>
      <c r="H3" s="4"/>
      <c r="I3" s="4"/>
    </row>
    <row r="4" spans="1:12" ht="16.5" x14ac:dyDescent="0.3">
      <c r="A4" s="112" t="s">
        <v>115</v>
      </c>
      <c r="B4" s="109"/>
      <c r="C4" s="109"/>
      <c r="D4" s="109"/>
      <c r="E4" s="109"/>
      <c r="F4" s="112" t="s">
        <v>119</v>
      </c>
      <c r="G4" s="109"/>
      <c r="H4" s="109"/>
      <c r="I4" s="109"/>
      <c r="J4" s="84"/>
      <c r="K4" s="112" t="s">
        <v>120</v>
      </c>
    </row>
    <row r="5" spans="1:12" ht="16.5" x14ac:dyDescent="0.3">
      <c r="A5" s="108" t="s">
        <v>116</v>
      </c>
      <c r="B5" s="108" t="s">
        <v>114</v>
      </c>
      <c r="C5" s="108" t="s">
        <v>117</v>
      </c>
      <c r="D5" s="108" t="s">
        <v>118</v>
      </c>
      <c r="E5" s="109"/>
      <c r="F5" s="108" t="s">
        <v>116</v>
      </c>
      <c r="G5" s="108" t="s">
        <v>81</v>
      </c>
      <c r="H5" s="108" t="s">
        <v>77</v>
      </c>
      <c r="I5" s="108" t="s">
        <v>79</v>
      </c>
      <c r="J5" s="84"/>
      <c r="K5" s="108" t="s">
        <v>121</v>
      </c>
    </row>
    <row r="6" spans="1:12" ht="16.5" x14ac:dyDescent="0.3">
      <c r="A6" s="110">
        <f>COUNTA($A$9:$A$26)</f>
        <v>3</v>
      </c>
      <c r="B6" s="110">
        <f>COUNTIF($B$9:$B$26,"按时完成")</f>
        <v>1</v>
      </c>
      <c r="C6" s="110">
        <f>COUNTIF($B$9:$B$26,"超时完成")</f>
        <v>1</v>
      </c>
      <c r="D6" s="111">
        <f>A6-B6-C6</f>
        <v>1</v>
      </c>
      <c r="E6" s="109"/>
      <c r="F6" s="110">
        <f>COUNTA($A$9:$A$26)</f>
        <v>3</v>
      </c>
      <c r="G6" s="110">
        <f>COUNTIF($C$9:$C$26,"高")</f>
        <v>1</v>
      </c>
      <c r="H6" s="110">
        <f>COUNTIF($C$9:$C$26,"中")</f>
        <v>1</v>
      </c>
      <c r="I6" s="111">
        <f>COUNTIF($C$9:$C$26,"低")</f>
        <v>1</v>
      </c>
      <c r="J6" s="84"/>
      <c r="K6" s="110">
        <f ca="1">COUNTIF($K$9:$K$26,"&lt;0")</f>
        <v>1</v>
      </c>
    </row>
    <row r="7" spans="1:12" ht="16.5" x14ac:dyDescent="0.3">
      <c r="A7" s="4"/>
      <c r="B7" s="4"/>
      <c r="C7" s="4"/>
      <c r="D7" s="4"/>
      <c r="E7" s="4"/>
      <c r="F7" s="4"/>
      <c r="G7" s="4"/>
      <c r="H7" s="4"/>
      <c r="I7" s="4"/>
    </row>
    <row r="8" spans="1:12" ht="15" x14ac:dyDescent="0.15">
      <c r="A8" s="79" t="s">
        <v>84</v>
      </c>
      <c r="B8" s="79" t="s">
        <v>85</v>
      </c>
      <c r="C8" s="80" t="s">
        <v>86</v>
      </c>
      <c r="D8" s="80" t="s">
        <v>87</v>
      </c>
      <c r="E8" s="80" t="s">
        <v>107</v>
      </c>
      <c r="F8" s="80" t="s">
        <v>108</v>
      </c>
      <c r="G8" s="80" t="s">
        <v>109</v>
      </c>
      <c r="H8" s="80" t="s">
        <v>110</v>
      </c>
      <c r="I8" s="80" t="s">
        <v>111</v>
      </c>
      <c r="J8" s="79" t="s">
        <v>112</v>
      </c>
      <c r="K8" s="88" t="s">
        <v>151</v>
      </c>
    </row>
    <row r="9" spans="1:12" ht="33" x14ac:dyDescent="0.15">
      <c r="A9" s="81" t="s">
        <v>88</v>
      </c>
      <c r="B9" s="82" t="str">
        <f>IF(G9="","-",IF(H9="","未完成",IF(H9&gt;G9,"超时完成","按时完成")))</f>
        <v>超时完成</v>
      </c>
      <c r="C9" s="83" t="s">
        <v>80</v>
      </c>
      <c r="D9" s="81" t="s">
        <v>91</v>
      </c>
      <c r="E9" s="81"/>
      <c r="F9" s="85">
        <v>42079</v>
      </c>
      <c r="G9" s="85">
        <v>42096</v>
      </c>
      <c r="H9" s="85">
        <v>42099</v>
      </c>
      <c r="I9" s="86">
        <f>IF(H9="","-",NETWORKDAYS(H9,F9)-1)</f>
        <v>-16</v>
      </c>
      <c r="J9" s="81"/>
      <c r="K9" s="124" t="str">
        <f ca="1">IF(B9="未完成",G9-TODAY(),"-")</f>
        <v>-</v>
      </c>
    </row>
    <row r="10" spans="1:12" ht="33" x14ac:dyDescent="0.15">
      <c r="A10" s="81" t="s">
        <v>89</v>
      </c>
      <c r="B10" s="82" t="str">
        <f t="shared" ref="B10:B26" si="0">IF(G10="","-",IF(H10="","未完成",IF(H10&gt;G10,"超时完成","按时完成")))</f>
        <v>按时完成</v>
      </c>
      <c r="C10" s="83" t="s">
        <v>76</v>
      </c>
      <c r="D10" s="81" t="s">
        <v>93</v>
      </c>
      <c r="E10" s="81"/>
      <c r="F10" s="85">
        <v>42096</v>
      </c>
      <c r="G10" s="85">
        <v>42099</v>
      </c>
      <c r="H10" s="85">
        <v>42099</v>
      </c>
      <c r="I10" s="86">
        <f t="shared" ref="I10:I26" si="1">IF(H10="","-",NETWORKDAYS(H10,F10)-1)</f>
        <v>-3</v>
      </c>
      <c r="J10" s="81"/>
      <c r="K10" s="124" t="str">
        <f t="shared" ref="K10:K26" ca="1" si="2">IF(B10="未完成",G10-TODAY(),"-")</f>
        <v>-</v>
      </c>
      <c r="L10" s="125"/>
    </row>
    <row r="11" spans="1:12" ht="33" x14ac:dyDescent="0.15">
      <c r="A11" s="81" t="s">
        <v>113</v>
      </c>
      <c r="B11" s="82" t="str">
        <f t="shared" si="0"/>
        <v>未完成</v>
      </c>
      <c r="C11" s="83" t="s">
        <v>78</v>
      </c>
      <c r="D11" s="81" t="s">
        <v>96</v>
      </c>
      <c r="E11" s="81"/>
      <c r="F11" s="85">
        <v>42078</v>
      </c>
      <c r="G11" s="85">
        <v>42083</v>
      </c>
      <c r="H11" s="85"/>
      <c r="I11" s="86" t="str">
        <f t="shared" si="1"/>
        <v>-</v>
      </c>
      <c r="J11" s="81"/>
      <c r="K11" s="124">
        <f t="shared" ca="1" si="2"/>
        <v>-19</v>
      </c>
    </row>
    <row r="12" spans="1:12" ht="16.5" x14ac:dyDescent="0.15">
      <c r="A12" s="81"/>
      <c r="B12" s="82" t="str">
        <f t="shared" si="0"/>
        <v>-</v>
      </c>
      <c r="C12" s="83" t="s">
        <v>90</v>
      </c>
      <c r="D12" s="81" t="s">
        <v>90</v>
      </c>
      <c r="E12" s="81"/>
      <c r="F12" s="85"/>
      <c r="G12" s="85"/>
      <c r="H12" s="85"/>
      <c r="I12" s="86" t="str">
        <f t="shared" si="1"/>
        <v>-</v>
      </c>
      <c r="J12" s="81"/>
      <c r="K12" s="124" t="str">
        <f t="shared" ca="1" si="2"/>
        <v>-</v>
      </c>
    </row>
    <row r="13" spans="1:12" ht="16.5" x14ac:dyDescent="0.15">
      <c r="A13" s="81"/>
      <c r="B13" s="82" t="str">
        <f t="shared" si="0"/>
        <v>-</v>
      </c>
      <c r="C13" s="83" t="s">
        <v>90</v>
      </c>
      <c r="D13" s="81" t="s">
        <v>90</v>
      </c>
      <c r="E13" s="81"/>
      <c r="F13" s="85"/>
      <c r="G13" s="85"/>
      <c r="H13" s="85"/>
      <c r="I13" s="86" t="str">
        <f t="shared" si="1"/>
        <v>-</v>
      </c>
      <c r="J13" s="81"/>
      <c r="K13" s="124" t="str">
        <f t="shared" ca="1" si="2"/>
        <v>-</v>
      </c>
    </row>
    <row r="14" spans="1:12" ht="16.5" x14ac:dyDescent="0.15">
      <c r="A14" s="81"/>
      <c r="B14" s="82" t="str">
        <f t="shared" si="0"/>
        <v>-</v>
      </c>
      <c r="C14" s="83" t="s">
        <v>90</v>
      </c>
      <c r="D14" s="81" t="s">
        <v>90</v>
      </c>
      <c r="E14" s="81"/>
      <c r="F14" s="85"/>
      <c r="G14" s="85"/>
      <c r="H14" s="85"/>
      <c r="I14" s="86" t="str">
        <f t="shared" si="1"/>
        <v>-</v>
      </c>
      <c r="J14" s="81"/>
      <c r="K14" s="124" t="str">
        <f t="shared" ca="1" si="2"/>
        <v>-</v>
      </c>
    </row>
    <row r="15" spans="1:12" ht="16.5" x14ac:dyDescent="0.15">
      <c r="A15" s="81"/>
      <c r="B15" s="82" t="str">
        <f t="shared" si="0"/>
        <v>-</v>
      </c>
      <c r="C15" s="83" t="s">
        <v>90</v>
      </c>
      <c r="D15" s="81" t="s">
        <v>90</v>
      </c>
      <c r="E15" s="81"/>
      <c r="F15" s="85"/>
      <c r="G15" s="85"/>
      <c r="H15" s="85"/>
      <c r="I15" s="86" t="str">
        <f t="shared" si="1"/>
        <v>-</v>
      </c>
      <c r="J15" s="81"/>
      <c r="K15" s="124" t="str">
        <f t="shared" ca="1" si="2"/>
        <v>-</v>
      </c>
    </row>
    <row r="16" spans="1:12" ht="16.5" x14ac:dyDescent="0.15">
      <c r="A16" s="81"/>
      <c r="B16" s="82" t="str">
        <f t="shared" si="0"/>
        <v>-</v>
      </c>
      <c r="C16" s="83" t="s">
        <v>90</v>
      </c>
      <c r="D16" s="81" t="s">
        <v>90</v>
      </c>
      <c r="E16" s="81"/>
      <c r="F16" s="85"/>
      <c r="G16" s="85"/>
      <c r="H16" s="85"/>
      <c r="I16" s="86" t="str">
        <f t="shared" si="1"/>
        <v>-</v>
      </c>
      <c r="J16" s="81"/>
      <c r="K16" s="124" t="str">
        <f t="shared" ca="1" si="2"/>
        <v>-</v>
      </c>
    </row>
    <row r="17" spans="1:11" ht="16.5" x14ac:dyDescent="0.15">
      <c r="A17" s="81"/>
      <c r="B17" s="82" t="str">
        <f t="shared" si="0"/>
        <v>-</v>
      </c>
      <c r="C17" s="83" t="s">
        <v>90</v>
      </c>
      <c r="D17" s="81" t="s">
        <v>90</v>
      </c>
      <c r="E17" s="81"/>
      <c r="F17" s="85"/>
      <c r="G17" s="85"/>
      <c r="H17" s="85"/>
      <c r="I17" s="86" t="str">
        <f t="shared" si="1"/>
        <v>-</v>
      </c>
      <c r="J17" s="81"/>
      <c r="K17" s="124" t="str">
        <f t="shared" ca="1" si="2"/>
        <v>-</v>
      </c>
    </row>
    <row r="18" spans="1:11" ht="16.5" x14ac:dyDescent="0.15">
      <c r="A18" s="81"/>
      <c r="B18" s="82" t="str">
        <f t="shared" si="0"/>
        <v>-</v>
      </c>
      <c r="C18" s="83" t="s">
        <v>90</v>
      </c>
      <c r="D18" s="81" t="s">
        <v>90</v>
      </c>
      <c r="E18" s="81"/>
      <c r="F18" s="85"/>
      <c r="G18" s="85"/>
      <c r="H18" s="85"/>
      <c r="I18" s="86" t="str">
        <f t="shared" si="1"/>
        <v>-</v>
      </c>
      <c r="J18" s="81"/>
      <c r="K18" s="124" t="str">
        <f t="shared" ca="1" si="2"/>
        <v>-</v>
      </c>
    </row>
    <row r="19" spans="1:11" ht="16.5" x14ac:dyDescent="0.15">
      <c r="A19" s="81"/>
      <c r="B19" s="82" t="str">
        <f t="shared" si="0"/>
        <v>-</v>
      </c>
      <c r="C19" s="83" t="s">
        <v>90</v>
      </c>
      <c r="D19" s="81" t="s">
        <v>90</v>
      </c>
      <c r="E19" s="81"/>
      <c r="F19" s="85"/>
      <c r="G19" s="85"/>
      <c r="H19" s="85"/>
      <c r="I19" s="86" t="str">
        <f t="shared" si="1"/>
        <v>-</v>
      </c>
      <c r="J19" s="81"/>
      <c r="K19" s="124" t="str">
        <f t="shared" ca="1" si="2"/>
        <v>-</v>
      </c>
    </row>
    <row r="20" spans="1:11" ht="16.5" x14ac:dyDescent="0.15">
      <c r="A20" s="81"/>
      <c r="B20" s="82" t="str">
        <f t="shared" si="0"/>
        <v>-</v>
      </c>
      <c r="C20" s="83" t="s">
        <v>90</v>
      </c>
      <c r="D20" s="81" t="s">
        <v>90</v>
      </c>
      <c r="E20" s="81"/>
      <c r="F20" s="85"/>
      <c r="G20" s="85"/>
      <c r="H20" s="85"/>
      <c r="I20" s="86" t="str">
        <f t="shared" si="1"/>
        <v>-</v>
      </c>
      <c r="J20" s="81"/>
      <c r="K20" s="124" t="str">
        <f t="shared" ca="1" si="2"/>
        <v>-</v>
      </c>
    </row>
    <row r="21" spans="1:11" ht="16.5" x14ac:dyDescent="0.15">
      <c r="A21" s="81"/>
      <c r="B21" s="82" t="str">
        <f t="shared" si="0"/>
        <v>-</v>
      </c>
      <c r="C21" s="83" t="s">
        <v>90</v>
      </c>
      <c r="D21" s="81" t="s">
        <v>90</v>
      </c>
      <c r="E21" s="81"/>
      <c r="F21" s="85"/>
      <c r="G21" s="85"/>
      <c r="H21" s="85"/>
      <c r="I21" s="86" t="str">
        <f t="shared" si="1"/>
        <v>-</v>
      </c>
      <c r="J21" s="81"/>
      <c r="K21" s="124" t="str">
        <f t="shared" ca="1" si="2"/>
        <v>-</v>
      </c>
    </row>
    <row r="22" spans="1:11" ht="16.5" x14ac:dyDescent="0.15">
      <c r="A22" s="81"/>
      <c r="B22" s="82" t="str">
        <f t="shared" si="0"/>
        <v>-</v>
      </c>
      <c r="C22" s="83" t="s">
        <v>90</v>
      </c>
      <c r="D22" s="81" t="s">
        <v>90</v>
      </c>
      <c r="E22" s="81"/>
      <c r="F22" s="85"/>
      <c r="G22" s="85"/>
      <c r="H22" s="85"/>
      <c r="I22" s="86" t="str">
        <f t="shared" si="1"/>
        <v>-</v>
      </c>
      <c r="J22" s="81"/>
      <c r="K22" s="124" t="str">
        <f t="shared" ca="1" si="2"/>
        <v>-</v>
      </c>
    </row>
    <row r="23" spans="1:11" ht="16.5" x14ac:dyDescent="0.15">
      <c r="A23" s="81"/>
      <c r="B23" s="82" t="str">
        <f t="shared" si="0"/>
        <v>-</v>
      </c>
      <c r="C23" s="83" t="s">
        <v>90</v>
      </c>
      <c r="D23" s="81" t="s">
        <v>90</v>
      </c>
      <c r="E23" s="81"/>
      <c r="F23" s="85"/>
      <c r="G23" s="85"/>
      <c r="H23" s="85"/>
      <c r="I23" s="86" t="str">
        <f t="shared" si="1"/>
        <v>-</v>
      </c>
      <c r="J23" s="81"/>
      <c r="K23" s="124" t="str">
        <f t="shared" ca="1" si="2"/>
        <v>-</v>
      </c>
    </row>
    <row r="24" spans="1:11" ht="16.5" x14ac:dyDescent="0.15">
      <c r="A24" s="81"/>
      <c r="B24" s="82" t="str">
        <f t="shared" si="0"/>
        <v>-</v>
      </c>
      <c r="C24" s="83" t="s">
        <v>90</v>
      </c>
      <c r="D24" s="81" t="s">
        <v>90</v>
      </c>
      <c r="E24" s="81"/>
      <c r="F24" s="85"/>
      <c r="G24" s="85"/>
      <c r="H24" s="85"/>
      <c r="I24" s="86" t="str">
        <f t="shared" si="1"/>
        <v>-</v>
      </c>
      <c r="J24" s="81"/>
      <c r="K24" s="124" t="str">
        <f t="shared" ca="1" si="2"/>
        <v>-</v>
      </c>
    </row>
    <row r="25" spans="1:11" ht="16.5" x14ac:dyDescent="0.15">
      <c r="A25" s="81"/>
      <c r="B25" s="82" t="str">
        <f t="shared" si="0"/>
        <v>-</v>
      </c>
      <c r="C25" s="83" t="s">
        <v>90</v>
      </c>
      <c r="D25" s="81" t="s">
        <v>90</v>
      </c>
      <c r="E25" s="81"/>
      <c r="F25" s="85"/>
      <c r="G25" s="85"/>
      <c r="H25" s="85"/>
      <c r="I25" s="86" t="str">
        <f t="shared" si="1"/>
        <v>-</v>
      </c>
      <c r="J25" s="81"/>
      <c r="K25" s="124" t="str">
        <f t="shared" ca="1" si="2"/>
        <v>-</v>
      </c>
    </row>
    <row r="26" spans="1:11" ht="16.5" x14ac:dyDescent="0.15">
      <c r="A26" s="81"/>
      <c r="B26" s="82" t="str">
        <f t="shared" si="0"/>
        <v>-</v>
      </c>
      <c r="C26" s="83" t="s">
        <v>90</v>
      </c>
      <c r="D26" s="81" t="s">
        <v>90</v>
      </c>
      <c r="E26" s="81"/>
      <c r="F26" s="85"/>
      <c r="G26" s="85"/>
      <c r="H26" s="85"/>
      <c r="I26" s="86" t="str">
        <f t="shared" si="1"/>
        <v>-</v>
      </c>
      <c r="J26" s="81"/>
      <c r="K26" s="124" t="str">
        <f t="shared" ca="1" si="2"/>
        <v>-</v>
      </c>
    </row>
  </sheetData>
  <phoneticPr fontId="2" type="noConversion"/>
  <conditionalFormatting sqref="C9:C26">
    <cfRule type="cellIs" dxfId="25" priority="3" stopIfTrue="1" operator="equal">
      <formula>"Done"</formula>
    </cfRule>
    <cfRule type="cellIs" dxfId="24" priority="4" stopIfTrue="1" operator="equal">
      <formula>"高"</formula>
    </cfRule>
    <cfRule type="cellIs" dxfId="23" priority="5" stopIfTrue="1" operator="equal">
      <formula>"低"</formula>
    </cfRule>
  </conditionalFormatting>
  <conditionalFormatting sqref="K9:K26">
    <cfRule type="iconSet" priority="1">
      <iconSet>
        <cfvo type="percent" val="0"/>
        <cfvo type="num" val="0"/>
        <cfvo type="num" val="1"/>
      </iconSet>
    </cfRule>
  </conditionalFormatting>
  <dataValidations count="3">
    <dataValidation type="list" allowBlank="1" showInputMessage="1" showErrorMessage="1" sqref="D9:D26">
      <formula1>难易度</formula1>
    </dataValidation>
    <dataValidation type="list" allowBlank="1" showInputMessage="1" showErrorMessage="1" sqref="C9:C26">
      <formula1>任务优先级</formula1>
    </dataValidation>
    <dataValidation type="list" allowBlank="1" showInputMessage="1" showErrorMessage="1" sqref="E9:E26">
      <formula1>团队成员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9"/>
  <sheetViews>
    <sheetView workbookViewId="0">
      <selection activeCell="H6" sqref="H6"/>
    </sheetView>
  </sheetViews>
  <sheetFormatPr defaultRowHeight="13.5" x14ac:dyDescent="0.15"/>
  <cols>
    <col min="7" max="8" width="15.125" customWidth="1"/>
    <col min="9" max="9" width="33.5" customWidth="1"/>
    <col min="10" max="10" width="28.625" customWidth="1"/>
    <col min="11" max="11" width="11.125" customWidth="1"/>
    <col min="12" max="12" width="10.25" customWidth="1"/>
    <col min="13" max="13" width="13.125" customWidth="1"/>
    <col min="14" max="14" width="12.375" customWidth="1"/>
    <col min="15" max="15" width="10.25" customWidth="1"/>
    <col min="16" max="16" width="12.375" customWidth="1"/>
  </cols>
  <sheetData>
    <row r="2" spans="1:17" ht="29.25" x14ac:dyDescent="0.5">
      <c r="A2" s="77" t="s">
        <v>142</v>
      </c>
    </row>
    <row r="4" spans="1:17" ht="18" x14ac:dyDescent="0.35">
      <c r="A4" s="90" t="s">
        <v>164</v>
      </c>
      <c r="B4" s="91" t="s">
        <v>122</v>
      </c>
      <c r="C4" s="92"/>
      <c r="D4" s="92"/>
      <c r="E4" s="92"/>
      <c r="F4" s="93" t="s">
        <v>123</v>
      </c>
      <c r="I4" s="92"/>
      <c r="J4" s="93" t="s">
        <v>124</v>
      </c>
      <c r="K4" s="92"/>
      <c r="L4" s="92"/>
      <c r="M4" s="92"/>
      <c r="N4" s="91" t="s">
        <v>125</v>
      </c>
      <c r="O4" s="92"/>
      <c r="P4" s="92"/>
      <c r="Q4" s="92"/>
    </row>
    <row r="5" spans="1:17" ht="25.5" customHeight="1" x14ac:dyDescent="0.15">
      <c r="A5" s="94" t="s">
        <v>165</v>
      </c>
      <c r="B5" s="87" t="s">
        <v>143</v>
      </c>
      <c r="C5" s="87" t="s">
        <v>144</v>
      </c>
      <c r="D5" s="87" t="s">
        <v>145</v>
      </c>
      <c r="E5" s="87" t="s">
        <v>168</v>
      </c>
      <c r="F5" s="89" t="s">
        <v>180</v>
      </c>
      <c r="G5" s="89" t="s">
        <v>146</v>
      </c>
      <c r="H5" s="89" t="s">
        <v>311</v>
      </c>
      <c r="I5" s="89" t="s">
        <v>147</v>
      </c>
      <c r="J5" s="87" t="s">
        <v>148</v>
      </c>
      <c r="K5" s="87" t="s">
        <v>166</v>
      </c>
      <c r="L5" s="87" t="s">
        <v>150</v>
      </c>
      <c r="M5" s="87" t="s">
        <v>151</v>
      </c>
      <c r="N5" s="89" t="s">
        <v>152</v>
      </c>
      <c r="O5" s="89" t="s">
        <v>153</v>
      </c>
      <c r="P5" s="89" t="s">
        <v>154</v>
      </c>
      <c r="Q5" s="89" t="s">
        <v>155</v>
      </c>
    </row>
    <row r="6" spans="1:17" x14ac:dyDescent="0.15">
      <c r="A6" s="103" t="s">
        <v>90</v>
      </c>
      <c r="B6" s="103" t="s">
        <v>90</v>
      </c>
      <c r="C6" s="104"/>
      <c r="D6" s="105" t="s">
        <v>90</v>
      </c>
      <c r="E6" s="105"/>
      <c r="F6" s="105"/>
      <c r="G6" s="106" t="s">
        <v>126</v>
      </c>
      <c r="H6" s="224"/>
      <c r="I6" s="237" t="s">
        <v>127</v>
      </c>
      <c r="J6" s="238"/>
      <c r="K6" s="238"/>
      <c r="L6" s="238"/>
      <c r="M6" s="238"/>
      <c r="N6" s="238"/>
      <c r="O6" s="238"/>
      <c r="P6" s="238"/>
      <c r="Q6" s="239"/>
    </row>
    <row r="7" spans="1:17" ht="30.75" customHeight="1" x14ac:dyDescent="0.15">
      <c r="A7" s="95" t="s">
        <v>90</v>
      </c>
      <c r="B7" s="95" t="s">
        <v>157</v>
      </c>
      <c r="C7" s="96">
        <v>40854</v>
      </c>
      <c r="D7" s="97" t="s">
        <v>78</v>
      </c>
      <c r="E7" s="97" t="s">
        <v>171</v>
      </c>
      <c r="F7" s="97"/>
      <c r="G7" s="98" t="s">
        <v>128</v>
      </c>
      <c r="H7" s="98"/>
      <c r="I7" s="98" t="s">
        <v>129</v>
      </c>
      <c r="J7" s="99" t="s">
        <v>130</v>
      </c>
      <c r="K7" s="100">
        <v>41153</v>
      </c>
      <c r="L7" s="101">
        <v>1</v>
      </c>
      <c r="M7" s="97" t="str">
        <f ca="1">IF(K7="","",IF(B7="完成"," - ",K7-TODAY()))</f>
        <v xml:space="preserve"> - </v>
      </c>
      <c r="N7" s="102">
        <f>P7*50</f>
        <v>0</v>
      </c>
      <c r="O7" s="97"/>
      <c r="P7" s="97"/>
      <c r="Q7" s="97" t="s">
        <v>131</v>
      </c>
    </row>
    <row r="8" spans="1:17" ht="28.5" customHeight="1" x14ac:dyDescent="0.15">
      <c r="A8" s="95" t="s">
        <v>90</v>
      </c>
      <c r="B8" s="95" t="s">
        <v>158</v>
      </c>
      <c r="C8" s="96"/>
      <c r="D8" s="97" t="s">
        <v>80</v>
      </c>
      <c r="E8" s="97" t="s">
        <v>173</v>
      </c>
      <c r="F8" s="97"/>
      <c r="G8" s="98" t="s">
        <v>128</v>
      </c>
      <c r="H8" s="98"/>
      <c r="I8" s="98" t="s">
        <v>132</v>
      </c>
      <c r="J8" s="99" t="s">
        <v>133</v>
      </c>
      <c r="K8" s="100">
        <v>41739</v>
      </c>
      <c r="L8" s="101">
        <v>0.5</v>
      </c>
      <c r="M8" s="97">
        <f ca="1">IF(K8="","",IF(B8="完成"," - ",K8-TODAY()))</f>
        <v>-363</v>
      </c>
      <c r="N8" s="102">
        <f t="shared" ref="N8:N9" si="0">P8*50</f>
        <v>250</v>
      </c>
      <c r="O8" s="97">
        <v>10</v>
      </c>
      <c r="P8" s="97">
        <v>5</v>
      </c>
      <c r="Q8" s="97"/>
    </row>
    <row r="9" spans="1:17" x14ac:dyDescent="0.15">
      <c r="A9" s="95" t="s">
        <v>90</v>
      </c>
      <c r="B9" s="95" t="s">
        <v>158</v>
      </c>
      <c r="C9" s="96"/>
      <c r="D9" s="97" t="s">
        <v>90</v>
      </c>
      <c r="E9" s="97"/>
      <c r="F9" s="97"/>
      <c r="G9" s="98"/>
      <c r="H9" s="98"/>
      <c r="I9" s="98"/>
      <c r="J9" s="99" t="s">
        <v>134</v>
      </c>
      <c r="K9" s="100">
        <v>42099</v>
      </c>
      <c r="L9" s="101">
        <v>0</v>
      </c>
      <c r="M9" s="97">
        <f ca="1">IF(K9="","",IF(B9="完成"," - ",K9-TODAY()))</f>
        <v>-3</v>
      </c>
      <c r="N9" s="102">
        <f t="shared" si="0"/>
        <v>0</v>
      </c>
      <c r="O9" s="97">
        <v>10</v>
      </c>
      <c r="P9" s="97"/>
      <c r="Q9" s="97"/>
    </row>
    <row r="10" spans="1:17" x14ac:dyDescent="0.15">
      <c r="A10" s="103" t="s">
        <v>90</v>
      </c>
      <c r="B10" s="103" t="s">
        <v>90</v>
      </c>
      <c r="C10" s="104"/>
      <c r="D10" s="105" t="s">
        <v>90</v>
      </c>
      <c r="E10" s="105"/>
      <c r="F10" s="105"/>
      <c r="G10" s="106" t="s">
        <v>135</v>
      </c>
      <c r="H10" s="224"/>
      <c r="I10" s="237" t="s">
        <v>136</v>
      </c>
      <c r="J10" s="238"/>
      <c r="K10" s="238"/>
      <c r="L10" s="238"/>
      <c r="M10" s="238"/>
      <c r="N10" s="238"/>
      <c r="O10" s="238"/>
      <c r="P10" s="238"/>
      <c r="Q10" s="239"/>
    </row>
    <row r="11" spans="1:17" x14ac:dyDescent="0.15">
      <c r="A11" s="95" t="s">
        <v>90</v>
      </c>
      <c r="B11" s="95" t="s">
        <v>90</v>
      </c>
      <c r="C11" s="96"/>
      <c r="D11" s="97" t="s">
        <v>80</v>
      </c>
      <c r="E11" s="97" t="s">
        <v>171</v>
      </c>
      <c r="F11" s="97"/>
      <c r="G11" s="98" t="s">
        <v>137</v>
      </c>
      <c r="H11" s="98"/>
      <c r="I11" s="98" t="s">
        <v>138</v>
      </c>
      <c r="J11" s="99" t="s">
        <v>139</v>
      </c>
      <c r="K11" s="100"/>
      <c r="L11" s="101"/>
      <c r="M11" s="97" t="str">
        <f ca="1">IF(K11="","",IF(B11="完成"," - ",K11-TODAY()))</f>
        <v/>
      </c>
      <c r="N11" s="102">
        <f>P11*50</f>
        <v>0</v>
      </c>
      <c r="O11" s="97"/>
      <c r="P11" s="97"/>
      <c r="Q11" s="97"/>
    </row>
    <row r="12" spans="1:17" x14ac:dyDescent="0.15">
      <c r="A12" s="95" t="s">
        <v>90</v>
      </c>
      <c r="B12" s="95" t="s">
        <v>90</v>
      </c>
      <c r="C12" s="96"/>
      <c r="D12" s="97" t="s">
        <v>76</v>
      </c>
      <c r="E12" s="97"/>
      <c r="F12" s="97"/>
      <c r="G12" s="98" t="s">
        <v>140</v>
      </c>
      <c r="H12" s="98"/>
      <c r="I12" s="98"/>
      <c r="J12" s="99"/>
      <c r="K12" s="97"/>
      <c r="L12" s="101"/>
      <c r="M12" s="97" t="str">
        <f ca="1">IF(K12="","",IF(B12="完成"," - ",K12-TODAY()))</f>
        <v/>
      </c>
      <c r="N12" s="102">
        <f t="shared" ref="N12:N14" si="1">P12*50</f>
        <v>0</v>
      </c>
      <c r="O12" s="97"/>
      <c r="P12" s="97"/>
      <c r="Q12" s="97"/>
    </row>
    <row r="13" spans="1:17" x14ac:dyDescent="0.15">
      <c r="A13" s="95" t="s">
        <v>90</v>
      </c>
      <c r="B13" s="95" t="s">
        <v>90</v>
      </c>
      <c r="C13" s="96"/>
      <c r="D13" s="97" t="s">
        <v>78</v>
      </c>
      <c r="E13" s="97" t="s">
        <v>171</v>
      </c>
      <c r="F13" s="97"/>
      <c r="G13" s="98" t="s">
        <v>141</v>
      </c>
      <c r="H13" s="98"/>
      <c r="I13" s="98"/>
      <c r="J13" s="99"/>
      <c r="K13" s="97"/>
      <c r="L13" s="101"/>
      <c r="M13" s="97" t="str">
        <f ca="1">IF(K13="","",IF(B13="完成"," - ",K13-TODAY()))</f>
        <v/>
      </c>
      <c r="N13" s="102">
        <f t="shared" si="1"/>
        <v>0</v>
      </c>
      <c r="O13" s="97"/>
      <c r="P13" s="97"/>
      <c r="Q13" s="97"/>
    </row>
    <row r="14" spans="1:17" x14ac:dyDescent="0.15">
      <c r="A14" s="95" t="s">
        <v>90</v>
      </c>
      <c r="B14" s="95" t="s">
        <v>90</v>
      </c>
      <c r="C14" s="96"/>
      <c r="D14" s="97" t="s">
        <v>90</v>
      </c>
      <c r="E14" s="97"/>
      <c r="F14" s="97"/>
      <c r="G14" s="98"/>
      <c r="H14" s="98"/>
      <c r="I14" s="98"/>
      <c r="J14" s="99"/>
      <c r="K14" s="97"/>
      <c r="L14" s="101"/>
      <c r="M14" s="97" t="str">
        <f ca="1">IF(K14="","",IF(B14="完成"," - ",K14-TODAY()))</f>
        <v/>
      </c>
      <c r="N14" s="102">
        <f t="shared" si="1"/>
        <v>0</v>
      </c>
      <c r="O14" s="97"/>
      <c r="P14" s="97"/>
      <c r="Q14" s="97"/>
    </row>
    <row r="15" spans="1:17" x14ac:dyDescent="0.15">
      <c r="A15" s="103" t="s">
        <v>90</v>
      </c>
      <c r="B15" s="103" t="s">
        <v>90</v>
      </c>
      <c r="C15" s="104"/>
      <c r="D15" s="105" t="s">
        <v>90</v>
      </c>
      <c r="E15" s="105"/>
      <c r="F15" s="105"/>
      <c r="G15" s="106" t="s">
        <v>126</v>
      </c>
      <c r="H15" s="224"/>
      <c r="I15" s="237" t="s">
        <v>127</v>
      </c>
      <c r="J15" s="238"/>
      <c r="K15" s="238"/>
      <c r="L15" s="238"/>
      <c r="M15" s="238"/>
      <c r="N15" s="238"/>
      <c r="O15" s="238"/>
      <c r="P15" s="238"/>
      <c r="Q15" s="239"/>
    </row>
    <row r="16" spans="1:17" x14ac:dyDescent="0.15">
      <c r="A16" s="95" t="s">
        <v>90</v>
      </c>
      <c r="B16" s="95" t="s">
        <v>90</v>
      </c>
      <c r="C16" s="96"/>
      <c r="D16" s="97" t="s">
        <v>90</v>
      </c>
      <c r="E16" s="97"/>
      <c r="F16" s="97"/>
      <c r="G16" s="98"/>
      <c r="H16" s="98"/>
      <c r="I16" s="98"/>
      <c r="J16" s="99"/>
      <c r="K16" s="97"/>
      <c r="L16" s="101"/>
      <c r="M16" s="97" t="str">
        <f ca="1">IF(K16="","",IF(B16="完成"," - ",K16-TODAY()))</f>
        <v/>
      </c>
      <c r="N16" s="102">
        <f>P16*50</f>
        <v>0</v>
      </c>
      <c r="O16" s="97"/>
      <c r="P16" s="97"/>
      <c r="Q16" s="97"/>
    </row>
    <row r="17" spans="1:17" x14ac:dyDescent="0.15">
      <c r="A17" s="95" t="s">
        <v>90</v>
      </c>
      <c r="B17" s="95" t="s">
        <v>90</v>
      </c>
      <c r="C17" s="96"/>
      <c r="D17" s="97" t="s">
        <v>90</v>
      </c>
      <c r="E17" s="97"/>
      <c r="F17" s="97"/>
      <c r="G17" s="98"/>
      <c r="H17" s="98"/>
      <c r="I17" s="98"/>
      <c r="J17" s="99"/>
      <c r="K17" s="97"/>
      <c r="L17" s="101"/>
      <c r="M17" s="97" t="str">
        <f ca="1">IF(K17="","",IF(B17="完成"," - ",K17-TODAY()))</f>
        <v/>
      </c>
      <c r="N17" s="102">
        <f t="shared" ref="N17:N19" si="2">P17*50</f>
        <v>0</v>
      </c>
      <c r="O17" s="97"/>
      <c r="P17" s="97"/>
      <c r="Q17" s="97"/>
    </row>
    <row r="18" spans="1:17" x14ac:dyDescent="0.15">
      <c r="A18" s="95" t="s">
        <v>90</v>
      </c>
      <c r="B18" s="95" t="s">
        <v>90</v>
      </c>
      <c r="C18" s="96"/>
      <c r="D18" s="97" t="s">
        <v>90</v>
      </c>
      <c r="E18" s="97"/>
      <c r="F18" s="97"/>
      <c r="G18" s="98"/>
      <c r="H18" s="98"/>
      <c r="I18" s="98"/>
      <c r="J18" s="99"/>
      <c r="K18" s="97"/>
      <c r="L18" s="101"/>
      <c r="M18" s="97" t="str">
        <f ca="1">IF(K18="","",IF(B18="完成"," - ",K18-TODAY()))</f>
        <v/>
      </c>
      <c r="N18" s="102">
        <f t="shared" si="2"/>
        <v>0</v>
      </c>
      <c r="O18" s="97"/>
      <c r="P18" s="97"/>
      <c r="Q18" s="97"/>
    </row>
    <row r="19" spans="1:17" x14ac:dyDescent="0.15">
      <c r="A19" s="95" t="s">
        <v>90</v>
      </c>
      <c r="B19" s="95" t="s">
        <v>90</v>
      </c>
      <c r="C19" s="96"/>
      <c r="D19" s="97" t="s">
        <v>90</v>
      </c>
      <c r="E19" s="97"/>
      <c r="F19" s="97"/>
      <c r="G19" s="98"/>
      <c r="H19" s="98"/>
      <c r="I19" s="98"/>
      <c r="J19" s="99"/>
      <c r="K19" s="97"/>
      <c r="L19" s="101"/>
      <c r="M19" s="97" t="str">
        <f ca="1">IF(K19="","",IF(B19="完成"," - ",K19-TODAY()))</f>
        <v/>
      </c>
      <c r="N19" s="102">
        <f t="shared" si="2"/>
        <v>0</v>
      </c>
      <c r="O19" s="97"/>
      <c r="P19" s="97"/>
      <c r="Q19" s="97"/>
    </row>
    <row r="20" spans="1:17" x14ac:dyDescent="0.15">
      <c r="A20" s="103" t="s">
        <v>90</v>
      </c>
      <c r="B20" s="103" t="s">
        <v>90</v>
      </c>
      <c r="C20" s="104"/>
      <c r="D20" s="105" t="s">
        <v>90</v>
      </c>
      <c r="E20" s="105"/>
      <c r="F20" s="105"/>
      <c r="G20" s="106" t="s">
        <v>126</v>
      </c>
      <c r="H20" s="224"/>
      <c r="I20" s="237" t="s">
        <v>127</v>
      </c>
      <c r="J20" s="238"/>
      <c r="K20" s="238"/>
      <c r="L20" s="238"/>
      <c r="M20" s="238"/>
      <c r="N20" s="238"/>
      <c r="O20" s="238"/>
      <c r="P20" s="238"/>
      <c r="Q20" s="239"/>
    </row>
    <row r="21" spans="1:17" x14ac:dyDescent="0.15">
      <c r="A21" s="95" t="s">
        <v>90</v>
      </c>
      <c r="B21" s="95" t="s">
        <v>90</v>
      </c>
      <c r="C21" s="96"/>
      <c r="D21" s="97" t="s">
        <v>90</v>
      </c>
      <c r="E21" s="97"/>
      <c r="F21" s="97"/>
      <c r="G21" s="98"/>
      <c r="H21" s="98"/>
      <c r="I21" s="98"/>
      <c r="J21" s="99"/>
      <c r="K21" s="97"/>
      <c r="L21" s="101"/>
      <c r="M21" s="97" t="str">
        <f ca="1">IF(K21="","",IF(B21="完成"," - ",K21-TODAY()))</f>
        <v/>
      </c>
      <c r="N21" s="102">
        <f>P21*50</f>
        <v>0</v>
      </c>
      <c r="O21" s="97"/>
      <c r="P21" s="97"/>
      <c r="Q21" s="97"/>
    </row>
    <row r="22" spans="1:17" x14ac:dyDescent="0.15">
      <c r="A22" s="95" t="s">
        <v>90</v>
      </c>
      <c r="B22" s="95" t="s">
        <v>90</v>
      </c>
      <c r="C22" s="96"/>
      <c r="D22" s="97" t="s">
        <v>90</v>
      </c>
      <c r="E22" s="97"/>
      <c r="F22" s="97"/>
      <c r="G22" s="98"/>
      <c r="H22" s="98"/>
      <c r="I22" s="98"/>
      <c r="J22" s="99"/>
      <c r="K22" s="97"/>
      <c r="L22" s="101"/>
      <c r="M22" s="97" t="str">
        <f ca="1">IF(K22="","",IF(B22="完成"," - ",K22-TODAY()))</f>
        <v/>
      </c>
      <c r="N22" s="102">
        <f t="shared" ref="N22:N24" si="3">P22*50</f>
        <v>0</v>
      </c>
      <c r="O22" s="97"/>
      <c r="P22" s="97"/>
      <c r="Q22" s="97"/>
    </row>
    <row r="23" spans="1:17" x14ac:dyDescent="0.15">
      <c r="A23" s="95" t="s">
        <v>90</v>
      </c>
      <c r="B23" s="95" t="s">
        <v>90</v>
      </c>
      <c r="C23" s="96"/>
      <c r="D23" s="97" t="s">
        <v>90</v>
      </c>
      <c r="E23" s="97"/>
      <c r="F23" s="97"/>
      <c r="G23" s="98"/>
      <c r="H23" s="98"/>
      <c r="I23" s="98"/>
      <c r="J23" s="99"/>
      <c r="K23" s="97"/>
      <c r="L23" s="101"/>
      <c r="M23" s="97" t="str">
        <f ca="1">IF(K23="","",IF(B23="完成"," - ",K23-TODAY()))</f>
        <v/>
      </c>
      <c r="N23" s="102">
        <f t="shared" si="3"/>
        <v>0</v>
      </c>
      <c r="O23" s="97"/>
      <c r="P23" s="97"/>
      <c r="Q23" s="97"/>
    </row>
    <row r="24" spans="1:17" x14ac:dyDescent="0.15">
      <c r="A24" s="95" t="s">
        <v>90</v>
      </c>
      <c r="B24" s="95" t="s">
        <v>90</v>
      </c>
      <c r="C24" s="96"/>
      <c r="D24" s="97" t="s">
        <v>90</v>
      </c>
      <c r="E24" s="97"/>
      <c r="F24" s="97"/>
      <c r="G24" s="98"/>
      <c r="H24" s="98"/>
      <c r="I24" s="98"/>
      <c r="J24" s="99"/>
      <c r="K24" s="97"/>
      <c r="L24" s="101"/>
      <c r="M24" s="97" t="str">
        <f ca="1">IF(K24="","",IF(B24="完成"," - ",K24-TODAY()))</f>
        <v/>
      </c>
      <c r="N24" s="102">
        <f t="shared" si="3"/>
        <v>0</v>
      </c>
      <c r="O24" s="97"/>
      <c r="P24" s="97"/>
      <c r="Q24" s="97"/>
    </row>
    <row r="25" spans="1:17" x14ac:dyDescent="0.15">
      <c r="A25" s="103" t="s">
        <v>90</v>
      </c>
      <c r="B25" s="103" t="s">
        <v>90</v>
      </c>
      <c r="C25" s="104"/>
      <c r="D25" s="105" t="s">
        <v>90</v>
      </c>
      <c r="E25" s="105"/>
      <c r="F25" s="105"/>
      <c r="G25" s="106" t="s">
        <v>126</v>
      </c>
      <c r="H25" s="224"/>
      <c r="I25" s="237" t="s">
        <v>127</v>
      </c>
      <c r="J25" s="238"/>
      <c r="K25" s="238"/>
      <c r="L25" s="238"/>
      <c r="M25" s="238"/>
      <c r="N25" s="238"/>
      <c r="O25" s="238"/>
      <c r="P25" s="238"/>
      <c r="Q25" s="239"/>
    </row>
    <row r="26" spans="1:17" x14ac:dyDescent="0.15">
      <c r="A26" s="95" t="s">
        <v>90</v>
      </c>
      <c r="B26" s="95" t="s">
        <v>90</v>
      </c>
      <c r="C26" s="96"/>
      <c r="D26" s="97" t="s">
        <v>90</v>
      </c>
      <c r="E26" s="97"/>
      <c r="F26" s="97"/>
      <c r="G26" s="98"/>
      <c r="H26" s="98"/>
      <c r="I26" s="98"/>
      <c r="J26" s="99"/>
      <c r="K26" s="97"/>
      <c r="L26" s="101"/>
      <c r="M26" s="97" t="str">
        <f ca="1">IF(K26="","",IF(B26="完成"," - ",K26-TODAY()))</f>
        <v/>
      </c>
      <c r="N26" s="102">
        <f>P26*50</f>
        <v>0</v>
      </c>
      <c r="O26" s="97"/>
      <c r="P26" s="97"/>
      <c r="Q26" s="97"/>
    </row>
    <row r="27" spans="1:17" x14ac:dyDescent="0.15">
      <c r="A27" s="95" t="s">
        <v>90</v>
      </c>
      <c r="B27" s="95" t="s">
        <v>90</v>
      </c>
      <c r="C27" s="96"/>
      <c r="D27" s="97" t="s">
        <v>90</v>
      </c>
      <c r="E27" s="97"/>
      <c r="F27" s="97"/>
      <c r="G27" s="98"/>
      <c r="H27" s="98"/>
      <c r="I27" s="98"/>
      <c r="J27" s="99"/>
      <c r="K27" s="97"/>
      <c r="L27" s="101"/>
      <c r="M27" s="97" t="str">
        <f ca="1">IF(K27="","",IF(B27="完成"," - ",K27-TODAY()))</f>
        <v/>
      </c>
      <c r="N27" s="102">
        <f t="shared" ref="N27:N29" si="4">P27*50</f>
        <v>0</v>
      </c>
      <c r="O27" s="97"/>
      <c r="P27" s="97"/>
      <c r="Q27" s="97"/>
    </row>
    <row r="28" spans="1:17" x14ac:dyDescent="0.15">
      <c r="A28" s="95" t="s">
        <v>90</v>
      </c>
      <c r="B28" s="95" t="s">
        <v>90</v>
      </c>
      <c r="C28" s="96"/>
      <c r="D28" s="97" t="s">
        <v>90</v>
      </c>
      <c r="E28" s="97"/>
      <c r="F28" s="97"/>
      <c r="G28" s="98"/>
      <c r="H28" s="98"/>
      <c r="I28" s="98"/>
      <c r="J28" s="99"/>
      <c r="K28" s="97"/>
      <c r="L28" s="101"/>
      <c r="M28" s="97" t="str">
        <f ca="1">IF(K28="","",IF(B28="完成"," - ",K28-TODAY()))</f>
        <v/>
      </c>
      <c r="N28" s="102">
        <f t="shared" si="4"/>
        <v>0</v>
      </c>
      <c r="O28" s="97"/>
      <c r="P28" s="97"/>
      <c r="Q28" s="97"/>
    </row>
    <row r="29" spans="1:17" x14ac:dyDescent="0.15">
      <c r="A29" s="95" t="s">
        <v>90</v>
      </c>
      <c r="B29" s="95" t="s">
        <v>90</v>
      </c>
      <c r="C29" s="96"/>
      <c r="D29" s="97" t="s">
        <v>90</v>
      </c>
      <c r="E29" s="97"/>
      <c r="F29" s="97"/>
      <c r="G29" s="98"/>
      <c r="H29" s="98"/>
      <c r="I29" s="98"/>
      <c r="J29" s="99"/>
      <c r="K29" s="97"/>
      <c r="L29" s="101"/>
      <c r="M29" s="97" t="str">
        <f ca="1">IF(K29="","",IF(B29="完成"," - ",K29-TODAY()))</f>
        <v/>
      </c>
      <c r="N29" s="102">
        <f t="shared" si="4"/>
        <v>0</v>
      </c>
      <c r="O29" s="97"/>
      <c r="P29" s="97"/>
      <c r="Q29" s="97"/>
    </row>
  </sheetData>
  <mergeCells count="5">
    <mergeCell ref="I6:Q6"/>
    <mergeCell ref="I10:Q10"/>
    <mergeCell ref="I15:Q15"/>
    <mergeCell ref="I20:Q20"/>
    <mergeCell ref="I25:Q25"/>
  </mergeCells>
  <phoneticPr fontId="2" type="noConversion"/>
  <conditionalFormatting sqref="B6:B29">
    <cfRule type="cellIs" dxfId="22" priority="1" stopIfTrue="1" operator="equal">
      <formula>"审批通过"</formula>
    </cfRule>
    <cfRule type="cellIs" dxfId="21" priority="2" stopIfTrue="1" operator="equal">
      <formula>"待审核"</formula>
    </cfRule>
  </conditionalFormatting>
  <conditionalFormatting sqref="M7:M9 M11:M14 M16:M19 M21:M24 M26:M29">
    <cfRule type="cellIs" dxfId="20" priority="3" stopIfTrue="1" operator="lessThanOrEqual">
      <formula>0</formula>
    </cfRule>
    <cfRule type="cellIs" dxfId="19" priority="4" stopIfTrue="1" operator="lessThan">
      <formula>5</formula>
    </cfRule>
  </conditionalFormatting>
  <conditionalFormatting sqref="D6:F29">
    <cfRule type="cellIs" dxfId="18" priority="5" stopIfTrue="1" operator="equal">
      <formula>"高"</formula>
    </cfRule>
    <cfRule type="cellIs" dxfId="17" priority="6" stopIfTrue="1" operator="equal">
      <formula>"低"</formula>
    </cfRule>
  </conditionalFormatting>
  <conditionalFormatting sqref="A6:A29">
    <cfRule type="expression" dxfId="16" priority="8" stopIfTrue="1">
      <formula>AND(NOT(A6=" - "),NOT(A6=""))</formula>
    </cfRule>
  </conditionalFormatting>
  <dataValidations count="5">
    <dataValidation type="list" allowBlank="1" showInputMessage="1" showErrorMessage="1" sqref="B6:B29">
      <formula1>任务状态</formula1>
    </dataValidation>
    <dataValidation type="list" allowBlank="1" showInputMessage="1" showErrorMessage="1" sqref="A6:A29">
      <formula1>公告</formula1>
    </dataValidation>
    <dataValidation type="list" allowBlank="1" showInputMessage="1" showErrorMessage="1" sqref="D6:D29">
      <formula1>任务优先级</formula1>
    </dataValidation>
    <dataValidation type="list" allowBlank="1" showInputMessage="1" showErrorMessage="1" sqref="L7:L9 L11:L14 L16:L19 L21:L24 L26:L29">
      <formula1>完成百分比</formula1>
    </dataValidation>
    <dataValidation type="list" allowBlank="1" showInputMessage="1" showErrorMessage="1" sqref="E6:F29">
      <formula1>版本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BW18"/>
  <sheetViews>
    <sheetView topLeftCell="A16" workbookViewId="0">
      <selection activeCell="B11" sqref="B11"/>
    </sheetView>
  </sheetViews>
  <sheetFormatPr defaultRowHeight="13.5" x14ac:dyDescent="0.15"/>
  <sheetData>
    <row r="6" spans="1:75" ht="14.25" x14ac:dyDescent="0.2">
      <c r="I6" s="241" t="s">
        <v>203</v>
      </c>
      <c r="J6" s="241"/>
      <c r="K6" s="241"/>
    </row>
    <row r="7" spans="1:75" ht="14.25" x14ac:dyDescent="0.2">
      <c r="I7" s="140"/>
      <c r="J7" s="142" t="s">
        <v>204</v>
      </c>
      <c r="K7" s="141" t="s">
        <v>205</v>
      </c>
    </row>
    <row r="9" spans="1:75" ht="30.75" x14ac:dyDescent="0.35">
      <c r="A9" s="126" t="s">
        <v>182</v>
      </c>
      <c r="B9" s="127" t="s">
        <v>183</v>
      </c>
      <c r="C9" s="240" t="s">
        <v>184</v>
      </c>
      <c r="D9" s="240"/>
      <c r="E9" s="240"/>
      <c r="F9" s="240"/>
      <c r="G9" s="240"/>
      <c r="H9" s="240"/>
      <c r="I9" s="128" t="s">
        <v>185</v>
      </c>
      <c r="J9" s="128" t="s">
        <v>186</v>
      </c>
      <c r="K9" s="128" t="s">
        <v>187</v>
      </c>
      <c r="L9" s="129" t="s">
        <v>188</v>
      </c>
      <c r="M9" s="130" t="s">
        <v>189</v>
      </c>
      <c r="N9" s="130" t="s">
        <v>190</v>
      </c>
      <c r="O9" s="130" t="s">
        <v>191</v>
      </c>
      <c r="P9" s="130" t="s">
        <v>192</v>
      </c>
      <c r="Q9" s="130" t="s">
        <v>193</v>
      </c>
      <c r="S9" s="143" t="s">
        <v>206</v>
      </c>
      <c r="T9" s="130"/>
      <c r="U9" s="130"/>
      <c r="V9" s="130"/>
      <c r="W9" s="130"/>
      <c r="X9" s="130"/>
      <c r="Z9" s="143" t="s">
        <v>208</v>
      </c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4" t="s">
        <v>207</v>
      </c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</row>
    <row r="10" spans="1:75" ht="17.25" x14ac:dyDescent="0.35">
      <c r="A10" s="131">
        <v>10</v>
      </c>
      <c r="B10" s="132" t="s">
        <v>194</v>
      </c>
      <c r="C10" s="133"/>
      <c r="D10" s="133"/>
      <c r="E10" s="133"/>
      <c r="F10" s="133"/>
      <c r="G10" s="133"/>
      <c r="H10" s="133"/>
      <c r="I10" s="134"/>
      <c r="J10" s="134"/>
      <c r="K10" s="134"/>
      <c r="L10" s="135">
        <f>IF($K$7="Beta",(I10+4*J10+K10)/6,(I10+J10+K10)/3)</f>
        <v>0</v>
      </c>
      <c r="M10" s="136">
        <v>0</v>
      </c>
      <c r="N10" s="135">
        <f t="shared" ref="N10:N18" si="0">M10+L10</f>
        <v>0</v>
      </c>
      <c r="O10" s="135">
        <f ca="1">IF(P10-L10&lt;0,0,P10-L10)</f>
        <v>0</v>
      </c>
      <c r="P10" s="135">
        <f t="shared" ref="P10:P17" ca="1" si="1">MIN(AY10:BW10)</f>
        <v>0</v>
      </c>
      <c r="Q10" s="135">
        <f ca="1">IF(ROUND(P10-N10,5)&lt;0,0,ROUND(P10-N10,5))</f>
        <v>0</v>
      </c>
      <c r="S10" s="139">
        <f>IF(C10="",0,INDEX($N$10:$N$18,MATCH(C10,$A$10:$A$18,0)))</f>
        <v>0</v>
      </c>
      <c r="T10" s="139">
        <f t="shared" ref="S10:X18" si="2">IF(D10="",0,INDEX($N$10:$N$18,MATCH(D10,$A$10:$A$18,0)))</f>
        <v>0</v>
      </c>
      <c r="U10" s="139">
        <f t="shared" si="2"/>
        <v>0</v>
      </c>
      <c r="V10" s="139">
        <f t="shared" si="2"/>
        <v>0</v>
      </c>
      <c r="W10" s="139">
        <f t="shared" si="2"/>
        <v>0</v>
      </c>
      <c r="X10" s="139">
        <f t="shared" si="2"/>
        <v>0</v>
      </c>
      <c r="Z10" s="139" t="str">
        <f t="shared" ref="Z10:AO18" ca="1" si="3">IF(ISERROR(MATCH($A10,OFFSET($C$9,COLUMN(Z$9)-COLUMN($Z$9)+1,0,1,COLUMNS($C$9:$H$9)),0)),"",INDEX($A$10:$A$18,COLUMN(Z$9)-COLUMN($Z$9)+1))</f>
        <v/>
      </c>
      <c r="AA10" s="139">
        <f t="shared" ca="1" si="3"/>
        <v>20</v>
      </c>
      <c r="AB10" s="139">
        <f t="shared" ca="1" si="3"/>
        <v>30</v>
      </c>
      <c r="AC10" s="139" t="str">
        <f t="shared" ca="1" si="3"/>
        <v/>
      </c>
      <c r="AD10" s="139" t="str">
        <f t="shared" ca="1" si="3"/>
        <v/>
      </c>
      <c r="AE10" s="139" t="str">
        <f t="shared" ca="1" si="3"/>
        <v/>
      </c>
      <c r="AF10" s="139" t="str">
        <f t="shared" ca="1" si="3"/>
        <v/>
      </c>
      <c r="AG10" s="139" t="str">
        <f t="shared" ca="1" si="3"/>
        <v/>
      </c>
      <c r="AH10" s="139" t="str">
        <f t="shared" ca="1" si="3"/>
        <v/>
      </c>
      <c r="AI10" s="139" t="str">
        <f t="shared" ca="1" si="3"/>
        <v/>
      </c>
      <c r="AJ10" s="139" t="str">
        <f t="shared" ca="1" si="3"/>
        <v/>
      </c>
      <c r="AK10" s="139" t="str">
        <f t="shared" ca="1" si="3"/>
        <v/>
      </c>
      <c r="AL10" s="139" t="str">
        <f t="shared" ca="1" si="3"/>
        <v/>
      </c>
      <c r="AM10" s="139" t="str">
        <f t="shared" ca="1" si="3"/>
        <v/>
      </c>
      <c r="AN10" s="139" t="str">
        <f t="shared" ca="1" si="3"/>
        <v/>
      </c>
      <c r="AO10" s="139" t="str">
        <f t="shared" ca="1" si="3"/>
        <v/>
      </c>
      <c r="AP10" s="139" t="str">
        <f t="shared" ref="AP10:AX18" ca="1" si="4">IF(ISERROR(MATCH($A10,OFFSET($C$9,COLUMN(AP$9)-COLUMN($Z$9)+1,0,1,COLUMNS($C$9:$H$9)),0)),"",INDEX($A$10:$A$18,COLUMN(AP$9)-COLUMN($Z$9)+1))</f>
        <v/>
      </c>
      <c r="AQ10" s="139" t="str">
        <f t="shared" ca="1" si="4"/>
        <v/>
      </c>
      <c r="AR10" s="139" t="str">
        <f t="shared" ca="1" si="4"/>
        <v/>
      </c>
      <c r="AS10" s="139" t="str">
        <f t="shared" ca="1" si="4"/>
        <v/>
      </c>
      <c r="AT10" s="139" t="str">
        <f t="shared" ca="1" si="4"/>
        <v/>
      </c>
      <c r="AU10" s="139" t="str">
        <f t="shared" ca="1" si="4"/>
        <v/>
      </c>
      <c r="AV10" s="139" t="str">
        <f t="shared" ca="1" si="4"/>
        <v/>
      </c>
      <c r="AW10" s="139" t="str">
        <f t="shared" ca="1" si="4"/>
        <v/>
      </c>
      <c r="AX10" s="139" t="str">
        <f t="shared" ca="1" si="4"/>
        <v/>
      </c>
      <c r="AY10" s="139" t="str">
        <f t="shared" ref="AY10:BN18" ca="1" si="5">IF(Z10="","",INDEX($O$10:$O$18,MATCH(Z10,$A$10:$A$18,0)))</f>
        <v/>
      </c>
      <c r="AZ10" s="139">
        <f t="shared" ca="1" si="5"/>
        <v>0</v>
      </c>
      <c r="BA10" s="139">
        <f t="shared" ca="1" si="5"/>
        <v>3.6666666666666652</v>
      </c>
      <c r="BB10" s="139" t="str">
        <f t="shared" ca="1" si="5"/>
        <v/>
      </c>
      <c r="BC10" s="139" t="str">
        <f t="shared" ca="1" si="5"/>
        <v/>
      </c>
      <c r="BD10" s="139" t="str">
        <f t="shared" ca="1" si="5"/>
        <v/>
      </c>
      <c r="BE10" s="139" t="str">
        <f t="shared" ca="1" si="5"/>
        <v/>
      </c>
      <c r="BF10" s="139" t="str">
        <f t="shared" ca="1" si="5"/>
        <v/>
      </c>
      <c r="BG10" s="139" t="str">
        <f t="shared" ca="1" si="5"/>
        <v/>
      </c>
      <c r="BH10" s="139" t="str">
        <f t="shared" ca="1" si="5"/>
        <v/>
      </c>
      <c r="BI10" s="139" t="str">
        <f t="shared" ca="1" si="5"/>
        <v/>
      </c>
      <c r="BJ10" s="139" t="str">
        <f t="shared" ca="1" si="5"/>
        <v/>
      </c>
      <c r="BK10" s="139" t="str">
        <f t="shared" ca="1" si="5"/>
        <v/>
      </c>
      <c r="BL10" s="139" t="str">
        <f t="shared" ca="1" si="5"/>
        <v/>
      </c>
      <c r="BM10" s="139" t="str">
        <f t="shared" ca="1" si="5"/>
        <v/>
      </c>
      <c r="BN10" s="139" t="str">
        <f t="shared" ca="1" si="5"/>
        <v/>
      </c>
      <c r="BO10" s="139" t="str">
        <f t="shared" ref="BO10:BW18" ca="1" si="6">IF(AP10="","",INDEX($O$10:$O$18,MATCH(AP10,$A$10:$A$18,0)))</f>
        <v/>
      </c>
      <c r="BP10" s="139" t="str">
        <f t="shared" ca="1" si="6"/>
        <v/>
      </c>
      <c r="BQ10" s="139" t="str">
        <f t="shared" ca="1" si="6"/>
        <v/>
      </c>
      <c r="BR10" s="139" t="str">
        <f t="shared" ca="1" si="6"/>
        <v/>
      </c>
      <c r="BS10" s="139" t="str">
        <f t="shared" ca="1" si="6"/>
        <v/>
      </c>
      <c r="BT10" s="139" t="str">
        <f t="shared" ca="1" si="6"/>
        <v/>
      </c>
      <c r="BU10" s="139" t="str">
        <f t="shared" ca="1" si="6"/>
        <v/>
      </c>
      <c r="BV10" s="139" t="str">
        <f t="shared" ca="1" si="6"/>
        <v/>
      </c>
      <c r="BW10" s="139" t="str">
        <f t="shared" ca="1" si="6"/>
        <v/>
      </c>
    </row>
    <row r="11" spans="1:75" ht="17.25" x14ac:dyDescent="0.35">
      <c r="A11" s="131">
        <v>20</v>
      </c>
      <c r="B11" s="137" t="s">
        <v>195</v>
      </c>
      <c r="C11" s="131">
        <v>10</v>
      </c>
      <c r="D11" s="131"/>
      <c r="E11" s="131"/>
      <c r="F11" s="131"/>
      <c r="G11" s="131"/>
      <c r="H11" s="131"/>
      <c r="I11" s="138">
        <v>2</v>
      </c>
      <c r="J11" s="139">
        <v>4</v>
      </c>
      <c r="K11" s="139">
        <v>6</v>
      </c>
      <c r="L11" s="135">
        <f t="shared" ref="L11:L18" si="7">IF($K$7="Beta",(I11+4*J11+K11)/6,(I11+J11+K11)/3)</f>
        <v>4</v>
      </c>
      <c r="M11" s="135">
        <f t="shared" ref="M11:M18" si="8">MAX(S11:X11)</f>
        <v>0</v>
      </c>
      <c r="N11" s="135">
        <f>M11+L11</f>
        <v>4</v>
      </c>
      <c r="O11" s="135">
        <f t="shared" ref="O11:O18" ca="1" si="9">IF(P11-L11&lt;0,0,P11-L11)</f>
        <v>0</v>
      </c>
      <c r="P11" s="135">
        <f t="shared" ca="1" si="1"/>
        <v>3.9999999999999991</v>
      </c>
      <c r="Q11" s="135">
        <f t="shared" ref="Q11:Q18" ca="1" si="10">IF(ROUND(P11-N11,5)&lt;0,0,ROUND(P11-N11,5))</f>
        <v>0</v>
      </c>
      <c r="S11" s="139">
        <f t="shared" si="2"/>
        <v>0</v>
      </c>
      <c r="T11" s="139">
        <f t="shared" si="2"/>
        <v>0</v>
      </c>
      <c r="U11" s="139">
        <f t="shared" si="2"/>
        <v>0</v>
      </c>
      <c r="V11" s="139">
        <f t="shared" si="2"/>
        <v>0</v>
      </c>
      <c r="W11" s="139">
        <f t="shared" si="2"/>
        <v>0</v>
      </c>
      <c r="X11" s="139">
        <f t="shared" si="2"/>
        <v>0</v>
      </c>
      <c r="Z11" s="139" t="str">
        <f t="shared" ca="1" si="3"/>
        <v/>
      </c>
      <c r="AA11" s="139" t="str">
        <f t="shared" ca="1" si="3"/>
        <v/>
      </c>
      <c r="AB11" s="139" t="str">
        <f t="shared" ca="1" si="3"/>
        <v/>
      </c>
      <c r="AC11" s="139">
        <f t="shared" ca="1" si="3"/>
        <v>40</v>
      </c>
      <c r="AD11" s="139">
        <f t="shared" ca="1" si="3"/>
        <v>50</v>
      </c>
      <c r="AE11" s="139" t="str">
        <f t="shared" ca="1" si="3"/>
        <v/>
      </c>
      <c r="AF11" s="139" t="str">
        <f t="shared" ca="1" si="3"/>
        <v/>
      </c>
      <c r="AG11" s="139" t="str">
        <f t="shared" ca="1" si="3"/>
        <v/>
      </c>
      <c r="AH11" s="139" t="str">
        <f t="shared" ca="1" si="3"/>
        <v/>
      </c>
      <c r="AI11" s="139" t="str">
        <f t="shared" ca="1" si="3"/>
        <v/>
      </c>
      <c r="AJ11" s="139" t="str">
        <f t="shared" ca="1" si="3"/>
        <v/>
      </c>
      <c r="AK11" s="139" t="str">
        <f t="shared" ca="1" si="3"/>
        <v/>
      </c>
      <c r="AL11" s="139" t="str">
        <f t="shared" ca="1" si="3"/>
        <v/>
      </c>
      <c r="AM11" s="139" t="str">
        <f t="shared" ca="1" si="3"/>
        <v/>
      </c>
      <c r="AN11" s="139" t="str">
        <f t="shared" ca="1" si="3"/>
        <v/>
      </c>
      <c r="AO11" s="139" t="str">
        <f t="shared" ca="1" si="3"/>
        <v/>
      </c>
      <c r="AP11" s="139" t="str">
        <f t="shared" ca="1" si="4"/>
        <v/>
      </c>
      <c r="AQ11" s="139" t="str">
        <f t="shared" ca="1" si="4"/>
        <v/>
      </c>
      <c r="AR11" s="139" t="str">
        <f t="shared" ca="1" si="4"/>
        <v/>
      </c>
      <c r="AS11" s="139" t="str">
        <f t="shared" ca="1" si="4"/>
        <v/>
      </c>
      <c r="AT11" s="139" t="str">
        <f t="shared" ca="1" si="4"/>
        <v/>
      </c>
      <c r="AU11" s="139" t="str">
        <f t="shared" ca="1" si="4"/>
        <v/>
      </c>
      <c r="AV11" s="139" t="str">
        <f t="shared" ca="1" si="4"/>
        <v/>
      </c>
      <c r="AW11" s="139" t="str">
        <f t="shared" ca="1" si="4"/>
        <v/>
      </c>
      <c r="AX11" s="139" t="str">
        <f t="shared" ca="1" si="4"/>
        <v/>
      </c>
      <c r="AY11" s="139" t="str">
        <f t="shared" ca="1" si="5"/>
        <v/>
      </c>
      <c r="AZ11" s="139" t="str">
        <f t="shared" ca="1" si="5"/>
        <v/>
      </c>
      <c r="BA11" s="139" t="str">
        <f t="shared" ca="1" si="5"/>
        <v/>
      </c>
      <c r="BB11" s="139">
        <f t="shared" ca="1" si="5"/>
        <v>3.9999999999999991</v>
      </c>
      <c r="BC11" s="139">
        <f t="shared" ca="1" si="5"/>
        <v>8.3333333333333286</v>
      </c>
      <c r="BD11" s="139" t="str">
        <f t="shared" ca="1" si="5"/>
        <v/>
      </c>
      <c r="BE11" s="139" t="str">
        <f t="shared" ca="1" si="5"/>
        <v/>
      </c>
      <c r="BF11" s="139" t="str">
        <f t="shared" ca="1" si="5"/>
        <v/>
      </c>
      <c r="BG11" s="139" t="str">
        <f t="shared" ca="1" si="5"/>
        <v/>
      </c>
      <c r="BH11" s="139" t="str">
        <f t="shared" ca="1" si="5"/>
        <v/>
      </c>
      <c r="BI11" s="139" t="str">
        <f t="shared" ca="1" si="5"/>
        <v/>
      </c>
      <c r="BJ11" s="139" t="str">
        <f t="shared" ca="1" si="5"/>
        <v/>
      </c>
      <c r="BK11" s="139" t="str">
        <f t="shared" ca="1" si="5"/>
        <v/>
      </c>
      <c r="BL11" s="139" t="str">
        <f t="shared" ca="1" si="5"/>
        <v/>
      </c>
      <c r="BM11" s="139" t="str">
        <f t="shared" ca="1" si="5"/>
        <v/>
      </c>
      <c r="BN11" s="139" t="str">
        <f t="shared" ca="1" si="5"/>
        <v/>
      </c>
      <c r="BO11" s="139" t="str">
        <f t="shared" ca="1" si="6"/>
        <v/>
      </c>
      <c r="BP11" s="139" t="str">
        <f t="shared" ca="1" si="6"/>
        <v/>
      </c>
      <c r="BQ11" s="139" t="str">
        <f t="shared" ca="1" si="6"/>
        <v/>
      </c>
      <c r="BR11" s="139" t="str">
        <f t="shared" ca="1" si="6"/>
        <v/>
      </c>
      <c r="BS11" s="139" t="str">
        <f t="shared" ca="1" si="6"/>
        <v/>
      </c>
      <c r="BT11" s="139" t="str">
        <f t="shared" ca="1" si="6"/>
        <v/>
      </c>
      <c r="BU11" s="139" t="str">
        <f t="shared" ca="1" si="6"/>
        <v/>
      </c>
      <c r="BV11" s="139" t="str">
        <f t="shared" ca="1" si="6"/>
        <v/>
      </c>
      <c r="BW11" s="139" t="str">
        <f t="shared" ca="1" si="6"/>
        <v/>
      </c>
    </row>
    <row r="12" spans="1:75" ht="17.25" x14ac:dyDescent="0.35">
      <c r="A12" s="131">
        <v>30</v>
      </c>
      <c r="B12" s="137" t="s">
        <v>196</v>
      </c>
      <c r="C12" s="131">
        <v>10</v>
      </c>
      <c r="D12" s="131"/>
      <c r="E12" s="131"/>
      <c r="F12" s="131"/>
      <c r="G12" s="131"/>
      <c r="H12" s="131"/>
      <c r="I12" s="138">
        <v>3</v>
      </c>
      <c r="J12" s="139">
        <v>5</v>
      </c>
      <c r="K12" s="139">
        <v>9</v>
      </c>
      <c r="L12" s="135">
        <f t="shared" si="7"/>
        <v>5.666666666666667</v>
      </c>
      <c r="M12" s="135">
        <f t="shared" si="8"/>
        <v>0</v>
      </c>
      <c r="N12" s="135">
        <f t="shared" si="0"/>
        <v>5.666666666666667</v>
      </c>
      <c r="O12" s="135">
        <f t="shared" ca="1" si="9"/>
        <v>3.6666666666666652</v>
      </c>
      <c r="P12" s="135">
        <f t="shared" ca="1" si="1"/>
        <v>9.3333333333333321</v>
      </c>
      <c r="Q12" s="135">
        <f t="shared" ca="1" si="10"/>
        <v>3.6666699999999999</v>
      </c>
      <c r="S12" s="139">
        <f t="shared" si="2"/>
        <v>0</v>
      </c>
      <c r="T12" s="139">
        <f t="shared" si="2"/>
        <v>0</v>
      </c>
      <c r="U12" s="139">
        <f t="shared" si="2"/>
        <v>0</v>
      </c>
      <c r="V12" s="139">
        <f t="shared" si="2"/>
        <v>0</v>
      </c>
      <c r="W12" s="139">
        <f t="shared" si="2"/>
        <v>0</v>
      </c>
      <c r="X12" s="139">
        <f t="shared" si="2"/>
        <v>0</v>
      </c>
      <c r="Z12" s="139" t="str">
        <f t="shared" ca="1" si="3"/>
        <v/>
      </c>
      <c r="AA12" s="139" t="str">
        <f t="shared" ca="1" si="3"/>
        <v/>
      </c>
      <c r="AB12" s="139" t="str">
        <f t="shared" ca="1" si="3"/>
        <v/>
      </c>
      <c r="AC12" s="139" t="str">
        <f t="shared" ca="1" si="3"/>
        <v/>
      </c>
      <c r="AD12" s="139" t="str">
        <f t="shared" ca="1" si="3"/>
        <v/>
      </c>
      <c r="AE12" s="139">
        <f t="shared" ca="1" si="3"/>
        <v>60</v>
      </c>
      <c r="AF12" s="139" t="str">
        <f t="shared" ca="1" si="3"/>
        <v/>
      </c>
      <c r="AG12" s="139" t="str">
        <f t="shared" ca="1" si="3"/>
        <v/>
      </c>
      <c r="AH12" s="139" t="str">
        <f t="shared" ca="1" si="3"/>
        <v/>
      </c>
      <c r="AI12" s="139" t="str">
        <f t="shared" ca="1" si="3"/>
        <v/>
      </c>
      <c r="AJ12" s="139" t="str">
        <f t="shared" ca="1" si="3"/>
        <v/>
      </c>
      <c r="AK12" s="139" t="str">
        <f t="shared" ca="1" si="3"/>
        <v/>
      </c>
      <c r="AL12" s="139" t="str">
        <f t="shared" ca="1" si="3"/>
        <v/>
      </c>
      <c r="AM12" s="139" t="str">
        <f t="shared" ca="1" si="3"/>
        <v/>
      </c>
      <c r="AN12" s="139" t="str">
        <f t="shared" ca="1" si="3"/>
        <v/>
      </c>
      <c r="AO12" s="139" t="str">
        <f t="shared" ca="1" si="3"/>
        <v/>
      </c>
      <c r="AP12" s="139" t="str">
        <f t="shared" ca="1" si="4"/>
        <v/>
      </c>
      <c r="AQ12" s="139" t="str">
        <f t="shared" ca="1" si="4"/>
        <v/>
      </c>
      <c r="AR12" s="139" t="str">
        <f t="shared" ca="1" si="4"/>
        <v/>
      </c>
      <c r="AS12" s="139" t="str">
        <f t="shared" ca="1" si="4"/>
        <v/>
      </c>
      <c r="AT12" s="139" t="str">
        <f t="shared" ca="1" si="4"/>
        <v/>
      </c>
      <c r="AU12" s="139" t="str">
        <f t="shared" ca="1" si="4"/>
        <v/>
      </c>
      <c r="AV12" s="139" t="str">
        <f t="shared" ca="1" si="4"/>
        <v/>
      </c>
      <c r="AW12" s="139" t="str">
        <f t="shared" ca="1" si="4"/>
        <v/>
      </c>
      <c r="AX12" s="139" t="str">
        <f t="shared" ca="1" si="4"/>
        <v/>
      </c>
      <c r="AY12" s="139" t="str">
        <f t="shared" ca="1" si="5"/>
        <v/>
      </c>
      <c r="AZ12" s="139" t="str">
        <f t="shared" ca="1" si="5"/>
        <v/>
      </c>
      <c r="BA12" s="139" t="str">
        <f t="shared" ca="1" si="5"/>
        <v/>
      </c>
      <c r="BB12" s="139" t="str">
        <f t="shared" ca="1" si="5"/>
        <v/>
      </c>
      <c r="BC12" s="139" t="str">
        <f t="shared" ca="1" si="5"/>
        <v/>
      </c>
      <c r="BD12" s="139">
        <f t="shared" ca="1" si="5"/>
        <v>9.3333333333333321</v>
      </c>
      <c r="BE12" s="139" t="str">
        <f t="shared" ca="1" si="5"/>
        <v/>
      </c>
      <c r="BF12" s="139" t="str">
        <f t="shared" ca="1" si="5"/>
        <v/>
      </c>
      <c r="BG12" s="139" t="str">
        <f t="shared" ca="1" si="5"/>
        <v/>
      </c>
      <c r="BH12" s="139" t="str">
        <f t="shared" ca="1" si="5"/>
        <v/>
      </c>
      <c r="BI12" s="139" t="str">
        <f t="shared" ca="1" si="5"/>
        <v/>
      </c>
      <c r="BJ12" s="139" t="str">
        <f t="shared" ca="1" si="5"/>
        <v/>
      </c>
      <c r="BK12" s="139" t="str">
        <f t="shared" ca="1" si="5"/>
        <v/>
      </c>
      <c r="BL12" s="139" t="str">
        <f t="shared" ca="1" si="5"/>
        <v/>
      </c>
      <c r="BM12" s="139" t="str">
        <f t="shared" ca="1" si="5"/>
        <v/>
      </c>
      <c r="BN12" s="139" t="str">
        <f t="shared" ca="1" si="5"/>
        <v/>
      </c>
      <c r="BO12" s="139" t="str">
        <f t="shared" ca="1" si="6"/>
        <v/>
      </c>
      <c r="BP12" s="139" t="str">
        <f t="shared" ca="1" si="6"/>
        <v/>
      </c>
      <c r="BQ12" s="139" t="str">
        <f t="shared" ca="1" si="6"/>
        <v/>
      </c>
      <c r="BR12" s="139" t="str">
        <f t="shared" ca="1" si="6"/>
        <v/>
      </c>
      <c r="BS12" s="139" t="str">
        <f t="shared" ca="1" si="6"/>
        <v/>
      </c>
      <c r="BT12" s="139" t="str">
        <f t="shared" ca="1" si="6"/>
        <v/>
      </c>
      <c r="BU12" s="139" t="str">
        <f t="shared" ca="1" si="6"/>
        <v/>
      </c>
      <c r="BV12" s="139" t="str">
        <f t="shared" ca="1" si="6"/>
        <v/>
      </c>
      <c r="BW12" s="139" t="str">
        <f t="shared" ca="1" si="6"/>
        <v/>
      </c>
    </row>
    <row r="13" spans="1:75" ht="17.25" x14ac:dyDescent="0.35">
      <c r="A13" s="131">
        <v>40</v>
      </c>
      <c r="B13" s="137" t="s">
        <v>197</v>
      </c>
      <c r="C13" s="131">
        <v>20</v>
      </c>
      <c r="D13" s="131"/>
      <c r="E13" s="131"/>
      <c r="F13" s="131"/>
      <c r="G13" s="131"/>
      <c r="H13" s="131"/>
      <c r="I13" s="138">
        <v>4</v>
      </c>
      <c r="J13" s="139">
        <v>5</v>
      </c>
      <c r="K13" s="139">
        <v>7</v>
      </c>
      <c r="L13" s="135">
        <f t="shared" si="7"/>
        <v>5.333333333333333</v>
      </c>
      <c r="M13" s="135">
        <f t="shared" si="8"/>
        <v>4</v>
      </c>
      <c r="N13" s="135">
        <f t="shared" si="0"/>
        <v>9.3333333333333321</v>
      </c>
      <c r="O13" s="135">
        <f t="shared" ca="1" si="9"/>
        <v>3.9999999999999991</v>
      </c>
      <c r="P13" s="135">
        <f t="shared" ca="1" si="1"/>
        <v>9.3333333333333321</v>
      </c>
      <c r="Q13" s="135">
        <f t="shared" ca="1" si="10"/>
        <v>0</v>
      </c>
      <c r="S13" s="139">
        <f t="shared" si="2"/>
        <v>4</v>
      </c>
      <c r="T13" s="139">
        <f t="shared" si="2"/>
        <v>0</v>
      </c>
      <c r="U13" s="139">
        <f t="shared" si="2"/>
        <v>0</v>
      </c>
      <c r="V13" s="139">
        <f t="shared" si="2"/>
        <v>0</v>
      </c>
      <c r="W13" s="139">
        <f t="shared" si="2"/>
        <v>0</v>
      </c>
      <c r="X13" s="139">
        <f t="shared" si="2"/>
        <v>0</v>
      </c>
      <c r="Z13" s="139" t="str">
        <f t="shared" ca="1" si="3"/>
        <v/>
      </c>
      <c r="AA13" s="139" t="str">
        <f t="shared" ca="1" si="3"/>
        <v/>
      </c>
      <c r="AB13" s="139" t="str">
        <f t="shared" ca="1" si="3"/>
        <v/>
      </c>
      <c r="AC13" s="139" t="str">
        <f t="shared" ca="1" si="3"/>
        <v/>
      </c>
      <c r="AD13" s="139" t="str">
        <f t="shared" ca="1" si="3"/>
        <v/>
      </c>
      <c r="AE13" s="139">
        <f t="shared" ca="1" si="3"/>
        <v>60</v>
      </c>
      <c r="AF13" s="139" t="str">
        <f t="shared" ca="1" si="3"/>
        <v/>
      </c>
      <c r="AG13" s="139" t="str">
        <f t="shared" ca="1" si="3"/>
        <v/>
      </c>
      <c r="AH13" s="139" t="str">
        <f t="shared" ca="1" si="3"/>
        <v/>
      </c>
      <c r="AI13" s="139" t="str">
        <f t="shared" ca="1" si="3"/>
        <v/>
      </c>
      <c r="AJ13" s="139" t="str">
        <f t="shared" ca="1" si="3"/>
        <v/>
      </c>
      <c r="AK13" s="139" t="str">
        <f t="shared" ca="1" si="3"/>
        <v/>
      </c>
      <c r="AL13" s="139" t="str">
        <f t="shared" ca="1" si="3"/>
        <v/>
      </c>
      <c r="AM13" s="139" t="str">
        <f t="shared" ca="1" si="3"/>
        <v/>
      </c>
      <c r="AN13" s="139" t="str">
        <f t="shared" ca="1" si="3"/>
        <v/>
      </c>
      <c r="AO13" s="139" t="str">
        <f t="shared" ca="1" si="3"/>
        <v/>
      </c>
      <c r="AP13" s="139" t="str">
        <f t="shared" ca="1" si="4"/>
        <v/>
      </c>
      <c r="AQ13" s="139" t="str">
        <f t="shared" ca="1" si="4"/>
        <v/>
      </c>
      <c r="AR13" s="139" t="str">
        <f t="shared" ca="1" si="4"/>
        <v/>
      </c>
      <c r="AS13" s="139" t="str">
        <f t="shared" ca="1" si="4"/>
        <v/>
      </c>
      <c r="AT13" s="139" t="str">
        <f t="shared" ca="1" si="4"/>
        <v/>
      </c>
      <c r="AU13" s="139" t="str">
        <f t="shared" ca="1" si="4"/>
        <v/>
      </c>
      <c r="AV13" s="139" t="str">
        <f t="shared" ca="1" si="4"/>
        <v/>
      </c>
      <c r="AW13" s="139" t="str">
        <f t="shared" ca="1" si="4"/>
        <v/>
      </c>
      <c r="AX13" s="139" t="str">
        <f t="shared" ca="1" si="4"/>
        <v/>
      </c>
      <c r="AY13" s="139" t="str">
        <f t="shared" ca="1" si="5"/>
        <v/>
      </c>
      <c r="AZ13" s="139" t="str">
        <f t="shared" ca="1" si="5"/>
        <v/>
      </c>
      <c r="BA13" s="139" t="str">
        <f t="shared" ca="1" si="5"/>
        <v/>
      </c>
      <c r="BB13" s="139" t="str">
        <f t="shared" ca="1" si="5"/>
        <v/>
      </c>
      <c r="BC13" s="139" t="str">
        <f t="shared" ca="1" si="5"/>
        <v/>
      </c>
      <c r="BD13" s="139">
        <f t="shared" ca="1" si="5"/>
        <v>9.3333333333333321</v>
      </c>
      <c r="BE13" s="139" t="str">
        <f t="shared" ca="1" si="5"/>
        <v/>
      </c>
      <c r="BF13" s="139" t="str">
        <f t="shared" ca="1" si="5"/>
        <v/>
      </c>
      <c r="BG13" s="139" t="str">
        <f t="shared" ca="1" si="5"/>
        <v/>
      </c>
      <c r="BH13" s="139" t="str">
        <f t="shared" ca="1" si="5"/>
        <v/>
      </c>
      <c r="BI13" s="139" t="str">
        <f t="shared" ca="1" si="5"/>
        <v/>
      </c>
      <c r="BJ13" s="139" t="str">
        <f t="shared" ca="1" si="5"/>
        <v/>
      </c>
      <c r="BK13" s="139" t="str">
        <f t="shared" ca="1" si="5"/>
        <v/>
      </c>
      <c r="BL13" s="139" t="str">
        <f t="shared" ca="1" si="5"/>
        <v/>
      </c>
      <c r="BM13" s="139" t="str">
        <f t="shared" ca="1" si="5"/>
        <v/>
      </c>
      <c r="BN13" s="139" t="str">
        <f t="shared" ca="1" si="5"/>
        <v/>
      </c>
      <c r="BO13" s="139" t="str">
        <f t="shared" ca="1" si="6"/>
        <v/>
      </c>
      <c r="BP13" s="139" t="str">
        <f t="shared" ca="1" si="6"/>
        <v/>
      </c>
      <c r="BQ13" s="139" t="str">
        <f t="shared" ca="1" si="6"/>
        <v/>
      </c>
      <c r="BR13" s="139" t="str">
        <f t="shared" ca="1" si="6"/>
        <v/>
      </c>
      <c r="BS13" s="139" t="str">
        <f t="shared" ca="1" si="6"/>
        <v/>
      </c>
      <c r="BT13" s="139" t="str">
        <f t="shared" ca="1" si="6"/>
        <v/>
      </c>
      <c r="BU13" s="139" t="str">
        <f t="shared" ca="1" si="6"/>
        <v/>
      </c>
      <c r="BV13" s="139" t="str">
        <f t="shared" ca="1" si="6"/>
        <v/>
      </c>
      <c r="BW13" s="139" t="str">
        <f t="shared" ca="1" si="6"/>
        <v/>
      </c>
    </row>
    <row r="14" spans="1:75" ht="17.25" x14ac:dyDescent="0.35">
      <c r="A14" s="131">
        <v>50</v>
      </c>
      <c r="B14" s="137" t="s">
        <v>198</v>
      </c>
      <c r="C14" s="131">
        <v>20</v>
      </c>
      <c r="D14" s="131"/>
      <c r="E14" s="131"/>
      <c r="F14" s="131"/>
      <c r="G14" s="131"/>
      <c r="H14" s="131"/>
      <c r="I14" s="138">
        <v>4</v>
      </c>
      <c r="J14" s="139">
        <v>6</v>
      </c>
      <c r="K14" s="139">
        <v>10</v>
      </c>
      <c r="L14" s="135">
        <f t="shared" si="7"/>
        <v>6.666666666666667</v>
      </c>
      <c r="M14" s="135">
        <f t="shared" si="8"/>
        <v>4</v>
      </c>
      <c r="N14" s="135">
        <f>M14+L14</f>
        <v>10.666666666666668</v>
      </c>
      <c r="O14" s="135">
        <f t="shared" ca="1" si="9"/>
        <v>8.3333333333333286</v>
      </c>
      <c r="P14" s="135">
        <f t="shared" ca="1" si="1"/>
        <v>14.999999999999996</v>
      </c>
      <c r="Q14" s="135">
        <f t="shared" ca="1" si="10"/>
        <v>4.3333300000000001</v>
      </c>
      <c r="S14" s="139">
        <f t="shared" si="2"/>
        <v>4</v>
      </c>
      <c r="T14" s="139">
        <f t="shared" si="2"/>
        <v>0</v>
      </c>
      <c r="U14" s="139">
        <f t="shared" si="2"/>
        <v>0</v>
      </c>
      <c r="V14" s="139">
        <f t="shared" si="2"/>
        <v>0</v>
      </c>
      <c r="W14" s="139">
        <f t="shared" si="2"/>
        <v>0</v>
      </c>
      <c r="X14" s="139">
        <f t="shared" si="2"/>
        <v>0</v>
      </c>
      <c r="Z14" s="139" t="str">
        <f t="shared" ca="1" si="3"/>
        <v/>
      </c>
      <c r="AA14" s="139" t="str">
        <f t="shared" ca="1" si="3"/>
        <v/>
      </c>
      <c r="AB14" s="139" t="str">
        <f t="shared" ca="1" si="3"/>
        <v/>
      </c>
      <c r="AC14" s="139" t="str">
        <f t="shared" ca="1" si="3"/>
        <v/>
      </c>
      <c r="AD14" s="139" t="str">
        <f t="shared" ca="1" si="3"/>
        <v/>
      </c>
      <c r="AE14" s="139" t="str">
        <f t="shared" ca="1" si="3"/>
        <v/>
      </c>
      <c r="AF14" s="139">
        <f t="shared" ca="1" si="3"/>
        <v>70</v>
      </c>
      <c r="AG14" s="139" t="str">
        <f t="shared" ca="1" si="3"/>
        <v/>
      </c>
      <c r="AH14" s="139" t="str">
        <f t="shared" ca="1" si="3"/>
        <v/>
      </c>
      <c r="AI14" s="139" t="str">
        <f t="shared" ca="1" si="3"/>
        <v/>
      </c>
      <c r="AJ14" s="139" t="str">
        <f t="shared" ca="1" si="3"/>
        <v/>
      </c>
      <c r="AK14" s="139" t="str">
        <f t="shared" ca="1" si="3"/>
        <v/>
      </c>
      <c r="AL14" s="139" t="str">
        <f t="shared" ca="1" si="3"/>
        <v/>
      </c>
      <c r="AM14" s="139" t="str">
        <f t="shared" ca="1" si="3"/>
        <v/>
      </c>
      <c r="AN14" s="139" t="str">
        <f t="shared" ca="1" si="3"/>
        <v/>
      </c>
      <c r="AO14" s="139" t="str">
        <f t="shared" ca="1" si="3"/>
        <v/>
      </c>
      <c r="AP14" s="139" t="str">
        <f t="shared" ca="1" si="4"/>
        <v/>
      </c>
      <c r="AQ14" s="139" t="str">
        <f t="shared" ca="1" si="4"/>
        <v/>
      </c>
      <c r="AR14" s="139" t="str">
        <f t="shared" ca="1" si="4"/>
        <v/>
      </c>
      <c r="AS14" s="139" t="str">
        <f t="shared" ca="1" si="4"/>
        <v/>
      </c>
      <c r="AT14" s="139" t="str">
        <f t="shared" ca="1" si="4"/>
        <v/>
      </c>
      <c r="AU14" s="139" t="str">
        <f t="shared" ca="1" si="4"/>
        <v/>
      </c>
      <c r="AV14" s="139" t="str">
        <f t="shared" ca="1" si="4"/>
        <v/>
      </c>
      <c r="AW14" s="139" t="str">
        <f t="shared" ca="1" si="4"/>
        <v/>
      </c>
      <c r="AX14" s="139" t="str">
        <f t="shared" ca="1" si="4"/>
        <v/>
      </c>
      <c r="AY14" s="139" t="str">
        <f t="shared" ca="1" si="5"/>
        <v/>
      </c>
      <c r="AZ14" s="139" t="str">
        <f t="shared" ca="1" si="5"/>
        <v/>
      </c>
      <c r="BA14" s="139" t="str">
        <f t="shared" ca="1" si="5"/>
        <v/>
      </c>
      <c r="BB14" s="139" t="str">
        <f t="shared" ca="1" si="5"/>
        <v/>
      </c>
      <c r="BC14" s="139" t="str">
        <f t="shared" ca="1" si="5"/>
        <v/>
      </c>
      <c r="BD14" s="139" t="str">
        <f t="shared" ca="1" si="5"/>
        <v/>
      </c>
      <c r="BE14" s="139">
        <f t="shared" ca="1" si="5"/>
        <v>14.999999999999996</v>
      </c>
      <c r="BF14" s="139" t="str">
        <f t="shared" ca="1" si="5"/>
        <v/>
      </c>
      <c r="BG14" s="139" t="str">
        <f t="shared" ca="1" si="5"/>
        <v/>
      </c>
      <c r="BH14" s="139" t="str">
        <f t="shared" ca="1" si="5"/>
        <v/>
      </c>
      <c r="BI14" s="139" t="str">
        <f t="shared" ca="1" si="5"/>
        <v/>
      </c>
      <c r="BJ14" s="139" t="str">
        <f t="shared" ca="1" si="5"/>
        <v/>
      </c>
      <c r="BK14" s="139" t="str">
        <f t="shared" ca="1" si="5"/>
        <v/>
      </c>
      <c r="BL14" s="139" t="str">
        <f t="shared" ca="1" si="5"/>
        <v/>
      </c>
      <c r="BM14" s="139" t="str">
        <f t="shared" ca="1" si="5"/>
        <v/>
      </c>
      <c r="BN14" s="139" t="str">
        <f t="shared" ca="1" si="5"/>
        <v/>
      </c>
      <c r="BO14" s="139" t="str">
        <f t="shared" ca="1" si="6"/>
        <v/>
      </c>
      <c r="BP14" s="139" t="str">
        <f t="shared" ca="1" si="6"/>
        <v/>
      </c>
      <c r="BQ14" s="139" t="str">
        <f t="shared" ca="1" si="6"/>
        <v/>
      </c>
      <c r="BR14" s="139" t="str">
        <f t="shared" ca="1" si="6"/>
        <v/>
      </c>
      <c r="BS14" s="139" t="str">
        <f t="shared" ca="1" si="6"/>
        <v/>
      </c>
      <c r="BT14" s="139" t="str">
        <f t="shared" ca="1" si="6"/>
        <v/>
      </c>
      <c r="BU14" s="139" t="str">
        <f t="shared" ca="1" si="6"/>
        <v/>
      </c>
      <c r="BV14" s="139" t="str">
        <f t="shared" ca="1" si="6"/>
        <v/>
      </c>
      <c r="BW14" s="139" t="str">
        <f t="shared" ca="1" si="6"/>
        <v/>
      </c>
    </row>
    <row r="15" spans="1:75" ht="17.25" x14ac:dyDescent="0.35">
      <c r="A15" s="131">
        <v>60</v>
      </c>
      <c r="B15" s="137" t="s">
        <v>199</v>
      </c>
      <c r="C15" s="131">
        <v>30</v>
      </c>
      <c r="D15" s="131">
        <v>40</v>
      </c>
      <c r="E15" s="131"/>
      <c r="F15" s="131"/>
      <c r="G15" s="131"/>
      <c r="H15" s="131"/>
      <c r="I15" s="138">
        <v>4</v>
      </c>
      <c r="J15" s="139">
        <v>5</v>
      </c>
      <c r="K15" s="139">
        <v>7</v>
      </c>
      <c r="L15" s="135">
        <f t="shared" si="7"/>
        <v>5.333333333333333</v>
      </c>
      <c r="M15" s="135">
        <f t="shared" si="8"/>
        <v>9.3333333333333321</v>
      </c>
      <c r="N15" s="135">
        <f t="shared" si="0"/>
        <v>14.666666666666664</v>
      </c>
      <c r="O15" s="135">
        <f t="shared" ca="1" si="9"/>
        <v>9.3333333333333321</v>
      </c>
      <c r="P15" s="135">
        <f t="shared" ca="1" si="1"/>
        <v>14.666666666666664</v>
      </c>
      <c r="Q15" s="135">
        <f t="shared" ca="1" si="10"/>
        <v>0</v>
      </c>
      <c r="S15" s="139">
        <f t="shared" si="2"/>
        <v>5.666666666666667</v>
      </c>
      <c r="T15" s="139">
        <f t="shared" si="2"/>
        <v>9.3333333333333321</v>
      </c>
      <c r="U15" s="139">
        <f t="shared" si="2"/>
        <v>0</v>
      </c>
      <c r="V15" s="139">
        <f t="shared" si="2"/>
        <v>0</v>
      </c>
      <c r="W15" s="139">
        <f t="shared" si="2"/>
        <v>0</v>
      </c>
      <c r="X15" s="139">
        <f t="shared" si="2"/>
        <v>0</v>
      </c>
      <c r="Z15" s="139" t="str">
        <f t="shared" ca="1" si="3"/>
        <v/>
      </c>
      <c r="AA15" s="139" t="str">
        <f t="shared" ca="1" si="3"/>
        <v/>
      </c>
      <c r="AB15" s="139" t="str">
        <f t="shared" ca="1" si="3"/>
        <v/>
      </c>
      <c r="AC15" s="139" t="str">
        <f t="shared" ca="1" si="3"/>
        <v/>
      </c>
      <c r="AD15" s="139" t="str">
        <f t="shared" ca="1" si="3"/>
        <v/>
      </c>
      <c r="AE15" s="139" t="str">
        <f t="shared" ca="1" si="3"/>
        <v/>
      </c>
      <c r="AF15" s="139" t="str">
        <f t="shared" ca="1" si="3"/>
        <v/>
      </c>
      <c r="AG15" s="139">
        <f t="shared" ca="1" si="3"/>
        <v>80</v>
      </c>
      <c r="AH15" s="139" t="str">
        <f t="shared" ca="1" si="3"/>
        <v/>
      </c>
      <c r="AI15" s="139" t="str">
        <f t="shared" ca="1" si="3"/>
        <v/>
      </c>
      <c r="AJ15" s="139" t="str">
        <f t="shared" ca="1" si="3"/>
        <v/>
      </c>
      <c r="AK15" s="139" t="str">
        <f t="shared" ca="1" si="3"/>
        <v/>
      </c>
      <c r="AL15" s="139" t="str">
        <f t="shared" ca="1" si="3"/>
        <v/>
      </c>
      <c r="AM15" s="139" t="str">
        <f t="shared" ca="1" si="3"/>
        <v/>
      </c>
      <c r="AN15" s="139" t="str">
        <f t="shared" ca="1" si="3"/>
        <v/>
      </c>
      <c r="AO15" s="139" t="str">
        <f t="shared" ca="1" si="3"/>
        <v/>
      </c>
      <c r="AP15" s="139" t="str">
        <f t="shared" ca="1" si="4"/>
        <v/>
      </c>
      <c r="AQ15" s="139" t="str">
        <f t="shared" ca="1" si="4"/>
        <v/>
      </c>
      <c r="AR15" s="139" t="str">
        <f t="shared" ca="1" si="4"/>
        <v/>
      </c>
      <c r="AS15" s="139" t="str">
        <f t="shared" ca="1" si="4"/>
        <v/>
      </c>
      <c r="AT15" s="139" t="str">
        <f t="shared" ca="1" si="4"/>
        <v/>
      </c>
      <c r="AU15" s="139" t="str">
        <f t="shared" ca="1" si="4"/>
        <v/>
      </c>
      <c r="AV15" s="139" t="str">
        <f t="shared" ca="1" si="4"/>
        <v/>
      </c>
      <c r="AW15" s="139" t="str">
        <f t="shared" ca="1" si="4"/>
        <v/>
      </c>
      <c r="AX15" s="139" t="str">
        <f t="shared" ca="1" si="4"/>
        <v/>
      </c>
      <c r="AY15" s="139" t="str">
        <f t="shared" ca="1" si="5"/>
        <v/>
      </c>
      <c r="AZ15" s="139" t="str">
        <f t="shared" ca="1" si="5"/>
        <v/>
      </c>
      <c r="BA15" s="139" t="str">
        <f t="shared" ca="1" si="5"/>
        <v/>
      </c>
      <c r="BB15" s="139" t="str">
        <f t="shared" ca="1" si="5"/>
        <v/>
      </c>
      <c r="BC15" s="139" t="str">
        <f t="shared" ca="1" si="5"/>
        <v/>
      </c>
      <c r="BD15" s="139" t="str">
        <f t="shared" ca="1" si="5"/>
        <v/>
      </c>
      <c r="BE15" s="139" t="str">
        <f t="shared" ca="1" si="5"/>
        <v/>
      </c>
      <c r="BF15" s="139">
        <f t="shared" ca="1" si="5"/>
        <v>14.666666666666664</v>
      </c>
      <c r="BG15" s="139" t="str">
        <f t="shared" ca="1" si="5"/>
        <v/>
      </c>
      <c r="BH15" s="139" t="str">
        <f t="shared" ca="1" si="5"/>
        <v/>
      </c>
      <c r="BI15" s="139" t="str">
        <f t="shared" ca="1" si="5"/>
        <v/>
      </c>
      <c r="BJ15" s="139" t="str">
        <f t="shared" ca="1" si="5"/>
        <v/>
      </c>
      <c r="BK15" s="139" t="str">
        <f t="shared" ca="1" si="5"/>
        <v/>
      </c>
      <c r="BL15" s="139" t="str">
        <f t="shared" ca="1" si="5"/>
        <v/>
      </c>
      <c r="BM15" s="139" t="str">
        <f t="shared" ca="1" si="5"/>
        <v/>
      </c>
      <c r="BN15" s="139" t="str">
        <f t="shared" ca="1" si="5"/>
        <v/>
      </c>
      <c r="BO15" s="139" t="str">
        <f t="shared" ca="1" si="6"/>
        <v/>
      </c>
      <c r="BP15" s="139" t="str">
        <f t="shared" ca="1" si="6"/>
        <v/>
      </c>
      <c r="BQ15" s="139" t="str">
        <f t="shared" ca="1" si="6"/>
        <v/>
      </c>
      <c r="BR15" s="139" t="str">
        <f t="shared" ca="1" si="6"/>
        <v/>
      </c>
      <c r="BS15" s="139" t="str">
        <f t="shared" ca="1" si="6"/>
        <v/>
      </c>
      <c r="BT15" s="139" t="str">
        <f t="shared" ca="1" si="6"/>
        <v/>
      </c>
      <c r="BU15" s="139" t="str">
        <f t="shared" ca="1" si="6"/>
        <v/>
      </c>
      <c r="BV15" s="139" t="str">
        <f t="shared" ca="1" si="6"/>
        <v/>
      </c>
      <c r="BW15" s="139" t="str">
        <f t="shared" ca="1" si="6"/>
        <v/>
      </c>
    </row>
    <row r="16" spans="1:75" ht="17.25" x14ac:dyDescent="0.35">
      <c r="A16" s="131">
        <v>70</v>
      </c>
      <c r="B16" s="137" t="s">
        <v>200</v>
      </c>
      <c r="C16" s="131">
        <v>50</v>
      </c>
      <c r="D16" s="131"/>
      <c r="E16" s="131"/>
      <c r="F16" s="131"/>
      <c r="G16" s="131"/>
      <c r="H16" s="131"/>
      <c r="I16" s="138">
        <v>3</v>
      </c>
      <c r="J16" s="139">
        <v>4</v>
      </c>
      <c r="K16" s="139">
        <v>8</v>
      </c>
      <c r="L16" s="135">
        <f t="shared" si="7"/>
        <v>5</v>
      </c>
      <c r="M16" s="135">
        <f t="shared" si="8"/>
        <v>10.666666666666668</v>
      </c>
      <c r="N16" s="135">
        <f t="shared" si="0"/>
        <v>15.666666666666668</v>
      </c>
      <c r="O16" s="135">
        <f t="shared" ca="1" si="9"/>
        <v>14.999999999999996</v>
      </c>
      <c r="P16" s="135">
        <f t="shared" ca="1" si="1"/>
        <v>19.999999999999996</v>
      </c>
      <c r="Q16" s="135">
        <f t="shared" ca="1" si="10"/>
        <v>4.3333300000000001</v>
      </c>
      <c r="S16" s="139">
        <f t="shared" si="2"/>
        <v>10.666666666666668</v>
      </c>
      <c r="T16" s="139">
        <f t="shared" si="2"/>
        <v>0</v>
      </c>
      <c r="U16" s="139">
        <f t="shared" si="2"/>
        <v>0</v>
      </c>
      <c r="V16" s="139">
        <f t="shared" si="2"/>
        <v>0</v>
      </c>
      <c r="W16" s="139">
        <f t="shared" si="2"/>
        <v>0</v>
      </c>
      <c r="X16" s="139">
        <f t="shared" si="2"/>
        <v>0</v>
      </c>
      <c r="Z16" s="139" t="str">
        <f t="shared" ca="1" si="3"/>
        <v/>
      </c>
      <c r="AA16" s="139" t="str">
        <f t="shared" ca="1" si="3"/>
        <v/>
      </c>
      <c r="AB16" s="139" t="str">
        <f t="shared" ca="1" si="3"/>
        <v/>
      </c>
      <c r="AC16" s="139" t="str">
        <f t="shared" ca="1" si="3"/>
        <v/>
      </c>
      <c r="AD16" s="139" t="str">
        <f t="shared" ca="1" si="3"/>
        <v/>
      </c>
      <c r="AE16" s="139" t="str">
        <f t="shared" ca="1" si="3"/>
        <v/>
      </c>
      <c r="AF16" s="139" t="str">
        <f t="shared" ca="1" si="3"/>
        <v/>
      </c>
      <c r="AG16" s="139" t="str">
        <f t="shared" ca="1" si="3"/>
        <v/>
      </c>
      <c r="AH16" s="139">
        <f t="shared" ca="1" si="3"/>
        <v>90</v>
      </c>
      <c r="AI16" s="139" t="str">
        <f t="shared" ca="1" si="3"/>
        <v/>
      </c>
      <c r="AJ16" s="139" t="str">
        <f t="shared" ca="1" si="3"/>
        <v/>
      </c>
      <c r="AK16" s="139" t="str">
        <f t="shared" ca="1" si="3"/>
        <v/>
      </c>
      <c r="AL16" s="139" t="str">
        <f t="shared" ca="1" si="3"/>
        <v/>
      </c>
      <c r="AM16" s="139" t="str">
        <f t="shared" ca="1" si="3"/>
        <v/>
      </c>
      <c r="AN16" s="139" t="str">
        <f t="shared" ca="1" si="3"/>
        <v/>
      </c>
      <c r="AO16" s="139" t="str">
        <f t="shared" ca="1" si="3"/>
        <v/>
      </c>
      <c r="AP16" s="139" t="str">
        <f t="shared" ca="1" si="4"/>
        <v/>
      </c>
      <c r="AQ16" s="139" t="str">
        <f t="shared" ca="1" si="4"/>
        <v/>
      </c>
      <c r="AR16" s="139" t="str">
        <f t="shared" ca="1" si="4"/>
        <v/>
      </c>
      <c r="AS16" s="139" t="str">
        <f t="shared" ca="1" si="4"/>
        <v/>
      </c>
      <c r="AT16" s="139" t="str">
        <f t="shared" ca="1" si="4"/>
        <v/>
      </c>
      <c r="AU16" s="139" t="str">
        <f t="shared" ca="1" si="4"/>
        <v/>
      </c>
      <c r="AV16" s="139" t="str">
        <f t="shared" ca="1" si="4"/>
        <v/>
      </c>
      <c r="AW16" s="139" t="str">
        <f t="shared" ca="1" si="4"/>
        <v/>
      </c>
      <c r="AX16" s="139" t="str">
        <f t="shared" ca="1" si="4"/>
        <v/>
      </c>
      <c r="AY16" s="139" t="str">
        <f t="shared" ca="1" si="5"/>
        <v/>
      </c>
      <c r="AZ16" s="139" t="str">
        <f t="shared" ca="1" si="5"/>
        <v/>
      </c>
      <c r="BA16" s="139" t="str">
        <f t="shared" ca="1" si="5"/>
        <v/>
      </c>
      <c r="BB16" s="139" t="str">
        <f t="shared" ca="1" si="5"/>
        <v/>
      </c>
      <c r="BC16" s="139" t="str">
        <f t="shared" ca="1" si="5"/>
        <v/>
      </c>
      <c r="BD16" s="139" t="str">
        <f t="shared" ca="1" si="5"/>
        <v/>
      </c>
      <c r="BE16" s="139" t="str">
        <f t="shared" ca="1" si="5"/>
        <v/>
      </c>
      <c r="BF16" s="139" t="str">
        <f t="shared" ca="1" si="5"/>
        <v/>
      </c>
      <c r="BG16" s="139">
        <f t="shared" ca="1" si="5"/>
        <v>19.999999999999996</v>
      </c>
      <c r="BH16" s="139" t="str">
        <f t="shared" ca="1" si="5"/>
        <v/>
      </c>
      <c r="BI16" s="139" t="str">
        <f t="shared" ca="1" si="5"/>
        <v/>
      </c>
      <c r="BJ16" s="139" t="str">
        <f t="shared" ca="1" si="5"/>
        <v/>
      </c>
      <c r="BK16" s="139" t="str">
        <f t="shared" ca="1" si="5"/>
        <v/>
      </c>
      <c r="BL16" s="139" t="str">
        <f t="shared" ca="1" si="5"/>
        <v/>
      </c>
      <c r="BM16" s="139" t="str">
        <f t="shared" ca="1" si="5"/>
        <v/>
      </c>
      <c r="BN16" s="139" t="str">
        <f t="shared" ca="1" si="5"/>
        <v/>
      </c>
      <c r="BO16" s="139" t="str">
        <f t="shared" ca="1" si="6"/>
        <v/>
      </c>
      <c r="BP16" s="139" t="str">
        <f t="shared" ca="1" si="6"/>
        <v/>
      </c>
      <c r="BQ16" s="139" t="str">
        <f t="shared" ca="1" si="6"/>
        <v/>
      </c>
      <c r="BR16" s="139" t="str">
        <f t="shared" ca="1" si="6"/>
        <v/>
      </c>
      <c r="BS16" s="139" t="str">
        <f t="shared" ca="1" si="6"/>
        <v/>
      </c>
      <c r="BT16" s="139" t="str">
        <f t="shared" ca="1" si="6"/>
        <v/>
      </c>
      <c r="BU16" s="139" t="str">
        <f t="shared" ca="1" si="6"/>
        <v/>
      </c>
      <c r="BV16" s="139" t="str">
        <f t="shared" ca="1" si="6"/>
        <v/>
      </c>
      <c r="BW16" s="139" t="str">
        <f t="shared" ca="1" si="6"/>
        <v/>
      </c>
    </row>
    <row r="17" spans="1:75" ht="17.25" x14ac:dyDescent="0.35">
      <c r="A17" s="131">
        <v>80</v>
      </c>
      <c r="B17" s="137" t="s">
        <v>201</v>
      </c>
      <c r="C17" s="131">
        <v>60</v>
      </c>
      <c r="D17" s="131"/>
      <c r="E17" s="131"/>
      <c r="F17" s="131"/>
      <c r="G17" s="131"/>
      <c r="H17" s="131"/>
      <c r="I17" s="138">
        <v>3</v>
      </c>
      <c r="J17" s="139">
        <v>5</v>
      </c>
      <c r="K17" s="139">
        <v>8</v>
      </c>
      <c r="L17" s="135">
        <f t="shared" si="7"/>
        <v>5.333333333333333</v>
      </c>
      <c r="M17" s="135">
        <f t="shared" si="8"/>
        <v>14.666666666666664</v>
      </c>
      <c r="N17" s="135">
        <f t="shared" si="0"/>
        <v>19.999999999999996</v>
      </c>
      <c r="O17" s="135">
        <f t="shared" ca="1" si="9"/>
        <v>14.666666666666664</v>
      </c>
      <c r="P17" s="135">
        <f t="shared" ca="1" si="1"/>
        <v>19.999999999999996</v>
      </c>
      <c r="Q17" s="135">
        <f t="shared" ca="1" si="10"/>
        <v>0</v>
      </c>
      <c r="S17" s="139">
        <f t="shared" si="2"/>
        <v>14.666666666666664</v>
      </c>
      <c r="T17" s="139">
        <f t="shared" si="2"/>
        <v>0</v>
      </c>
      <c r="U17" s="139">
        <f t="shared" si="2"/>
        <v>0</v>
      </c>
      <c r="V17" s="139">
        <f t="shared" si="2"/>
        <v>0</v>
      </c>
      <c r="W17" s="139">
        <f t="shared" si="2"/>
        <v>0</v>
      </c>
      <c r="X17" s="139">
        <f t="shared" si="2"/>
        <v>0</v>
      </c>
      <c r="Z17" s="139" t="str">
        <f t="shared" ca="1" si="3"/>
        <v/>
      </c>
      <c r="AA17" s="139" t="str">
        <f t="shared" ca="1" si="3"/>
        <v/>
      </c>
      <c r="AB17" s="139" t="str">
        <f t="shared" ca="1" si="3"/>
        <v/>
      </c>
      <c r="AC17" s="139" t="str">
        <f t="shared" ca="1" si="3"/>
        <v/>
      </c>
      <c r="AD17" s="139" t="str">
        <f t="shared" ca="1" si="3"/>
        <v/>
      </c>
      <c r="AE17" s="139" t="str">
        <f t="shared" ca="1" si="3"/>
        <v/>
      </c>
      <c r="AF17" s="139" t="str">
        <f t="shared" ca="1" si="3"/>
        <v/>
      </c>
      <c r="AG17" s="139" t="str">
        <f t="shared" ca="1" si="3"/>
        <v/>
      </c>
      <c r="AH17" s="139">
        <f t="shared" ca="1" si="3"/>
        <v>90</v>
      </c>
      <c r="AI17" s="139" t="str">
        <f t="shared" ca="1" si="3"/>
        <v/>
      </c>
      <c r="AJ17" s="139" t="str">
        <f t="shared" ca="1" si="3"/>
        <v/>
      </c>
      <c r="AK17" s="139" t="str">
        <f t="shared" ca="1" si="3"/>
        <v/>
      </c>
      <c r="AL17" s="139" t="str">
        <f t="shared" ca="1" si="3"/>
        <v/>
      </c>
      <c r="AM17" s="139" t="str">
        <f t="shared" ca="1" si="3"/>
        <v/>
      </c>
      <c r="AN17" s="139" t="str">
        <f t="shared" ca="1" si="3"/>
        <v/>
      </c>
      <c r="AO17" s="139" t="str">
        <f t="shared" ca="1" si="3"/>
        <v/>
      </c>
      <c r="AP17" s="139" t="str">
        <f t="shared" ca="1" si="4"/>
        <v/>
      </c>
      <c r="AQ17" s="139" t="str">
        <f t="shared" ca="1" si="4"/>
        <v/>
      </c>
      <c r="AR17" s="139" t="str">
        <f t="shared" ca="1" si="4"/>
        <v/>
      </c>
      <c r="AS17" s="139" t="str">
        <f t="shared" ca="1" si="4"/>
        <v/>
      </c>
      <c r="AT17" s="139" t="str">
        <f t="shared" ca="1" si="4"/>
        <v/>
      </c>
      <c r="AU17" s="139" t="str">
        <f t="shared" ca="1" si="4"/>
        <v/>
      </c>
      <c r="AV17" s="139" t="str">
        <f t="shared" ca="1" si="4"/>
        <v/>
      </c>
      <c r="AW17" s="139" t="str">
        <f t="shared" ca="1" si="4"/>
        <v/>
      </c>
      <c r="AX17" s="139" t="str">
        <f t="shared" ca="1" si="4"/>
        <v/>
      </c>
      <c r="AY17" s="139" t="str">
        <f t="shared" ca="1" si="5"/>
        <v/>
      </c>
      <c r="AZ17" s="139" t="str">
        <f t="shared" ca="1" si="5"/>
        <v/>
      </c>
      <c r="BA17" s="139" t="str">
        <f t="shared" ca="1" si="5"/>
        <v/>
      </c>
      <c r="BB17" s="139" t="str">
        <f t="shared" ca="1" si="5"/>
        <v/>
      </c>
      <c r="BC17" s="139" t="str">
        <f t="shared" ca="1" si="5"/>
        <v/>
      </c>
      <c r="BD17" s="139" t="str">
        <f t="shared" ca="1" si="5"/>
        <v/>
      </c>
      <c r="BE17" s="139" t="str">
        <f t="shared" ca="1" si="5"/>
        <v/>
      </c>
      <c r="BF17" s="139" t="str">
        <f t="shared" ca="1" si="5"/>
        <v/>
      </c>
      <c r="BG17" s="139">
        <f t="shared" ca="1" si="5"/>
        <v>19.999999999999996</v>
      </c>
      <c r="BH17" s="139" t="str">
        <f t="shared" ca="1" si="5"/>
        <v/>
      </c>
      <c r="BI17" s="139" t="str">
        <f t="shared" ca="1" si="5"/>
        <v/>
      </c>
      <c r="BJ17" s="139" t="str">
        <f t="shared" ca="1" si="5"/>
        <v/>
      </c>
      <c r="BK17" s="139" t="str">
        <f t="shared" ca="1" si="5"/>
        <v/>
      </c>
      <c r="BL17" s="139" t="str">
        <f t="shared" ca="1" si="5"/>
        <v/>
      </c>
      <c r="BM17" s="139" t="str">
        <f t="shared" ca="1" si="5"/>
        <v/>
      </c>
      <c r="BN17" s="139" t="str">
        <f t="shared" ca="1" si="5"/>
        <v/>
      </c>
      <c r="BO17" s="139" t="str">
        <f t="shared" ca="1" si="6"/>
        <v/>
      </c>
      <c r="BP17" s="139" t="str">
        <f t="shared" ca="1" si="6"/>
        <v/>
      </c>
      <c r="BQ17" s="139" t="str">
        <f t="shared" ca="1" si="6"/>
        <v/>
      </c>
      <c r="BR17" s="139" t="str">
        <f t="shared" ca="1" si="6"/>
        <v/>
      </c>
      <c r="BS17" s="139" t="str">
        <f t="shared" ca="1" si="6"/>
        <v/>
      </c>
      <c r="BT17" s="139" t="str">
        <f t="shared" ca="1" si="6"/>
        <v/>
      </c>
      <c r="BU17" s="139" t="str">
        <f t="shared" ca="1" si="6"/>
        <v/>
      </c>
      <c r="BV17" s="139" t="str">
        <f t="shared" ca="1" si="6"/>
        <v/>
      </c>
      <c r="BW17" s="139" t="str">
        <f t="shared" ca="1" si="6"/>
        <v/>
      </c>
    </row>
    <row r="18" spans="1:75" ht="17.25" x14ac:dyDescent="0.35">
      <c r="A18" s="131">
        <v>90</v>
      </c>
      <c r="B18" s="132" t="s">
        <v>202</v>
      </c>
      <c r="C18" s="131">
        <v>70</v>
      </c>
      <c r="D18" s="131">
        <v>80</v>
      </c>
      <c r="E18" s="131"/>
      <c r="F18" s="131"/>
      <c r="G18" s="131"/>
      <c r="H18" s="131"/>
      <c r="I18" s="134"/>
      <c r="J18" s="134"/>
      <c r="K18" s="134"/>
      <c r="L18" s="135">
        <f t="shared" si="7"/>
        <v>0</v>
      </c>
      <c r="M18" s="135">
        <f t="shared" si="8"/>
        <v>19.999999999999996</v>
      </c>
      <c r="N18" s="135">
        <f t="shared" si="0"/>
        <v>19.999999999999996</v>
      </c>
      <c r="O18" s="135">
        <f t="shared" si="9"/>
        <v>19.999999999999996</v>
      </c>
      <c r="P18" s="136">
        <f>N18</f>
        <v>19.999999999999996</v>
      </c>
      <c r="Q18" s="135">
        <f t="shared" si="10"/>
        <v>0</v>
      </c>
      <c r="S18" s="139">
        <f t="shared" si="2"/>
        <v>15.666666666666668</v>
      </c>
      <c r="T18" s="139">
        <f t="shared" si="2"/>
        <v>19.999999999999996</v>
      </c>
      <c r="U18" s="139">
        <f t="shared" si="2"/>
        <v>0</v>
      </c>
      <c r="V18" s="139">
        <f t="shared" si="2"/>
        <v>0</v>
      </c>
      <c r="W18" s="139">
        <f t="shared" si="2"/>
        <v>0</v>
      </c>
      <c r="X18" s="139">
        <f t="shared" si="2"/>
        <v>0</v>
      </c>
      <c r="Z18" s="139" t="str">
        <f t="shared" ca="1" si="3"/>
        <v/>
      </c>
      <c r="AA18" s="139" t="str">
        <f t="shared" ca="1" si="3"/>
        <v/>
      </c>
      <c r="AB18" s="139" t="str">
        <f t="shared" ca="1" si="3"/>
        <v/>
      </c>
      <c r="AC18" s="139" t="str">
        <f t="shared" ca="1" si="3"/>
        <v/>
      </c>
      <c r="AD18" s="139" t="str">
        <f t="shared" ca="1" si="3"/>
        <v/>
      </c>
      <c r="AE18" s="139" t="str">
        <f t="shared" ca="1" si="3"/>
        <v/>
      </c>
      <c r="AF18" s="139" t="str">
        <f t="shared" ca="1" si="3"/>
        <v/>
      </c>
      <c r="AG18" s="139" t="str">
        <f t="shared" ca="1" si="3"/>
        <v/>
      </c>
      <c r="AH18" s="139" t="str">
        <f t="shared" ca="1" si="3"/>
        <v/>
      </c>
      <c r="AI18" s="139" t="str">
        <f t="shared" ca="1" si="3"/>
        <v/>
      </c>
      <c r="AJ18" s="139" t="str">
        <f t="shared" ca="1" si="3"/>
        <v/>
      </c>
      <c r="AK18" s="139" t="str">
        <f t="shared" ca="1" si="3"/>
        <v/>
      </c>
      <c r="AL18" s="139" t="str">
        <f t="shared" ca="1" si="3"/>
        <v/>
      </c>
      <c r="AM18" s="139" t="str">
        <f t="shared" ca="1" si="3"/>
        <v/>
      </c>
      <c r="AN18" s="139" t="str">
        <f t="shared" ca="1" si="3"/>
        <v/>
      </c>
      <c r="AO18" s="139" t="str">
        <f t="shared" ca="1" si="3"/>
        <v/>
      </c>
      <c r="AP18" s="139" t="str">
        <f t="shared" ca="1" si="4"/>
        <v/>
      </c>
      <c r="AQ18" s="139" t="str">
        <f t="shared" ca="1" si="4"/>
        <v/>
      </c>
      <c r="AR18" s="139" t="str">
        <f t="shared" ca="1" si="4"/>
        <v/>
      </c>
      <c r="AS18" s="139" t="str">
        <f t="shared" ca="1" si="4"/>
        <v/>
      </c>
      <c r="AT18" s="139" t="str">
        <f t="shared" ca="1" si="4"/>
        <v/>
      </c>
      <c r="AU18" s="139" t="str">
        <f t="shared" ca="1" si="4"/>
        <v/>
      </c>
      <c r="AV18" s="139" t="str">
        <f t="shared" ca="1" si="4"/>
        <v/>
      </c>
      <c r="AW18" s="139" t="str">
        <f t="shared" ca="1" si="4"/>
        <v/>
      </c>
      <c r="AX18" s="139" t="str">
        <f t="shared" ca="1" si="4"/>
        <v/>
      </c>
      <c r="AY18" s="139" t="str">
        <f t="shared" ca="1" si="5"/>
        <v/>
      </c>
      <c r="AZ18" s="139" t="str">
        <f t="shared" ca="1" si="5"/>
        <v/>
      </c>
      <c r="BA18" s="139" t="str">
        <f t="shared" ca="1" si="5"/>
        <v/>
      </c>
      <c r="BB18" s="139" t="str">
        <f t="shared" ca="1" si="5"/>
        <v/>
      </c>
      <c r="BC18" s="139" t="str">
        <f t="shared" ca="1" si="5"/>
        <v/>
      </c>
      <c r="BD18" s="139" t="str">
        <f t="shared" ca="1" si="5"/>
        <v/>
      </c>
      <c r="BE18" s="139" t="str">
        <f t="shared" ca="1" si="5"/>
        <v/>
      </c>
      <c r="BF18" s="139" t="str">
        <f t="shared" ca="1" si="5"/>
        <v/>
      </c>
      <c r="BG18" s="139" t="str">
        <f t="shared" ca="1" si="5"/>
        <v/>
      </c>
      <c r="BH18" s="139" t="str">
        <f t="shared" ca="1" si="5"/>
        <v/>
      </c>
      <c r="BI18" s="139" t="str">
        <f t="shared" ca="1" si="5"/>
        <v/>
      </c>
      <c r="BJ18" s="139" t="str">
        <f t="shared" ca="1" si="5"/>
        <v/>
      </c>
      <c r="BK18" s="139" t="str">
        <f t="shared" ca="1" si="5"/>
        <v/>
      </c>
      <c r="BL18" s="139" t="str">
        <f t="shared" ca="1" si="5"/>
        <v/>
      </c>
      <c r="BM18" s="139" t="str">
        <f t="shared" ca="1" si="5"/>
        <v/>
      </c>
      <c r="BN18" s="139" t="str">
        <f t="shared" ca="1" si="5"/>
        <v/>
      </c>
      <c r="BO18" s="139" t="str">
        <f t="shared" ca="1" si="6"/>
        <v/>
      </c>
      <c r="BP18" s="139" t="str">
        <f t="shared" ca="1" si="6"/>
        <v/>
      </c>
      <c r="BQ18" s="139" t="str">
        <f t="shared" ca="1" si="6"/>
        <v/>
      </c>
      <c r="BR18" s="139" t="str">
        <f t="shared" ca="1" si="6"/>
        <v/>
      </c>
      <c r="BS18" s="139" t="str">
        <f t="shared" ca="1" si="6"/>
        <v/>
      </c>
      <c r="BT18" s="139" t="str">
        <f t="shared" ca="1" si="6"/>
        <v/>
      </c>
      <c r="BU18" s="139" t="str">
        <f t="shared" ca="1" si="6"/>
        <v/>
      </c>
      <c r="BV18" s="139" t="str">
        <f t="shared" ca="1" si="6"/>
        <v/>
      </c>
      <c r="BW18" s="139" t="str">
        <f t="shared" ca="1" si="6"/>
        <v/>
      </c>
    </row>
  </sheetData>
  <mergeCells count="2">
    <mergeCell ref="C9:H9"/>
    <mergeCell ref="I6:K6"/>
  </mergeCells>
  <phoneticPr fontId="2" type="noConversion"/>
  <conditionalFormatting sqref="B10:B18">
    <cfRule type="expression" dxfId="15" priority="1" stopIfTrue="1">
      <formula>Q10=0</formula>
    </cfRule>
    <cfRule type="expression" dxfId="14" priority="2" stopIfTrue="1">
      <formula>Q10=0</formula>
    </cfRule>
  </conditionalFormatting>
  <conditionalFormatting sqref="A10">
    <cfRule type="expression" dxfId="13" priority="3" stopIfTrue="1">
      <formula>ROW(A10)-ROW(A$14)&gt;25</formula>
    </cfRule>
  </conditionalFormatting>
  <dataValidations count="1">
    <dataValidation type="list" allowBlank="1" showInputMessage="1" showErrorMessage="1" sqref="K7">
      <formula1>"Beta, Triangular"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A4" workbookViewId="0">
      <selection activeCell="O16" sqref="O16"/>
    </sheetView>
  </sheetViews>
  <sheetFormatPr defaultRowHeight="13.5" x14ac:dyDescent="0.15"/>
  <cols>
    <col min="6" max="6" width="10.375" customWidth="1"/>
    <col min="10" max="10" width="11.25" customWidth="1"/>
    <col min="12" max="12" width="12.625" customWidth="1"/>
    <col min="15" max="15" width="10.375" customWidth="1"/>
    <col min="17" max="17" width="9" customWidth="1"/>
    <col min="18" max="18" width="34.875" customWidth="1"/>
  </cols>
  <sheetData>
    <row r="1" spans="1:18" ht="35.25" customHeight="1" x14ac:dyDescent="0.5">
      <c r="A1" s="77" t="s">
        <v>238</v>
      </c>
      <c r="C1" s="220" t="s">
        <v>299</v>
      </c>
    </row>
    <row r="6" spans="1:18" ht="16.5" x14ac:dyDescent="0.3">
      <c r="E6" s="112" t="s">
        <v>308</v>
      </c>
      <c r="F6" s="109"/>
      <c r="G6" s="109"/>
      <c r="H6" s="109"/>
      <c r="I6" s="109"/>
      <c r="J6" s="109"/>
      <c r="K6" s="109"/>
      <c r="L6" s="109"/>
      <c r="M6" s="109"/>
    </row>
    <row r="7" spans="1:18" ht="15" x14ac:dyDescent="0.15">
      <c r="E7" s="218" t="s">
        <v>270</v>
      </c>
      <c r="F7" s="218" t="s">
        <v>13</v>
      </c>
      <c r="G7" s="218" t="s">
        <v>271</v>
      </c>
      <c r="H7" s="218" t="s">
        <v>302</v>
      </c>
      <c r="I7" s="218" t="s">
        <v>272</v>
      </c>
      <c r="J7" s="218" t="s">
        <v>263</v>
      </c>
      <c r="K7" s="218" t="s">
        <v>276</v>
      </c>
      <c r="L7" s="218" t="s">
        <v>273</v>
      </c>
      <c r="M7" s="218" t="s">
        <v>275</v>
      </c>
      <c r="N7" s="218" t="s">
        <v>274</v>
      </c>
      <c r="Q7" s="88" t="s">
        <v>300</v>
      </c>
      <c r="R7" s="221" t="s">
        <v>307</v>
      </c>
    </row>
    <row r="8" spans="1:18" ht="15" x14ac:dyDescent="0.15">
      <c r="E8" s="218"/>
      <c r="F8" s="218">
        <f>COUNTA($A$17:$A$34)</f>
        <v>10</v>
      </c>
      <c r="G8" s="218">
        <f>COUNTIF($A$17:$A$34,"Open")</f>
        <v>2</v>
      </c>
      <c r="H8" s="218">
        <f>COUNTIF($A$17:$A$34,"Reopen")</f>
        <v>2</v>
      </c>
      <c r="I8" s="218">
        <f>COUNTIF($A$17:$A$34,"Fixed")</f>
        <v>1</v>
      </c>
      <c r="J8" s="218">
        <f>COUNTIF($A$17:$A$34,"Deferred")</f>
        <v>2</v>
      </c>
      <c r="K8" s="218">
        <f>COUNTIF($A$17:$A$34,"Closed")</f>
        <v>0</v>
      </c>
      <c r="L8" s="218">
        <f>COUNTIF($A$17:$A$34,"Rejected")</f>
        <v>1</v>
      </c>
      <c r="M8" s="218">
        <f>COUNTIF($A$17:$A$34,"Invalid")</f>
        <v>1</v>
      </c>
      <c r="N8" s="218">
        <f>COUNTIF($A$17:$A$34,"New")</f>
        <v>1</v>
      </c>
      <c r="Q8" s="88" t="s">
        <v>303</v>
      </c>
      <c r="R8" s="221" t="s">
        <v>304</v>
      </c>
    </row>
    <row r="9" spans="1:18" ht="15" x14ac:dyDescent="0.15">
      <c r="E9" s="219" t="s">
        <v>294</v>
      </c>
      <c r="F9" s="218">
        <f>COUNTIF($G$17:$G$34,"A-Urgent")</f>
        <v>5</v>
      </c>
      <c r="G9" s="219">
        <f>COUNTIFS($A$17:$A$34,"Open",$G$17:$G$34,"A-Urgent")</f>
        <v>2</v>
      </c>
      <c r="H9" s="219">
        <f>COUNTIFS($A$17:$A$34,"Reopen",$G$17:$G$34,"A-Urgent")</f>
        <v>2</v>
      </c>
      <c r="I9" s="219">
        <f>COUNTIFS($A$17:$A$34,"Fixed",$G$17:$G$34,"A-Urgent")</f>
        <v>0</v>
      </c>
      <c r="J9" s="219">
        <f>COUNTIFS($A$17:$A$34,"Deferred",$G$17:$G$34,"A-Urgent")</f>
        <v>0</v>
      </c>
      <c r="K9" s="219">
        <f>COUNTIFS($A$17:$A$34,"Closed",$G$17:$G$34,"A-Urgent")</f>
        <v>0</v>
      </c>
      <c r="L9" s="219">
        <f>COUNTIFS($A$17:$A$34,"Rejected",$G$17:$G$34,"A-Urgent")</f>
        <v>1</v>
      </c>
      <c r="M9" s="219">
        <f>COUNTIFS($A$17:$A$34,"Invalid",$G$17:$G$34,"A-Urgent")</f>
        <v>0</v>
      </c>
      <c r="N9" s="219">
        <f>COUNTIFS($A$17:$A$34,"New",$G$17:$G$34,"A-Urgent")</f>
        <v>0</v>
      </c>
      <c r="O9" s="84"/>
      <c r="Q9" s="88" t="s">
        <v>305</v>
      </c>
      <c r="R9" s="221" t="s">
        <v>306</v>
      </c>
    </row>
    <row r="10" spans="1:18" ht="15" x14ac:dyDescent="0.15">
      <c r="E10" s="219" t="s">
        <v>293</v>
      </c>
      <c r="F10" s="218">
        <f>COUNTIF($G$17:$G$34,"B-High")</f>
        <v>2</v>
      </c>
      <c r="G10" s="219">
        <f>COUNTIFS($A$17:$A$34,"Open",$G$17:$G$34,"B-High")</f>
        <v>0</v>
      </c>
      <c r="H10" s="219">
        <f>COUNTIFS($A$17:$A$34,"Reopen",$G$17:$G$34,"B-High")</f>
        <v>0</v>
      </c>
      <c r="I10" s="219">
        <f>COUNTIFS($A$17:$A$34,"Fixed",$G$17:$G$34,"B-High")</f>
        <v>1</v>
      </c>
      <c r="J10" s="219">
        <f>COUNTIFS($A$17:$A$34,"Deferred",$G$17:$G$34,"B-High")</f>
        <v>0</v>
      </c>
      <c r="K10" s="219">
        <f>COUNTIFS($A$17:$A$34,"Closed",$G$17:$G$34,"B-High")</f>
        <v>0</v>
      </c>
      <c r="L10" s="219">
        <f>COUNTIFS($A$17:$A$34,"Rejected",$G$17:$G$34,"B-High")</f>
        <v>0</v>
      </c>
      <c r="M10" s="219">
        <f>COUNTIFS($A$17:$A$34,"Invalid",$G$17:$G$34,"B-High")</f>
        <v>0</v>
      </c>
      <c r="N10" s="219">
        <f>COUNTIFS($A$17:$A$34,"New",$G$17:$G$34,"B-High")</f>
        <v>1</v>
      </c>
      <c r="O10" s="84"/>
    </row>
    <row r="11" spans="1:18" ht="15" x14ac:dyDescent="0.15">
      <c r="E11" s="219" t="s">
        <v>295</v>
      </c>
      <c r="F11" s="218">
        <f>COUNTIF($G$17:$G$34,"C-Medium")</f>
        <v>1</v>
      </c>
      <c r="G11" s="219">
        <f>COUNTIFS($A$17:$A$34,"Open",$G$17:$G$34,"C-Medium")</f>
        <v>0</v>
      </c>
      <c r="H11" s="219">
        <f>COUNTIFS($A$17:$A$34,"Reopen",$G$17:$G$34,"C-Medium")</f>
        <v>0</v>
      </c>
      <c r="I11" s="219">
        <f>COUNTIFS($A$17:$A$34,"Fixed",$G$17:$G$34,"C-Medium")</f>
        <v>0</v>
      </c>
      <c r="J11" s="219">
        <f>COUNTIFS($A$17:$A$34,"Deferred",$G$17:$G$34,"C-Medium")</f>
        <v>1</v>
      </c>
      <c r="K11" s="219">
        <f>COUNTIFS($A$17:$A$34,"Closed",$G$17:$G$34,"C-Medium")</f>
        <v>0</v>
      </c>
      <c r="L11" s="219">
        <f>COUNTIFS($A$17:$A$34,"Rejected",$G$17:$G$34,"C-Medium")</f>
        <v>0</v>
      </c>
      <c r="M11" s="219">
        <f>COUNTIFS($A$17:$A$34,"Invalid",$G$17:$G$34,"C-Medium")</f>
        <v>0</v>
      </c>
      <c r="N11" s="219">
        <f>COUNTIFS($A$17:$A$34,"New",$G$17:$G$34,"C-Medium")</f>
        <v>0</v>
      </c>
      <c r="O11" s="84"/>
    </row>
    <row r="12" spans="1:18" ht="15" x14ac:dyDescent="0.15">
      <c r="E12" s="219" t="s">
        <v>296</v>
      </c>
      <c r="F12" s="218">
        <f>COUNTIF($G$17:$G$34,"D-Low")</f>
        <v>1</v>
      </c>
      <c r="G12" s="219">
        <f>COUNTIFS($A$17:$A$34,"Open",$G$17:$G$34,"D-Low")</f>
        <v>0</v>
      </c>
      <c r="H12" s="219">
        <f>COUNTIFS($A$17:$A$34,"Reopen",$G$17:$G$34,"D-Low")</f>
        <v>0</v>
      </c>
      <c r="I12" s="219">
        <f>COUNTIFS($A$17:$A$34,"Fixed",$G$17:$G$34,"D-Low")</f>
        <v>0</v>
      </c>
      <c r="J12" s="219">
        <f>COUNTIFS($A$17:$A$34,"Deferred",$G$17:$G$34,"D-Low")</f>
        <v>0</v>
      </c>
      <c r="K12" s="219">
        <f>COUNTIFS($A$17:$A$34,"Closed",$G$17:$G$34,"D-Low")</f>
        <v>0</v>
      </c>
      <c r="L12" s="219">
        <f>COUNTIFS($A$17:$A$34,"Rejected",$G$17:$G$34,"D-Low")</f>
        <v>0</v>
      </c>
      <c r="M12" s="219">
        <f>COUNTIFS($A$17:$A$34,"Invalid",$G$17:$G$34,"D-Low")</f>
        <v>1</v>
      </c>
      <c r="N12" s="219">
        <f>COUNTIFS($A$17:$A$34,"New",$G$17:$G$34,"D-Low")</f>
        <v>0</v>
      </c>
      <c r="O12" s="84"/>
    </row>
    <row r="13" spans="1:18" ht="15" x14ac:dyDescent="0.15">
      <c r="E13" s="219" t="s">
        <v>297</v>
      </c>
      <c r="F13" s="218">
        <f>COUNTIF($G$17:$G$34,"E-Suggest")</f>
        <v>1</v>
      </c>
      <c r="G13" s="219">
        <f>COUNTIFS($A$17:$A$34,"Open",$G$17:$G$34,"E-Suggest")</f>
        <v>0</v>
      </c>
      <c r="H13" s="219">
        <f>COUNTIFS($A$17:$A$34,"Reopen",$G$17:$G$34,"E-Suggest")</f>
        <v>0</v>
      </c>
      <c r="I13" s="219">
        <f>COUNTIFS($A$17:$A$34,"Fixed",$G$17:$G$34,"E-Suggest")</f>
        <v>0</v>
      </c>
      <c r="J13" s="219">
        <f>COUNTIFS($A$17:$A$34,"Deferred",$G$17:$G$34,"E-Suggest")</f>
        <v>1</v>
      </c>
      <c r="K13" s="219">
        <f>COUNTIFS($A$17:$A$34,"Closed",$G$17:$G$34,"E-Suggest")</f>
        <v>0</v>
      </c>
      <c r="L13" s="219">
        <f>COUNTIFS($A$17:$A$34,"Rejected",$G$17:$G$34,"E-Suggest")</f>
        <v>0</v>
      </c>
      <c r="M13" s="219">
        <f>COUNTIFS($A$17:$A$34,"Invalid",$G$17:$G$34,"E-Suggest")</f>
        <v>0</v>
      </c>
      <c r="N13" s="219">
        <f>COUNTIFS($A$17:$A$34,"New",$G$17:$G$34,"E-Suggest")</f>
        <v>0</v>
      </c>
      <c r="O13" s="84"/>
    </row>
    <row r="16" spans="1:18" ht="15" x14ac:dyDescent="0.15">
      <c r="A16" s="198" t="s">
        <v>85</v>
      </c>
      <c r="B16" s="198" t="s">
        <v>249</v>
      </c>
      <c r="C16" s="198" t="s">
        <v>267</v>
      </c>
      <c r="D16" s="198" t="s">
        <v>268</v>
      </c>
      <c r="E16" s="198" t="s">
        <v>250</v>
      </c>
      <c r="F16" s="199" t="s">
        <v>75</v>
      </c>
      <c r="G16" s="199" t="s">
        <v>251</v>
      </c>
      <c r="H16" s="199" t="s">
        <v>252</v>
      </c>
      <c r="I16" s="199" t="s">
        <v>254</v>
      </c>
      <c r="J16" s="199" t="s">
        <v>266</v>
      </c>
      <c r="K16" s="199" t="s">
        <v>255</v>
      </c>
      <c r="L16" s="199" t="s">
        <v>253</v>
      </c>
      <c r="M16" s="199" t="s">
        <v>269</v>
      </c>
      <c r="N16" s="198" t="s">
        <v>84</v>
      </c>
      <c r="O16" s="88" t="s">
        <v>313</v>
      </c>
    </row>
    <row r="17" spans="1:15" ht="33" x14ac:dyDescent="0.15">
      <c r="A17" s="200" t="s">
        <v>301</v>
      </c>
      <c r="B17" s="200"/>
      <c r="C17" s="200"/>
      <c r="D17" s="200"/>
      <c r="E17" s="200" t="s">
        <v>277</v>
      </c>
      <c r="F17" s="201" t="s">
        <v>80</v>
      </c>
      <c r="G17" s="201" t="s">
        <v>298</v>
      </c>
      <c r="H17" s="202"/>
      <c r="I17" s="205"/>
      <c r="J17" s="203">
        <v>40867</v>
      </c>
      <c r="K17" s="205"/>
      <c r="L17" s="204"/>
      <c r="M17" s="205"/>
      <c r="N17" s="202" t="s">
        <v>88</v>
      </c>
      <c r="O17" s="202"/>
    </row>
    <row r="18" spans="1:15" ht="33" x14ac:dyDescent="0.15">
      <c r="A18" s="200" t="s">
        <v>240</v>
      </c>
      <c r="B18" s="200"/>
      <c r="C18" s="200"/>
      <c r="D18" s="200"/>
      <c r="E18" s="200" t="s">
        <v>281</v>
      </c>
      <c r="F18" s="201" t="s">
        <v>76</v>
      </c>
      <c r="G18" s="201" t="s">
        <v>241</v>
      </c>
      <c r="H18" s="202"/>
      <c r="I18" s="205"/>
      <c r="J18" s="203">
        <v>40868</v>
      </c>
      <c r="K18" s="205"/>
      <c r="L18" s="204"/>
      <c r="M18" s="205"/>
      <c r="N18" s="202" t="s">
        <v>89</v>
      </c>
      <c r="O18" s="202"/>
    </row>
    <row r="19" spans="1:15" ht="16.5" x14ac:dyDescent="0.15">
      <c r="A19" s="200" t="s">
        <v>239</v>
      </c>
      <c r="B19" s="200"/>
      <c r="C19" s="200"/>
      <c r="D19" s="200"/>
      <c r="E19" s="200" t="s">
        <v>279</v>
      </c>
      <c r="F19" s="201" t="s">
        <v>78</v>
      </c>
      <c r="G19" s="201" t="s">
        <v>298</v>
      </c>
      <c r="H19" s="202"/>
      <c r="I19" s="205"/>
      <c r="J19" s="203">
        <v>40869</v>
      </c>
      <c r="K19" s="205"/>
      <c r="L19" s="204"/>
      <c r="M19" s="205"/>
      <c r="N19" s="202"/>
      <c r="O19" s="202"/>
    </row>
    <row r="20" spans="1:15" ht="16.5" x14ac:dyDescent="0.15">
      <c r="A20" s="200" t="s">
        <v>243</v>
      </c>
      <c r="B20" s="200"/>
      <c r="C20" s="200"/>
      <c r="D20" s="200"/>
      <c r="E20" s="200" t="s">
        <v>283</v>
      </c>
      <c r="F20" s="201" t="s">
        <v>90</v>
      </c>
      <c r="G20" s="201" t="s">
        <v>244</v>
      </c>
      <c r="H20" s="202"/>
      <c r="I20" s="205"/>
      <c r="J20" s="203"/>
      <c r="K20" s="205"/>
      <c r="L20" s="204"/>
      <c r="M20" s="205"/>
      <c r="N20" s="202"/>
      <c r="O20" s="202"/>
    </row>
    <row r="21" spans="1:15" ht="16.5" x14ac:dyDescent="0.15">
      <c r="A21" s="200" t="s">
        <v>245</v>
      </c>
      <c r="B21" s="200"/>
      <c r="C21" s="200"/>
      <c r="D21" s="200"/>
      <c r="E21" s="200"/>
      <c r="F21" s="201" t="s">
        <v>90</v>
      </c>
      <c r="G21" s="201" t="s">
        <v>246</v>
      </c>
      <c r="H21" s="202"/>
      <c r="I21" s="205"/>
      <c r="J21" s="203"/>
      <c r="K21" s="205"/>
      <c r="L21" s="204"/>
      <c r="M21" s="205"/>
      <c r="N21" s="202"/>
      <c r="O21" s="202"/>
    </row>
    <row r="22" spans="1:15" ht="16.5" x14ac:dyDescent="0.15">
      <c r="A22" s="200" t="s">
        <v>247</v>
      </c>
      <c r="B22" s="200"/>
      <c r="C22" s="200"/>
      <c r="D22" s="200"/>
      <c r="E22" s="200"/>
      <c r="F22" s="201" t="s">
        <v>90</v>
      </c>
      <c r="G22" s="201" t="s">
        <v>298</v>
      </c>
      <c r="H22" s="202"/>
      <c r="I22" s="205"/>
      <c r="J22" s="203"/>
      <c r="K22" s="205"/>
      <c r="L22" s="204"/>
      <c r="M22" s="205"/>
      <c r="N22" s="202"/>
      <c r="O22" s="202"/>
    </row>
    <row r="23" spans="1:15" ht="16.5" x14ac:dyDescent="0.15">
      <c r="A23" s="200" t="s">
        <v>248</v>
      </c>
      <c r="B23" s="200"/>
      <c r="C23" s="200"/>
      <c r="D23" s="200"/>
      <c r="E23" s="200"/>
      <c r="F23" s="201" t="s">
        <v>90</v>
      </c>
      <c r="G23" s="201" t="s">
        <v>241</v>
      </c>
      <c r="H23" s="202"/>
      <c r="I23" s="205"/>
      <c r="J23" s="203"/>
      <c r="K23" s="205"/>
      <c r="L23" s="204"/>
      <c r="M23" s="205"/>
      <c r="N23" s="202"/>
      <c r="O23" s="202"/>
    </row>
    <row r="24" spans="1:15" ht="16.5" x14ac:dyDescent="0.15">
      <c r="A24" s="200" t="s">
        <v>245</v>
      </c>
      <c r="B24" s="200"/>
      <c r="C24" s="200"/>
      <c r="D24" s="200"/>
      <c r="E24" s="200"/>
      <c r="F24" s="201" t="s">
        <v>90</v>
      </c>
      <c r="G24" s="201" t="s">
        <v>242</v>
      </c>
      <c r="H24" s="202"/>
      <c r="I24" s="205"/>
      <c r="J24" s="203"/>
      <c r="K24" s="205"/>
      <c r="L24" s="204"/>
      <c r="M24" s="205"/>
      <c r="N24" s="202"/>
      <c r="O24" s="202"/>
    </row>
    <row r="25" spans="1:15" ht="16.5" x14ac:dyDescent="0.15">
      <c r="A25" s="200" t="s">
        <v>239</v>
      </c>
      <c r="B25" s="200"/>
      <c r="C25" s="200"/>
      <c r="D25" s="200"/>
      <c r="E25" s="200"/>
      <c r="F25" s="201" t="s">
        <v>90</v>
      </c>
      <c r="G25" s="201" t="s">
        <v>298</v>
      </c>
      <c r="H25" s="202"/>
      <c r="I25" s="205"/>
      <c r="J25" s="203"/>
      <c r="K25" s="205"/>
      <c r="L25" s="204"/>
      <c r="M25" s="205"/>
      <c r="N25" s="202"/>
      <c r="O25" s="202"/>
    </row>
    <row r="26" spans="1:15" ht="16.5" x14ac:dyDescent="0.15">
      <c r="A26" s="200" t="s">
        <v>301</v>
      </c>
      <c r="B26" s="200"/>
      <c r="C26" s="200"/>
      <c r="D26" s="200"/>
      <c r="E26" s="200"/>
      <c r="F26" s="201" t="s">
        <v>90</v>
      </c>
      <c r="G26" s="201" t="s">
        <v>298</v>
      </c>
      <c r="H26" s="202"/>
      <c r="I26" s="205"/>
      <c r="J26" s="203"/>
      <c r="K26" s="205"/>
      <c r="L26" s="204"/>
      <c r="M26" s="205"/>
      <c r="N26" s="202"/>
      <c r="O26" s="202"/>
    </row>
    <row r="27" spans="1:15" ht="16.5" x14ac:dyDescent="0.15">
      <c r="A27" s="200"/>
      <c r="B27" s="200"/>
      <c r="C27" s="200"/>
      <c r="D27" s="200"/>
      <c r="E27" s="200"/>
      <c r="F27" s="201" t="s">
        <v>90</v>
      </c>
      <c r="G27" s="201"/>
      <c r="H27" s="202"/>
      <c r="I27" s="205"/>
      <c r="J27" s="203"/>
      <c r="K27" s="205"/>
      <c r="L27" s="204"/>
      <c r="M27" s="205"/>
      <c r="N27" s="202"/>
      <c r="O27" s="202"/>
    </row>
    <row r="28" spans="1:15" ht="16.5" x14ac:dyDescent="0.15">
      <c r="A28" s="200"/>
      <c r="B28" s="200"/>
      <c r="C28" s="200"/>
      <c r="D28" s="200"/>
      <c r="E28" s="200"/>
      <c r="F28" s="201" t="s">
        <v>90</v>
      </c>
      <c r="G28" s="201"/>
      <c r="H28" s="202"/>
      <c r="I28" s="205"/>
      <c r="J28" s="203"/>
      <c r="K28" s="205"/>
      <c r="L28" s="204"/>
      <c r="M28" s="205"/>
      <c r="N28" s="202"/>
      <c r="O28" s="202"/>
    </row>
    <row r="29" spans="1:15" ht="16.5" x14ac:dyDescent="0.15">
      <c r="A29" s="200"/>
      <c r="B29" s="200"/>
      <c r="C29" s="200"/>
      <c r="D29" s="200"/>
      <c r="E29" s="200"/>
      <c r="F29" s="201" t="s">
        <v>90</v>
      </c>
      <c r="G29" s="201"/>
      <c r="H29" s="202"/>
      <c r="I29" s="205"/>
      <c r="J29" s="203"/>
      <c r="K29" s="205"/>
      <c r="L29" s="204"/>
      <c r="M29" s="205"/>
      <c r="N29" s="202"/>
      <c r="O29" s="202"/>
    </row>
    <row r="30" spans="1:15" ht="16.5" x14ac:dyDescent="0.15">
      <c r="A30" s="200"/>
      <c r="B30" s="200"/>
      <c r="C30" s="200"/>
      <c r="D30" s="200"/>
      <c r="E30" s="200"/>
      <c r="F30" s="201" t="s">
        <v>90</v>
      </c>
      <c r="G30" s="201"/>
      <c r="H30" s="202"/>
      <c r="I30" s="205"/>
      <c r="J30" s="203"/>
      <c r="K30" s="205"/>
      <c r="L30" s="204"/>
      <c r="M30" s="205"/>
      <c r="N30" s="202"/>
      <c r="O30" s="202"/>
    </row>
    <row r="31" spans="1:15" ht="16.5" x14ac:dyDescent="0.15">
      <c r="A31" s="200"/>
      <c r="B31" s="200"/>
      <c r="C31" s="200"/>
      <c r="D31" s="200"/>
      <c r="E31" s="200"/>
      <c r="F31" s="201" t="s">
        <v>90</v>
      </c>
      <c r="G31" s="201"/>
      <c r="H31" s="202"/>
      <c r="I31" s="205"/>
      <c r="J31" s="203"/>
      <c r="K31" s="205"/>
      <c r="L31" s="204"/>
      <c r="M31" s="205"/>
      <c r="N31" s="202"/>
      <c r="O31" s="202"/>
    </row>
    <row r="32" spans="1:15" ht="16.5" x14ac:dyDescent="0.15">
      <c r="A32" s="200"/>
      <c r="B32" s="200"/>
      <c r="C32" s="200"/>
      <c r="D32" s="200"/>
      <c r="E32" s="200"/>
      <c r="F32" s="201" t="s">
        <v>90</v>
      </c>
      <c r="G32" s="201"/>
      <c r="H32" s="202"/>
      <c r="I32" s="205"/>
      <c r="J32" s="203"/>
      <c r="K32" s="205"/>
      <c r="L32" s="204"/>
      <c r="M32" s="205"/>
      <c r="N32" s="202"/>
      <c r="O32" s="202"/>
    </row>
    <row r="33" spans="1:15" ht="16.5" x14ac:dyDescent="0.15">
      <c r="A33" s="200"/>
      <c r="B33" s="200"/>
      <c r="C33" s="200"/>
      <c r="D33" s="200"/>
      <c r="E33" s="200"/>
      <c r="F33" s="201" t="s">
        <v>90</v>
      </c>
      <c r="G33" s="201"/>
      <c r="H33" s="202"/>
      <c r="I33" s="205"/>
      <c r="J33" s="203"/>
      <c r="K33" s="205"/>
      <c r="L33" s="204"/>
      <c r="M33" s="205"/>
      <c r="N33" s="202"/>
      <c r="O33" s="202"/>
    </row>
    <row r="34" spans="1:15" ht="16.5" x14ac:dyDescent="0.15">
      <c r="A34" s="200"/>
      <c r="B34" s="200"/>
      <c r="C34" s="200"/>
      <c r="D34" s="200"/>
      <c r="E34" s="200"/>
      <c r="F34" s="201" t="s">
        <v>90</v>
      </c>
      <c r="G34" s="201"/>
      <c r="H34" s="202"/>
      <c r="I34" s="205"/>
      <c r="J34" s="203"/>
      <c r="K34" s="205"/>
      <c r="L34" s="204"/>
      <c r="M34" s="205"/>
      <c r="N34" s="202"/>
      <c r="O34" s="202"/>
    </row>
  </sheetData>
  <phoneticPr fontId="2" type="noConversion"/>
  <conditionalFormatting sqref="F17:G34">
    <cfRule type="cellIs" dxfId="12" priority="11" stopIfTrue="1" operator="equal">
      <formula>"Done"</formula>
    </cfRule>
    <cfRule type="cellIs" dxfId="11" priority="12" stopIfTrue="1" operator="equal">
      <formula>"high"</formula>
    </cfRule>
    <cfRule type="cellIs" dxfId="10" priority="13" stopIfTrue="1" operator="equal">
      <formula>"low"</formula>
    </cfRule>
  </conditionalFormatting>
  <conditionalFormatting sqref="A17:A34">
    <cfRule type="cellIs" dxfId="9" priority="1" stopIfTrue="1" operator="equal">
      <formula>"Fixed"</formula>
    </cfRule>
    <cfRule type="cellIs" dxfId="8" priority="2" stopIfTrue="1" operator="equal">
      <formula>"Reopen"</formula>
    </cfRule>
    <cfRule type="cellIs" dxfId="7" priority="7" stopIfTrue="1" operator="equal">
      <formula>"Rejected"</formula>
    </cfRule>
    <cfRule type="cellIs" dxfId="6" priority="8" stopIfTrue="1" operator="equal">
      <formula>"Deferred"</formula>
    </cfRule>
    <cfRule type="cellIs" dxfId="5" priority="9" stopIfTrue="1" operator="equal">
      <formula>"Invalid"</formula>
    </cfRule>
    <cfRule type="cellIs" dxfId="4" priority="10" stopIfTrue="1" operator="equal">
      <formula>"Open"</formula>
    </cfRule>
  </conditionalFormatting>
  <conditionalFormatting sqref="G17:G34">
    <cfRule type="cellIs" dxfId="3" priority="3" operator="equal">
      <formula>"D-Low"</formula>
    </cfRule>
    <cfRule type="cellIs" dxfId="2" priority="4" operator="equal">
      <formula>"C-Medium"</formula>
    </cfRule>
    <cfRule type="cellIs" dxfId="1" priority="5" operator="equal">
      <formula>"B-High"</formula>
    </cfRule>
    <cfRule type="cellIs" dxfId="0" priority="6" operator="equal">
      <formula>"A-Urgent"</formula>
    </cfRule>
  </conditionalFormatting>
  <dataValidations count="5">
    <dataValidation type="list" allowBlank="1" showInputMessage="1" showErrorMessage="1" sqref="I17:I34 K17:K34">
      <formula1>团队成员</formula1>
    </dataValidation>
    <dataValidation type="list" allowBlank="1" showInputMessage="1" showErrorMessage="1" sqref="E17:E34">
      <formula1>出现频率</formula1>
    </dataValidation>
    <dataValidation type="list" allowBlank="1" showInputMessage="1" showErrorMessage="1" sqref="G17:G34">
      <formula1>缺陷级别</formula1>
    </dataValidation>
    <dataValidation type="list" allowBlank="1" showInputMessage="1" showErrorMessage="1" sqref="F17:F34">
      <formula1>任务优先级</formula1>
    </dataValidation>
    <dataValidation type="list" allowBlank="1" showInputMessage="1" showErrorMessage="1" sqref="A17:A34">
      <formula1>缺陷状态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opLeftCell="A73" workbookViewId="0">
      <selection activeCell="O88" sqref="O88"/>
    </sheetView>
  </sheetViews>
  <sheetFormatPr defaultRowHeight="16.5" x14ac:dyDescent="0.3"/>
  <cols>
    <col min="1" max="1" width="11.875" style="4" customWidth="1"/>
    <col min="2" max="2" width="15.125" style="4" customWidth="1"/>
    <col min="3" max="3" width="18.75" style="4" customWidth="1"/>
    <col min="4" max="16384" width="9" style="4"/>
  </cols>
  <sheetData>
    <row r="1" spans="1:14" ht="29.25" x14ac:dyDescent="0.35">
      <c r="A1" s="1" t="s">
        <v>0</v>
      </c>
      <c r="B1" s="2"/>
      <c r="C1" s="3" t="s">
        <v>1</v>
      </c>
      <c r="E1" s="3"/>
      <c r="F1" s="3"/>
      <c r="G1" s="3"/>
      <c r="H1" s="3"/>
      <c r="I1" s="3"/>
      <c r="J1" s="5"/>
      <c r="K1" s="6"/>
      <c r="L1" s="3"/>
      <c r="M1" s="5"/>
      <c r="N1" s="7"/>
    </row>
    <row r="2" spans="1:14" ht="17.25" x14ac:dyDescent="0.35">
      <c r="A2" s="8"/>
      <c r="B2" s="8"/>
      <c r="C2" s="8"/>
      <c r="D2" s="196" t="s">
        <v>2</v>
      </c>
      <c r="E2" s="196">
        <f>SUM(L:L)/2</f>
        <v>0</v>
      </c>
      <c r="F2" s="4" t="s">
        <v>291</v>
      </c>
      <c r="G2" s="4">
        <f>E5/8</f>
        <v>80</v>
      </c>
      <c r="H2" s="10"/>
      <c r="K2" s="11"/>
      <c r="L2" s="11"/>
      <c r="M2" s="11"/>
    </row>
    <row r="3" spans="1:14" ht="17.25" customHeight="1" x14ac:dyDescent="0.35">
      <c r="A3" s="8"/>
      <c r="B3" s="8"/>
      <c r="C3" s="8"/>
      <c r="D3" s="196" t="s">
        <v>3</v>
      </c>
      <c r="E3" s="196">
        <f>SUM(M:M)/2</f>
        <v>640</v>
      </c>
      <c r="F3" s="9"/>
      <c r="H3" s="10"/>
      <c r="K3" s="11"/>
      <c r="L3" s="11"/>
      <c r="M3" s="11"/>
    </row>
    <row r="4" spans="1:14" ht="17.25" x14ac:dyDescent="0.35">
      <c r="A4" s="8"/>
      <c r="B4" s="8"/>
      <c r="C4" s="8"/>
      <c r="D4" s="196" t="s">
        <v>4</v>
      </c>
      <c r="E4" s="196">
        <f>SUM(E2:E3)</f>
        <v>640</v>
      </c>
      <c r="F4" s="9"/>
      <c r="G4" s="196"/>
      <c r="H4" s="10"/>
      <c r="K4" s="11"/>
      <c r="L4" s="11"/>
      <c r="M4" s="11"/>
    </row>
    <row r="5" spans="1:14" ht="17.25" x14ac:dyDescent="0.35">
      <c r="A5" s="8"/>
      <c r="B5" s="8"/>
      <c r="C5" s="8"/>
      <c r="D5" s="195" t="s">
        <v>292</v>
      </c>
      <c r="E5" s="197">
        <f>SUM(K:K)/2</f>
        <v>640</v>
      </c>
      <c r="F5" s="9"/>
      <c r="G5" s="196"/>
      <c r="H5" s="29"/>
      <c r="K5" s="11"/>
      <c r="L5" s="11"/>
      <c r="M5" s="11"/>
    </row>
    <row r="6" spans="1:14" ht="17.25" x14ac:dyDescent="0.35">
      <c r="A6" s="8"/>
      <c r="B6" s="8"/>
      <c r="C6" s="8"/>
      <c r="D6" s="195"/>
      <c r="E6" s="197"/>
      <c r="F6" s="9"/>
      <c r="G6" s="196"/>
      <c r="H6" s="197"/>
      <c r="K6" s="11"/>
      <c r="L6" s="11"/>
      <c r="M6" s="11"/>
    </row>
    <row r="7" spans="1:14" ht="17.25" x14ac:dyDescent="0.35">
      <c r="A7" s="12" t="s">
        <v>5</v>
      </c>
      <c r="B7" s="13">
        <v>42082</v>
      </c>
      <c r="C7" s="14"/>
      <c r="D7" s="14"/>
      <c r="E7" s="15"/>
      <c r="F7" s="8"/>
      <c r="G7" s="5"/>
      <c r="H7" s="8"/>
      <c r="I7" s="5"/>
      <c r="J7" s="16"/>
      <c r="K7" s="11"/>
      <c r="L7" s="11"/>
      <c r="M7" s="11"/>
    </row>
    <row r="8" spans="1:14" ht="17.25" x14ac:dyDescent="0.35">
      <c r="A8" s="12" t="s">
        <v>6</v>
      </c>
      <c r="B8" s="17">
        <f>B7+6</f>
        <v>42088</v>
      </c>
      <c r="C8" s="17"/>
      <c r="D8" s="17"/>
      <c r="E8" s="17"/>
      <c r="F8" s="5"/>
      <c r="G8" s="16"/>
      <c r="H8" s="16"/>
      <c r="I8" s="16"/>
      <c r="J8" s="16"/>
      <c r="K8" s="11"/>
      <c r="L8" s="11"/>
      <c r="M8" s="11"/>
    </row>
    <row r="9" spans="1:14" ht="17.25" x14ac:dyDescent="0.35">
      <c r="A9" s="16"/>
      <c r="B9" s="16"/>
      <c r="C9" s="16"/>
      <c r="D9" s="16"/>
      <c r="E9" s="16"/>
      <c r="F9" s="16"/>
      <c r="G9" s="16"/>
      <c r="H9" s="8"/>
      <c r="I9" s="5"/>
      <c r="J9" s="16"/>
      <c r="K9" s="16"/>
      <c r="L9" s="16"/>
      <c r="M9" s="16"/>
    </row>
    <row r="10" spans="1:14" ht="18" x14ac:dyDescent="0.3">
      <c r="A10" s="18"/>
      <c r="B10" s="18" t="s">
        <v>7</v>
      </c>
      <c r="C10" s="18" t="s">
        <v>8</v>
      </c>
      <c r="D10" s="19" t="str">
        <f>INDEX({"日";"一";"二";"三";"四";"五";"六"},WEEKDAY(B7,1))</f>
        <v>四</v>
      </c>
      <c r="E10" s="19" t="str">
        <f>INDEX({"日";"一";"二";"三";"四";"五";"六"},WEEKDAY(B7+1,1))</f>
        <v>五</v>
      </c>
      <c r="F10" s="19" t="str">
        <f>INDEX({"日";"一";"二";"三";"四";"五";"六"},WEEKDAY(B7+2,1))</f>
        <v>六</v>
      </c>
      <c r="G10" s="19" t="str">
        <f>INDEX({"日";"一";"二";"三";"四";"五";"六"},WEEKDAY(B7+3,1))</f>
        <v>日</v>
      </c>
      <c r="H10" s="19" t="str">
        <f>INDEX({"日";"一";"二";"三";"四";"五";"六"},WEEKDAY(B7+4,1))</f>
        <v>一</v>
      </c>
      <c r="I10" s="19" t="str">
        <f>INDEX({"日";"一";"二";"三";"四";"五";"六"},WEEKDAY(B7+5,1))</f>
        <v>二</v>
      </c>
      <c r="J10" s="19" t="str">
        <f>INDEX({"日";"一";"二";"三";"四";"五";"六"},WEEKDAY(B7+6,1))</f>
        <v>三</v>
      </c>
      <c r="K10" s="18" t="s">
        <v>9</v>
      </c>
      <c r="L10" s="18" t="s">
        <v>2</v>
      </c>
      <c r="M10" s="18" t="s">
        <v>3</v>
      </c>
      <c r="N10" s="207" t="s">
        <v>291</v>
      </c>
    </row>
    <row r="11" spans="1:14" x14ac:dyDescent="0.3">
      <c r="A11" s="20"/>
      <c r="B11" s="21" t="s">
        <v>14</v>
      </c>
      <c r="C11" s="21"/>
      <c r="D11" s="21">
        <v>8</v>
      </c>
      <c r="E11" s="21">
        <v>8</v>
      </c>
      <c r="F11" s="21">
        <v>0</v>
      </c>
      <c r="G11" s="21">
        <v>0</v>
      </c>
      <c r="H11" s="21">
        <v>8</v>
      </c>
      <c r="I11" s="21">
        <v>8</v>
      </c>
      <c r="J11" s="21">
        <v>8</v>
      </c>
      <c r="K11" s="22">
        <f t="shared" ref="K11:K14" si="0">SUM(D11:J11)</f>
        <v>40</v>
      </c>
      <c r="L11" s="23"/>
      <c r="M11" s="22">
        <f>K11-L11</f>
        <v>40</v>
      </c>
      <c r="N11" s="208">
        <f>K11/8</f>
        <v>5</v>
      </c>
    </row>
    <row r="12" spans="1:14" x14ac:dyDescent="0.3">
      <c r="A12" s="20"/>
      <c r="B12" s="21" t="s">
        <v>24</v>
      </c>
      <c r="C12" s="21"/>
      <c r="D12" s="21">
        <v>0</v>
      </c>
      <c r="E12" s="21">
        <v>0</v>
      </c>
      <c r="F12" s="21">
        <v>0</v>
      </c>
      <c r="G12" s="21">
        <v>0</v>
      </c>
      <c r="H12" s="21">
        <v>4</v>
      </c>
      <c r="I12" s="21">
        <v>0</v>
      </c>
      <c r="J12" s="21">
        <v>8</v>
      </c>
      <c r="K12" s="22">
        <f t="shared" si="0"/>
        <v>12</v>
      </c>
      <c r="L12" s="23"/>
      <c r="M12" s="22">
        <f t="shared" ref="M12:M14" si="1">K12-L12</f>
        <v>12</v>
      </c>
      <c r="N12" s="209">
        <f t="shared" ref="N12:N27" si="2">K12/8</f>
        <v>1.5</v>
      </c>
    </row>
    <row r="13" spans="1:14" x14ac:dyDescent="0.3">
      <c r="A13" s="20"/>
      <c r="B13" s="21" t="s">
        <v>25</v>
      </c>
      <c r="C13" s="21"/>
      <c r="D13" s="21">
        <v>8</v>
      </c>
      <c r="E13" s="21">
        <v>8</v>
      </c>
      <c r="F13" s="21">
        <v>0</v>
      </c>
      <c r="G13" s="21">
        <v>0</v>
      </c>
      <c r="H13" s="21">
        <v>8</v>
      </c>
      <c r="I13" s="21">
        <v>8</v>
      </c>
      <c r="J13" s="21">
        <v>8</v>
      </c>
      <c r="K13" s="22">
        <f t="shared" si="0"/>
        <v>40</v>
      </c>
      <c r="L13" s="23"/>
      <c r="M13" s="22">
        <f t="shared" si="1"/>
        <v>40</v>
      </c>
      <c r="N13" s="209">
        <f t="shared" si="2"/>
        <v>5</v>
      </c>
    </row>
    <row r="14" spans="1:14" x14ac:dyDescent="0.3">
      <c r="A14" s="20"/>
      <c r="B14" s="21" t="s">
        <v>26</v>
      </c>
      <c r="C14" s="21"/>
      <c r="D14" s="21">
        <v>8</v>
      </c>
      <c r="E14" s="21">
        <v>8</v>
      </c>
      <c r="F14" s="21">
        <v>0</v>
      </c>
      <c r="G14" s="21">
        <v>0</v>
      </c>
      <c r="H14" s="21">
        <v>8</v>
      </c>
      <c r="I14" s="21">
        <v>8</v>
      </c>
      <c r="J14" s="21">
        <v>8</v>
      </c>
      <c r="K14" s="22">
        <f t="shared" si="0"/>
        <v>40</v>
      </c>
      <c r="L14" s="23"/>
      <c r="M14" s="22">
        <f t="shared" si="1"/>
        <v>40</v>
      </c>
      <c r="N14" s="209">
        <f t="shared" si="2"/>
        <v>5</v>
      </c>
    </row>
    <row r="15" spans="1:14" x14ac:dyDescent="0.3">
      <c r="A15" s="20"/>
      <c r="B15" s="21" t="s">
        <v>27</v>
      </c>
      <c r="C15" s="21"/>
      <c r="D15" s="21">
        <v>8</v>
      </c>
      <c r="E15" s="21">
        <v>8</v>
      </c>
      <c r="F15" s="21">
        <v>0</v>
      </c>
      <c r="G15" s="21">
        <v>0</v>
      </c>
      <c r="H15" s="21">
        <v>8</v>
      </c>
      <c r="I15" s="21">
        <v>8</v>
      </c>
      <c r="J15" s="21">
        <v>8</v>
      </c>
      <c r="K15" s="22">
        <f>SUM(D15:J15)</f>
        <v>40</v>
      </c>
      <c r="L15" s="23"/>
      <c r="M15" s="22">
        <f>K15-L15</f>
        <v>40</v>
      </c>
      <c r="N15" s="209">
        <f t="shared" si="2"/>
        <v>5</v>
      </c>
    </row>
    <row r="16" spans="1:14" x14ac:dyDescent="0.3">
      <c r="A16" s="20"/>
      <c r="B16" s="21" t="s">
        <v>28</v>
      </c>
      <c r="C16" s="21"/>
      <c r="D16" s="21">
        <v>8</v>
      </c>
      <c r="E16" s="21">
        <v>8</v>
      </c>
      <c r="F16" s="21">
        <v>0</v>
      </c>
      <c r="G16" s="21">
        <v>0</v>
      </c>
      <c r="H16" s="21">
        <v>8</v>
      </c>
      <c r="I16" s="21">
        <v>8</v>
      </c>
      <c r="J16" s="21">
        <v>8</v>
      </c>
      <c r="K16" s="22">
        <f>SUM(D16:J16)</f>
        <v>40</v>
      </c>
      <c r="L16" s="23"/>
      <c r="M16" s="22">
        <f>K16-L16</f>
        <v>40</v>
      </c>
      <c r="N16" s="209">
        <f t="shared" si="2"/>
        <v>5</v>
      </c>
    </row>
    <row r="17" spans="1:14" x14ac:dyDescent="0.3">
      <c r="A17" s="20"/>
      <c r="B17" s="21" t="s">
        <v>29</v>
      </c>
      <c r="C17" s="21"/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2">
        <f>SUM(D17:J17)</f>
        <v>0</v>
      </c>
      <c r="L17" s="23"/>
      <c r="M17" s="22">
        <f>K17-L17</f>
        <v>0</v>
      </c>
      <c r="N17" s="209">
        <f t="shared" si="2"/>
        <v>0</v>
      </c>
    </row>
    <row r="18" spans="1:14" x14ac:dyDescent="0.3">
      <c r="A18" s="20"/>
      <c r="B18" s="21" t="s">
        <v>30</v>
      </c>
      <c r="C18" s="21"/>
      <c r="D18" s="21">
        <v>0</v>
      </c>
      <c r="E18" s="21">
        <v>0</v>
      </c>
      <c r="F18" s="21">
        <v>0</v>
      </c>
      <c r="G18" s="21">
        <v>0</v>
      </c>
      <c r="H18" s="21">
        <v>8</v>
      </c>
      <c r="I18" s="21">
        <v>8</v>
      </c>
      <c r="J18" s="21">
        <v>0</v>
      </c>
      <c r="K18" s="22">
        <f t="shared" ref="K18:K26" si="3">SUM(D18:J18)</f>
        <v>16</v>
      </c>
      <c r="L18" s="23"/>
      <c r="M18" s="22">
        <f t="shared" ref="M18:M23" si="4">K18-L18</f>
        <v>16</v>
      </c>
      <c r="N18" s="209">
        <f t="shared" si="2"/>
        <v>2</v>
      </c>
    </row>
    <row r="19" spans="1:14" x14ac:dyDescent="0.3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2">
        <f t="shared" si="3"/>
        <v>0</v>
      </c>
      <c r="L19" s="23"/>
      <c r="M19" s="22">
        <f t="shared" si="4"/>
        <v>0</v>
      </c>
      <c r="N19" s="209">
        <f t="shared" si="2"/>
        <v>0</v>
      </c>
    </row>
    <row r="20" spans="1:14" x14ac:dyDescent="0.3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2">
        <f t="shared" si="3"/>
        <v>0</v>
      </c>
      <c r="L20" s="23"/>
      <c r="M20" s="22">
        <f t="shared" si="4"/>
        <v>0</v>
      </c>
      <c r="N20" s="209">
        <f t="shared" si="2"/>
        <v>0</v>
      </c>
    </row>
    <row r="21" spans="1:14" x14ac:dyDescent="0.3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2">
        <f t="shared" si="3"/>
        <v>0</v>
      </c>
      <c r="L21" s="23"/>
      <c r="M21" s="22">
        <f t="shared" si="4"/>
        <v>0</v>
      </c>
      <c r="N21" s="209">
        <f t="shared" si="2"/>
        <v>0</v>
      </c>
    </row>
    <row r="22" spans="1:14" x14ac:dyDescent="0.3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2">
        <f t="shared" si="3"/>
        <v>0</v>
      </c>
      <c r="L22" s="23"/>
      <c r="M22" s="22">
        <f t="shared" si="4"/>
        <v>0</v>
      </c>
      <c r="N22" s="209">
        <f t="shared" si="2"/>
        <v>0</v>
      </c>
    </row>
    <row r="23" spans="1:14" x14ac:dyDescent="0.3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2">
        <f t="shared" si="3"/>
        <v>0</v>
      </c>
      <c r="L23" s="23"/>
      <c r="M23" s="22">
        <f t="shared" si="4"/>
        <v>0</v>
      </c>
      <c r="N23" s="209">
        <f t="shared" si="2"/>
        <v>0</v>
      </c>
    </row>
    <row r="24" spans="1:14" x14ac:dyDescent="0.3">
      <c r="A24" s="24" t="s">
        <v>10</v>
      </c>
      <c r="B24" s="21"/>
      <c r="C24" s="21"/>
      <c r="D24" s="21"/>
      <c r="E24" s="21"/>
      <c r="F24" s="21"/>
      <c r="G24" s="21"/>
      <c r="H24" s="21"/>
      <c r="I24" s="21"/>
      <c r="J24" s="21"/>
      <c r="K24" s="22">
        <f t="shared" si="3"/>
        <v>0</v>
      </c>
      <c r="L24" s="25"/>
      <c r="M24" s="22"/>
      <c r="N24" s="209">
        <f t="shared" si="2"/>
        <v>0</v>
      </c>
    </row>
    <row r="25" spans="1:14" x14ac:dyDescent="0.3">
      <c r="A25" s="24" t="s">
        <v>11</v>
      </c>
      <c r="B25" s="21"/>
      <c r="C25" s="21"/>
      <c r="D25" s="21"/>
      <c r="E25" s="21"/>
      <c r="F25" s="21"/>
      <c r="G25" s="21"/>
      <c r="H25" s="21"/>
      <c r="I25" s="21"/>
      <c r="J25" s="21"/>
      <c r="K25" s="22">
        <f t="shared" si="3"/>
        <v>0</v>
      </c>
      <c r="L25" s="25"/>
      <c r="M25" s="22"/>
      <c r="N25" s="209">
        <f t="shared" si="2"/>
        <v>0</v>
      </c>
    </row>
    <row r="26" spans="1:14" x14ac:dyDescent="0.3">
      <c r="A26" s="24" t="s">
        <v>12</v>
      </c>
      <c r="B26" s="21"/>
      <c r="C26" s="21"/>
      <c r="D26" s="21"/>
      <c r="E26" s="21"/>
      <c r="F26" s="21"/>
      <c r="G26" s="21"/>
      <c r="H26" s="21"/>
      <c r="I26" s="21"/>
      <c r="J26" s="21"/>
      <c r="K26" s="22">
        <f t="shared" si="3"/>
        <v>0</v>
      </c>
      <c r="L26" s="25"/>
      <c r="M26" s="22"/>
      <c r="N26" s="210">
        <f t="shared" si="2"/>
        <v>0</v>
      </c>
    </row>
    <row r="27" spans="1:14" x14ac:dyDescent="0.3">
      <c r="A27" s="242" t="s">
        <v>13</v>
      </c>
      <c r="B27" s="242"/>
      <c r="C27" s="26"/>
      <c r="D27" s="22">
        <f t="shared" ref="D27:J27" si="5">SUM(D11:D26)</f>
        <v>40</v>
      </c>
      <c r="E27" s="22">
        <f t="shared" si="5"/>
        <v>40</v>
      </c>
      <c r="F27" s="22">
        <f t="shared" si="5"/>
        <v>0</v>
      </c>
      <c r="G27" s="22">
        <f t="shared" si="5"/>
        <v>0</v>
      </c>
      <c r="H27" s="22">
        <f t="shared" si="5"/>
        <v>52</v>
      </c>
      <c r="I27" s="22">
        <f t="shared" si="5"/>
        <v>48</v>
      </c>
      <c r="J27" s="22">
        <f t="shared" si="5"/>
        <v>48</v>
      </c>
      <c r="K27" s="27">
        <f>SUM(K11:K26)</f>
        <v>228</v>
      </c>
      <c r="L27" s="27">
        <f>SUM(L11:L26)</f>
        <v>0</v>
      </c>
      <c r="M27" s="27">
        <f>SUM(M11:M26)</f>
        <v>228</v>
      </c>
      <c r="N27" s="211">
        <f t="shared" si="2"/>
        <v>28.5</v>
      </c>
    </row>
    <row r="28" spans="1:14" ht="17.25" x14ac:dyDescent="0.35">
      <c r="A28" s="8"/>
      <c r="B28" s="8"/>
      <c r="C28" s="8"/>
      <c r="D28" s="8"/>
      <c r="E28" s="8"/>
      <c r="F28" s="9"/>
      <c r="G28" s="9"/>
      <c r="H28" s="9"/>
      <c r="I28" s="28"/>
      <c r="J28" s="29"/>
      <c r="K28" s="11"/>
      <c r="L28" s="11"/>
      <c r="M28" s="11"/>
    </row>
    <row r="30" spans="1:14" ht="17.25" x14ac:dyDescent="0.35">
      <c r="A30" s="12" t="s">
        <v>5</v>
      </c>
      <c r="B30" s="13">
        <v>42075</v>
      </c>
      <c r="C30" s="14"/>
      <c r="D30" s="14"/>
      <c r="E30" s="15"/>
      <c r="F30" s="8"/>
      <c r="G30" s="5"/>
      <c r="H30" s="8"/>
      <c r="I30" s="5"/>
      <c r="J30" s="16"/>
      <c r="K30" s="11"/>
      <c r="L30" s="11"/>
      <c r="M30" s="11"/>
    </row>
    <row r="31" spans="1:14" ht="17.25" x14ac:dyDescent="0.35">
      <c r="A31" s="12" t="s">
        <v>6</v>
      </c>
      <c r="B31" s="17">
        <f>B30+6</f>
        <v>42081</v>
      </c>
      <c r="C31" s="17"/>
      <c r="D31" s="17"/>
      <c r="E31" s="17"/>
      <c r="F31" s="5"/>
      <c r="G31" s="16"/>
      <c r="H31" s="16"/>
      <c r="I31" s="16"/>
      <c r="J31" s="16"/>
      <c r="K31" s="11"/>
      <c r="L31" s="11"/>
      <c r="M31" s="11"/>
    </row>
    <row r="32" spans="1:14" ht="17.25" x14ac:dyDescent="0.35">
      <c r="A32" s="16"/>
      <c r="B32" s="16"/>
      <c r="C32" s="16"/>
      <c r="D32" s="16"/>
      <c r="E32" s="16"/>
      <c r="F32" s="16"/>
      <c r="G32" s="16"/>
      <c r="H32" s="8"/>
      <c r="I32" s="5"/>
      <c r="J32" s="16"/>
      <c r="K32" s="16"/>
      <c r="L32" s="16"/>
      <c r="M32" s="16"/>
    </row>
    <row r="33" spans="1:14" ht="18" x14ac:dyDescent="0.3">
      <c r="A33" s="18"/>
      <c r="B33" s="18" t="s">
        <v>7</v>
      </c>
      <c r="C33" s="18" t="s">
        <v>8</v>
      </c>
      <c r="D33" s="19" t="str">
        <f>INDEX({"日";"一";"二";"三";"四";"五";"六"},WEEKDAY(B30,1))</f>
        <v>四</v>
      </c>
      <c r="E33" s="19" t="str">
        <f>INDEX({"日";"一";"二";"三";"四";"五";"六"},WEEKDAY(B30+1,1))</f>
        <v>五</v>
      </c>
      <c r="F33" s="19" t="str">
        <f>INDEX({"日";"一";"二";"三";"四";"五";"六"},WEEKDAY(B30+2,1))</f>
        <v>六</v>
      </c>
      <c r="G33" s="19" t="str">
        <f>INDEX({"日";"一";"二";"三";"四";"五";"六"},WEEKDAY(B30+3,1))</f>
        <v>日</v>
      </c>
      <c r="H33" s="19" t="str">
        <f>INDEX({"日";"一";"二";"三";"四";"五";"六"},WEEKDAY(B30+4,1))</f>
        <v>一</v>
      </c>
      <c r="I33" s="19" t="str">
        <f>INDEX({"日";"一";"二";"三";"四";"五";"六"},WEEKDAY(B30+5,1))</f>
        <v>二</v>
      </c>
      <c r="J33" s="19" t="str">
        <f>INDEX({"日";"一";"二";"三";"四";"五";"六"},WEEKDAY(B30+6,1))</f>
        <v>三</v>
      </c>
      <c r="K33" s="18" t="s">
        <v>9</v>
      </c>
      <c r="L33" s="18" t="s">
        <v>2</v>
      </c>
      <c r="M33" s="18" t="s">
        <v>3</v>
      </c>
      <c r="N33" s="207" t="s">
        <v>291</v>
      </c>
    </row>
    <row r="34" spans="1:14" x14ac:dyDescent="0.3">
      <c r="A34" s="20"/>
      <c r="B34" s="21" t="s">
        <v>14</v>
      </c>
      <c r="C34" s="21"/>
      <c r="D34" s="21">
        <v>8</v>
      </c>
      <c r="E34" s="21">
        <v>8</v>
      </c>
      <c r="F34" s="21">
        <v>0</v>
      </c>
      <c r="G34" s="21">
        <v>0</v>
      </c>
      <c r="H34" s="21">
        <v>8</v>
      </c>
      <c r="I34" s="21">
        <v>8</v>
      </c>
      <c r="J34" s="21">
        <v>8</v>
      </c>
      <c r="K34" s="22">
        <f t="shared" ref="K34:K37" si="6">SUM(D34:J34)</f>
        <v>40</v>
      </c>
      <c r="L34" s="23"/>
      <c r="M34" s="22">
        <f>K34-L34</f>
        <v>40</v>
      </c>
      <c r="N34" s="208">
        <f>K34/8</f>
        <v>5</v>
      </c>
    </row>
    <row r="35" spans="1:14" x14ac:dyDescent="0.3">
      <c r="A35" s="20"/>
      <c r="B35" s="21" t="s">
        <v>24</v>
      </c>
      <c r="C35" s="21"/>
      <c r="D35" s="21">
        <v>8</v>
      </c>
      <c r="E35" s="21">
        <v>8</v>
      </c>
      <c r="F35" s="21">
        <v>0</v>
      </c>
      <c r="G35" s="21">
        <v>0</v>
      </c>
      <c r="H35" s="21">
        <v>0</v>
      </c>
      <c r="I35" s="21">
        <v>4</v>
      </c>
      <c r="J35" s="21">
        <v>8</v>
      </c>
      <c r="K35" s="22">
        <f t="shared" si="6"/>
        <v>28</v>
      </c>
      <c r="L35" s="23"/>
      <c r="M35" s="22">
        <f t="shared" ref="M35:M37" si="7">K35-L35</f>
        <v>28</v>
      </c>
      <c r="N35" s="209">
        <f t="shared" ref="N35:N50" si="8">K35/8</f>
        <v>3.5</v>
      </c>
    </row>
    <row r="36" spans="1:14" x14ac:dyDescent="0.3">
      <c r="A36" s="20"/>
      <c r="B36" s="21" t="s">
        <v>25</v>
      </c>
      <c r="C36" s="21"/>
      <c r="D36" s="21">
        <v>8</v>
      </c>
      <c r="E36" s="21">
        <v>8</v>
      </c>
      <c r="F36" s="21">
        <v>0</v>
      </c>
      <c r="G36" s="21">
        <v>0</v>
      </c>
      <c r="H36" s="21">
        <v>8</v>
      </c>
      <c r="I36" s="21">
        <v>8</v>
      </c>
      <c r="J36" s="21">
        <v>8</v>
      </c>
      <c r="K36" s="22">
        <f t="shared" si="6"/>
        <v>40</v>
      </c>
      <c r="L36" s="23"/>
      <c r="M36" s="22">
        <f t="shared" si="7"/>
        <v>40</v>
      </c>
      <c r="N36" s="209">
        <f t="shared" si="8"/>
        <v>5</v>
      </c>
    </row>
    <row r="37" spans="1:14" x14ac:dyDescent="0.3">
      <c r="A37" s="20"/>
      <c r="B37" s="21" t="s">
        <v>26</v>
      </c>
      <c r="C37" s="21"/>
      <c r="D37" s="21">
        <v>8</v>
      </c>
      <c r="E37" s="21">
        <v>8</v>
      </c>
      <c r="F37" s="21">
        <v>0</v>
      </c>
      <c r="G37" s="21">
        <v>0</v>
      </c>
      <c r="H37" s="21">
        <v>8</v>
      </c>
      <c r="I37" s="21">
        <v>8</v>
      </c>
      <c r="J37" s="21">
        <v>8</v>
      </c>
      <c r="K37" s="22">
        <f t="shared" si="6"/>
        <v>40</v>
      </c>
      <c r="L37" s="23"/>
      <c r="M37" s="22">
        <f t="shared" si="7"/>
        <v>40</v>
      </c>
      <c r="N37" s="209">
        <f t="shared" si="8"/>
        <v>5</v>
      </c>
    </row>
    <row r="38" spans="1:14" x14ac:dyDescent="0.3">
      <c r="A38" s="20"/>
      <c r="B38" s="21" t="s">
        <v>27</v>
      </c>
      <c r="C38" s="21"/>
      <c r="D38" s="21">
        <v>8</v>
      </c>
      <c r="E38" s="21">
        <v>8</v>
      </c>
      <c r="F38" s="21">
        <v>0</v>
      </c>
      <c r="G38" s="21">
        <v>0</v>
      </c>
      <c r="H38" s="21">
        <v>8</v>
      </c>
      <c r="I38" s="21">
        <v>8</v>
      </c>
      <c r="J38" s="21">
        <v>8</v>
      </c>
      <c r="K38" s="22">
        <f>SUM(D38:J38)</f>
        <v>40</v>
      </c>
      <c r="L38" s="23"/>
      <c r="M38" s="22">
        <f>K38-L38</f>
        <v>40</v>
      </c>
      <c r="N38" s="209">
        <f t="shared" si="8"/>
        <v>5</v>
      </c>
    </row>
    <row r="39" spans="1:14" x14ac:dyDescent="0.3">
      <c r="A39" s="20"/>
      <c r="B39" s="21" t="s">
        <v>28</v>
      </c>
      <c r="C39" s="21"/>
      <c r="D39" s="21">
        <v>0</v>
      </c>
      <c r="E39" s="21">
        <v>8</v>
      </c>
      <c r="F39" s="21">
        <v>0</v>
      </c>
      <c r="G39" s="21">
        <v>0</v>
      </c>
      <c r="H39" s="21">
        <v>8</v>
      </c>
      <c r="I39" s="21">
        <v>8</v>
      </c>
      <c r="J39" s="21">
        <v>8</v>
      </c>
      <c r="K39" s="22">
        <f>SUM(D39:J39)</f>
        <v>32</v>
      </c>
      <c r="L39" s="23"/>
      <c r="M39" s="22">
        <f>K39-L39</f>
        <v>32</v>
      </c>
      <c r="N39" s="209">
        <f t="shared" si="8"/>
        <v>4</v>
      </c>
    </row>
    <row r="40" spans="1:14" x14ac:dyDescent="0.3">
      <c r="A40" s="20"/>
      <c r="B40" s="21" t="s">
        <v>29</v>
      </c>
      <c r="C40" s="21"/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f>SUM(D40:J40)</f>
        <v>0</v>
      </c>
      <c r="L40" s="23"/>
      <c r="M40" s="22">
        <f>K40-L40</f>
        <v>0</v>
      </c>
      <c r="N40" s="209">
        <f t="shared" si="8"/>
        <v>0</v>
      </c>
    </row>
    <row r="41" spans="1:14" x14ac:dyDescent="0.3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2">
        <f t="shared" ref="K41:K49" si="9">SUM(D41:J41)</f>
        <v>0</v>
      </c>
      <c r="L41" s="23"/>
      <c r="M41" s="22">
        <f t="shared" ref="M41:M46" si="10">K41-L41</f>
        <v>0</v>
      </c>
      <c r="N41" s="209">
        <f t="shared" si="8"/>
        <v>0</v>
      </c>
    </row>
    <row r="42" spans="1:14" x14ac:dyDescent="0.3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2">
        <f t="shared" si="9"/>
        <v>0</v>
      </c>
      <c r="L42" s="23"/>
      <c r="M42" s="22">
        <f t="shared" si="10"/>
        <v>0</v>
      </c>
      <c r="N42" s="209">
        <f t="shared" si="8"/>
        <v>0</v>
      </c>
    </row>
    <row r="43" spans="1:14" x14ac:dyDescent="0.3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2">
        <f t="shared" si="9"/>
        <v>0</v>
      </c>
      <c r="L43" s="23"/>
      <c r="M43" s="22">
        <f t="shared" si="10"/>
        <v>0</v>
      </c>
      <c r="N43" s="209">
        <f t="shared" si="8"/>
        <v>0</v>
      </c>
    </row>
    <row r="44" spans="1:14" x14ac:dyDescent="0.3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2">
        <f t="shared" si="9"/>
        <v>0</v>
      </c>
      <c r="L44" s="23"/>
      <c r="M44" s="22">
        <f t="shared" si="10"/>
        <v>0</v>
      </c>
      <c r="N44" s="209">
        <f t="shared" si="8"/>
        <v>0</v>
      </c>
    </row>
    <row r="45" spans="1:14" x14ac:dyDescent="0.3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2">
        <f t="shared" si="9"/>
        <v>0</v>
      </c>
      <c r="L45" s="23"/>
      <c r="M45" s="22">
        <f t="shared" si="10"/>
        <v>0</v>
      </c>
      <c r="N45" s="209">
        <f t="shared" si="8"/>
        <v>0</v>
      </c>
    </row>
    <row r="46" spans="1:14" x14ac:dyDescent="0.3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2">
        <f t="shared" si="9"/>
        <v>0</v>
      </c>
      <c r="L46" s="23"/>
      <c r="M46" s="22">
        <f t="shared" si="10"/>
        <v>0</v>
      </c>
      <c r="N46" s="209">
        <f t="shared" si="8"/>
        <v>0</v>
      </c>
    </row>
    <row r="47" spans="1:14" x14ac:dyDescent="0.3">
      <c r="A47" s="24" t="s">
        <v>10</v>
      </c>
      <c r="B47" s="21"/>
      <c r="C47" s="21"/>
      <c r="D47" s="21"/>
      <c r="E47" s="21"/>
      <c r="F47" s="21"/>
      <c r="G47" s="21"/>
      <c r="H47" s="21"/>
      <c r="I47" s="21"/>
      <c r="J47" s="21"/>
      <c r="K47" s="22">
        <f t="shared" si="9"/>
        <v>0</v>
      </c>
      <c r="L47" s="25"/>
      <c r="M47" s="22"/>
      <c r="N47" s="209">
        <f t="shared" si="8"/>
        <v>0</v>
      </c>
    </row>
    <row r="48" spans="1:14" x14ac:dyDescent="0.3">
      <c r="A48" s="24" t="s">
        <v>11</v>
      </c>
      <c r="B48" s="21"/>
      <c r="C48" s="21"/>
      <c r="D48" s="21"/>
      <c r="E48" s="21"/>
      <c r="F48" s="21"/>
      <c r="G48" s="21"/>
      <c r="H48" s="21"/>
      <c r="I48" s="21"/>
      <c r="J48" s="21"/>
      <c r="K48" s="22">
        <f t="shared" si="9"/>
        <v>0</v>
      </c>
      <c r="L48" s="25"/>
      <c r="M48" s="22"/>
      <c r="N48" s="209">
        <f t="shared" si="8"/>
        <v>0</v>
      </c>
    </row>
    <row r="49" spans="1:14" x14ac:dyDescent="0.3">
      <c r="A49" s="24" t="s">
        <v>12</v>
      </c>
      <c r="B49" s="21"/>
      <c r="C49" s="21"/>
      <c r="D49" s="21"/>
      <c r="E49" s="21"/>
      <c r="F49" s="21"/>
      <c r="G49" s="21"/>
      <c r="H49" s="21"/>
      <c r="I49" s="21"/>
      <c r="J49" s="21"/>
      <c r="K49" s="22">
        <f t="shared" si="9"/>
        <v>0</v>
      </c>
      <c r="L49" s="25"/>
      <c r="M49" s="22"/>
      <c r="N49" s="210">
        <f t="shared" si="8"/>
        <v>0</v>
      </c>
    </row>
    <row r="50" spans="1:14" x14ac:dyDescent="0.3">
      <c r="A50" s="242" t="s">
        <v>13</v>
      </c>
      <c r="B50" s="242"/>
      <c r="C50" s="26"/>
      <c r="D50" s="22">
        <f t="shared" ref="D50:J50" si="11">SUM(D34:D49)</f>
        <v>40</v>
      </c>
      <c r="E50" s="22">
        <f t="shared" si="11"/>
        <v>48</v>
      </c>
      <c r="F50" s="22">
        <f t="shared" si="11"/>
        <v>0</v>
      </c>
      <c r="G50" s="22">
        <f t="shared" si="11"/>
        <v>0</v>
      </c>
      <c r="H50" s="22">
        <f t="shared" si="11"/>
        <v>40</v>
      </c>
      <c r="I50" s="22">
        <f t="shared" si="11"/>
        <v>44</v>
      </c>
      <c r="J50" s="22">
        <f t="shared" si="11"/>
        <v>48</v>
      </c>
      <c r="K50" s="27">
        <f>SUM(K34:K49)</f>
        <v>220</v>
      </c>
      <c r="L50" s="27">
        <f>SUM(L34:L49)</f>
        <v>0</v>
      </c>
      <c r="M50" s="27">
        <f>SUM(M34:M49)</f>
        <v>220</v>
      </c>
      <c r="N50" s="211">
        <f t="shared" si="8"/>
        <v>27.5</v>
      </c>
    </row>
    <row r="51" spans="1:14" ht="17.25" x14ac:dyDescent="0.35">
      <c r="A51" s="8"/>
      <c r="B51" s="8"/>
      <c r="C51" s="8"/>
      <c r="D51" s="8"/>
      <c r="E51" s="8"/>
      <c r="F51" s="9"/>
      <c r="G51" s="9"/>
      <c r="H51" s="9"/>
      <c r="I51" s="28"/>
      <c r="J51" s="29"/>
      <c r="K51" s="11"/>
      <c r="L51" s="11"/>
      <c r="M51" s="11"/>
    </row>
    <row r="53" spans="1:14" ht="17.25" x14ac:dyDescent="0.35">
      <c r="A53" s="12" t="s">
        <v>5</v>
      </c>
      <c r="B53" s="13">
        <v>42068</v>
      </c>
      <c r="C53" s="14"/>
      <c r="D53" s="14"/>
      <c r="E53" s="15"/>
      <c r="F53" s="8"/>
      <c r="G53" s="5"/>
      <c r="H53" s="8"/>
      <c r="I53" s="5"/>
      <c r="J53" s="16"/>
      <c r="K53" s="11"/>
      <c r="L53" s="11"/>
      <c r="M53" s="11"/>
    </row>
    <row r="54" spans="1:14" ht="17.25" x14ac:dyDescent="0.35">
      <c r="A54" s="12" t="s">
        <v>6</v>
      </c>
      <c r="B54" s="17">
        <f>B53+6</f>
        <v>42074</v>
      </c>
      <c r="C54" s="17"/>
      <c r="D54" s="17"/>
      <c r="E54" s="17"/>
      <c r="F54" s="5"/>
      <c r="G54" s="16"/>
      <c r="H54" s="16"/>
      <c r="I54" s="16"/>
      <c r="J54" s="16"/>
      <c r="K54" s="11"/>
      <c r="L54" s="11"/>
      <c r="M54" s="11"/>
    </row>
    <row r="55" spans="1:14" ht="17.25" x14ac:dyDescent="0.35">
      <c r="A55" s="16"/>
      <c r="B55" s="16"/>
      <c r="C55" s="16"/>
      <c r="D55" s="16"/>
      <c r="E55" s="16"/>
      <c r="F55" s="16"/>
      <c r="G55" s="16"/>
      <c r="H55" s="8"/>
      <c r="I55" s="5"/>
      <c r="J55" s="16"/>
      <c r="K55" s="16"/>
      <c r="L55" s="16"/>
      <c r="M55" s="16"/>
    </row>
    <row r="56" spans="1:14" ht="18" x14ac:dyDescent="0.3">
      <c r="A56" s="18"/>
      <c r="B56" s="18" t="s">
        <v>7</v>
      </c>
      <c r="C56" s="18" t="s">
        <v>8</v>
      </c>
      <c r="D56" s="19" t="str">
        <f>INDEX({"日";"一";"二";"三";"四";"五";"六"},WEEKDAY(B53,1))</f>
        <v>四</v>
      </c>
      <c r="E56" s="19" t="str">
        <f>INDEX({"日";"一";"二";"三";"四";"五";"六"},WEEKDAY(B53+1,1))</f>
        <v>五</v>
      </c>
      <c r="F56" s="19" t="str">
        <f>INDEX({"日";"一";"二";"三";"四";"五";"六"},WEEKDAY(B53+2,1))</f>
        <v>六</v>
      </c>
      <c r="G56" s="19" t="str">
        <f>INDEX({"日";"一";"二";"三";"四";"五";"六"},WEEKDAY(B53+3,1))</f>
        <v>日</v>
      </c>
      <c r="H56" s="19" t="str">
        <f>INDEX({"日";"一";"二";"三";"四";"五";"六"},WEEKDAY(B53+4,1))</f>
        <v>一</v>
      </c>
      <c r="I56" s="19" t="str">
        <f>INDEX({"日";"一";"二";"三";"四";"五";"六"},WEEKDAY(B53+5,1))</f>
        <v>二</v>
      </c>
      <c r="J56" s="19" t="str">
        <f>INDEX({"日";"一";"二";"三";"四";"五";"六"},WEEKDAY(B53+6,1))</f>
        <v>三</v>
      </c>
      <c r="K56" s="18" t="s">
        <v>9</v>
      </c>
      <c r="L56" s="18" t="s">
        <v>2</v>
      </c>
      <c r="M56" s="18" t="s">
        <v>3</v>
      </c>
      <c r="N56" s="207" t="s">
        <v>291</v>
      </c>
    </row>
    <row r="57" spans="1:14" x14ac:dyDescent="0.3">
      <c r="A57" s="20"/>
      <c r="B57" s="21" t="s">
        <v>14</v>
      </c>
      <c r="C57" s="21"/>
      <c r="D57" s="21">
        <v>8</v>
      </c>
      <c r="E57" s="21">
        <v>8</v>
      </c>
      <c r="F57" s="21">
        <v>0</v>
      </c>
      <c r="G57" s="21">
        <v>0</v>
      </c>
      <c r="H57" s="21">
        <v>8</v>
      </c>
      <c r="I57" s="21">
        <v>8</v>
      </c>
      <c r="J57" s="21">
        <v>8</v>
      </c>
      <c r="K57" s="22">
        <f t="shared" ref="K57:K60" si="12">SUM(D57:J57)</f>
        <v>40</v>
      </c>
      <c r="L57" s="23"/>
      <c r="M57" s="22">
        <f>K57-L57</f>
        <v>40</v>
      </c>
      <c r="N57" s="208">
        <f>K57/8</f>
        <v>5</v>
      </c>
    </row>
    <row r="58" spans="1:14" x14ac:dyDescent="0.3">
      <c r="A58" s="20"/>
      <c r="B58" s="21" t="s">
        <v>24</v>
      </c>
      <c r="C58" s="21"/>
      <c r="D58" s="21">
        <v>0</v>
      </c>
      <c r="E58" s="21">
        <v>0</v>
      </c>
      <c r="F58" s="21">
        <v>0</v>
      </c>
      <c r="G58" s="21">
        <v>0</v>
      </c>
      <c r="H58" s="21">
        <v>8</v>
      </c>
      <c r="I58" s="21">
        <v>8</v>
      </c>
      <c r="J58" s="21">
        <v>8</v>
      </c>
      <c r="K58" s="22">
        <f t="shared" si="12"/>
        <v>24</v>
      </c>
      <c r="L58" s="23"/>
      <c r="M58" s="22">
        <f t="shared" ref="M58:M60" si="13">K58-L58</f>
        <v>24</v>
      </c>
      <c r="N58" s="209">
        <f t="shared" ref="N58:N73" si="14">K58/8</f>
        <v>3</v>
      </c>
    </row>
    <row r="59" spans="1:14" x14ac:dyDescent="0.3">
      <c r="A59" s="20"/>
      <c r="B59" s="21" t="s">
        <v>25</v>
      </c>
      <c r="C59" s="21"/>
      <c r="D59" s="21">
        <v>8</v>
      </c>
      <c r="E59" s="21">
        <v>8</v>
      </c>
      <c r="F59" s="21">
        <v>0</v>
      </c>
      <c r="G59" s="21">
        <v>0</v>
      </c>
      <c r="H59" s="21">
        <v>8</v>
      </c>
      <c r="I59" s="21">
        <v>8</v>
      </c>
      <c r="J59" s="21">
        <v>8</v>
      </c>
      <c r="K59" s="22">
        <f t="shared" si="12"/>
        <v>40</v>
      </c>
      <c r="L59" s="23"/>
      <c r="M59" s="22">
        <f t="shared" si="13"/>
        <v>40</v>
      </c>
      <c r="N59" s="209">
        <f t="shared" si="14"/>
        <v>5</v>
      </c>
    </row>
    <row r="60" spans="1:14" x14ac:dyDescent="0.3">
      <c r="A60" s="20"/>
      <c r="B60" s="21" t="s">
        <v>26</v>
      </c>
      <c r="C60" s="21"/>
      <c r="D60" s="21">
        <v>0</v>
      </c>
      <c r="E60" s="21">
        <v>0</v>
      </c>
      <c r="F60" s="21">
        <v>0</v>
      </c>
      <c r="G60" s="21">
        <v>0</v>
      </c>
      <c r="H60" s="21">
        <v>8</v>
      </c>
      <c r="I60" s="21">
        <v>8</v>
      </c>
      <c r="J60" s="21">
        <v>8</v>
      </c>
      <c r="K60" s="22">
        <f t="shared" si="12"/>
        <v>24</v>
      </c>
      <c r="L60" s="23"/>
      <c r="M60" s="22">
        <f t="shared" si="13"/>
        <v>24</v>
      </c>
      <c r="N60" s="209">
        <f t="shared" si="14"/>
        <v>3</v>
      </c>
    </row>
    <row r="61" spans="1:14" x14ac:dyDescent="0.3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2">
        <f>SUM(D61:J61)</f>
        <v>0</v>
      </c>
      <c r="L61" s="23"/>
      <c r="M61" s="22">
        <f>K61-L61</f>
        <v>0</v>
      </c>
      <c r="N61" s="209">
        <f t="shared" si="14"/>
        <v>0</v>
      </c>
    </row>
    <row r="62" spans="1:14" x14ac:dyDescent="0.3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2">
        <f>SUM(D62:J62)</f>
        <v>0</v>
      </c>
      <c r="L62" s="23"/>
      <c r="M62" s="22">
        <f>K62-L62</f>
        <v>0</v>
      </c>
      <c r="N62" s="209">
        <f t="shared" si="14"/>
        <v>0</v>
      </c>
    </row>
    <row r="63" spans="1:14" x14ac:dyDescent="0.3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2">
        <f>SUM(D63:J63)</f>
        <v>0</v>
      </c>
      <c r="L63" s="23"/>
      <c r="M63" s="22">
        <f>K63-L63</f>
        <v>0</v>
      </c>
      <c r="N63" s="209">
        <f t="shared" si="14"/>
        <v>0</v>
      </c>
    </row>
    <row r="64" spans="1:14" x14ac:dyDescent="0.3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2">
        <f t="shared" ref="K64:K72" si="15">SUM(D64:J64)</f>
        <v>0</v>
      </c>
      <c r="L64" s="23"/>
      <c r="M64" s="22">
        <f t="shared" ref="M64:M69" si="16">K64-L64</f>
        <v>0</v>
      </c>
      <c r="N64" s="209">
        <f t="shared" si="14"/>
        <v>0</v>
      </c>
    </row>
    <row r="65" spans="1:14" x14ac:dyDescent="0.3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2">
        <f t="shared" si="15"/>
        <v>0</v>
      </c>
      <c r="L65" s="23"/>
      <c r="M65" s="22">
        <f t="shared" si="16"/>
        <v>0</v>
      </c>
      <c r="N65" s="209">
        <f t="shared" si="14"/>
        <v>0</v>
      </c>
    </row>
    <row r="66" spans="1:14" x14ac:dyDescent="0.3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2">
        <f t="shared" si="15"/>
        <v>0</v>
      </c>
      <c r="L66" s="23"/>
      <c r="M66" s="22">
        <f t="shared" si="16"/>
        <v>0</v>
      </c>
      <c r="N66" s="209">
        <f t="shared" si="14"/>
        <v>0</v>
      </c>
    </row>
    <row r="67" spans="1:14" x14ac:dyDescent="0.3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2">
        <f t="shared" si="15"/>
        <v>0</v>
      </c>
      <c r="L67" s="23"/>
      <c r="M67" s="22">
        <f t="shared" si="16"/>
        <v>0</v>
      </c>
      <c r="N67" s="209">
        <f t="shared" si="14"/>
        <v>0</v>
      </c>
    </row>
    <row r="68" spans="1:14" x14ac:dyDescent="0.3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2">
        <f t="shared" si="15"/>
        <v>0</v>
      </c>
      <c r="L68" s="23"/>
      <c r="M68" s="22">
        <f t="shared" si="16"/>
        <v>0</v>
      </c>
      <c r="N68" s="209">
        <f t="shared" si="14"/>
        <v>0</v>
      </c>
    </row>
    <row r="69" spans="1:14" x14ac:dyDescent="0.3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2">
        <f t="shared" si="15"/>
        <v>0</v>
      </c>
      <c r="L69" s="23"/>
      <c r="M69" s="22">
        <f t="shared" si="16"/>
        <v>0</v>
      </c>
      <c r="N69" s="209">
        <f t="shared" si="14"/>
        <v>0</v>
      </c>
    </row>
    <row r="70" spans="1:14" x14ac:dyDescent="0.3">
      <c r="A70" s="24" t="s">
        <v>10</v>
      </c>
      <c r="B70" s="21"/>
      <c r="C70" s="21"/>
      <c r="D70" s="21"/>
      <c r="E70" s="21"/>
      <c r="F70" s="21"/>
      <c r="G70" s="21"/>
      <c r="H70" s="21"/>
      <c r="I70" s="21"/>
      <c r="J70" s="21"/>
      <c r="K70" s="22">
        <f t="shared" si="15"/>
        <v>0</v>
      </c>
      <c r="L70" s="25"/>
      <c r="M70" s="22"/>
      <c r="N70" s="209">
        <f t="shared" si="14"/>
        <v>0</v>
      </c>
    </row>
    <row r="71" spans="1:14" x14ac:dyDescent="0.3">
      <c r="A71" s="24" t="s">
        <v>11</v>
      </c>
      <c r="B71" s="21"/>
      <c r="C71" s="21"/>
      <c r="D71" s="21"/>
      <c r="E71" s="21"/>
      <c r="F71" s="21"/>
      <c r="G71" s="21"/>
      <c r="H71" s="21"/>
      <c r="I71" s="21"/>
      <c r="J71" s="21"/>
      <c r="K71" s="22">
        <f t="shared" si="15"/>
        <v>0</v>
      </c>
      <c r="L71" s="25"/>
      <c r="M71" s="22"/>
      <c r="N71" s="209">
        <f t="shared" si="14"/>
        <v>0</v>
      </c>
    </row>
    <row r="72" spans="1:14" x14ac:dyDescent="0.3">
      <c r="A72" s="24" t="s">
        <v>12</v>
      </c>
      <c r="B72" s="21"/>
      <c r="C72" s="21"/>
      <c r="D72" s="21"/>
      <c r="E72" s="21"/>
      <c r="F72" s="21"/>
      <c r="G72" s="21"/>
      <c r="H72" s="21"/>
      <c r="I72" s="21"/>
      <c r="J72" s="21"/>
      <c r="K72" s="22">
        <f t="shared" si="15"/>
        <v>0</v>
      </c>
      <c r="L72" s="25"/>
      <c r="M72" s="22"/>
      <c r="N72" s="210">
        <f t="shared" si="14"/>
        <v>0</v>
      </c>
    </row>
    <row r="73" spans="1:14" x14ac:dyDescent="0.3">
      <c r="A73" s="242" t="s">
        <v>13</v>
      </c>
      <c r="B73" s="242"/>
      <c r="C73" s="26"/>
      <c r="D73" s="22">
        <f t="shared" ref="D73:J73" si="17">SUM(D57:D72)</f>
        <v>16</v>
      </c>
      <c r="E73" s="22">
        <f t="shared" si="17"/>
        <v>16</v>
      </c>
      <c r="F73" s="22">
        <f t="shared" si="17"/>
        <v>0</v>
      </c>
      <c r="G73" s="22">
        <f t="shared" si="17"/>
        <v>0</v>
      </c>
      <c r="H73" s="22">
        <f t="shared" si="17"/>
        <v>32</v>
      </c>
      <c r="I73" s="22">
        <f t="shared" si="17"/>
        <v>32</v>
      </c>
      <c r="J73" s="22">
        <f t="shared" si="17"/>
        <v>32</v>
      </c>
      <c r="K73" s="27">
        <f>SUM(K57:K72)</f>
        <v>128</v>
      </c>
      <c r="L73" s="27">
        <f>SUM(L57:L72)</f>
        <v>0</v>
      </c>
      <c r="M73" s="27">
        <f>SUM(M57:M72)</f>
        <v>128</v>
      </c>
      <c r="N73" s="211">
        <f t="shared" si="14"/>
        <v>16</v>
      </c>
    </row>
    <row r="76" spans="1:14" ht="17.25" x14ac:dyDescent="0.35">
      <c r="A76" s="12" t="s">
        <v>5</v>
      </c>
      <c r="B76" s="13">
        <v>42061</v>
      </c>
      <c r="C76" s="14"/>
      <c r="D76" s="14"/>
      <c r="E76" s="15"/>
      <c r="F76" s="8"/>
      <c r="G76" s="5"/>
      <c r="H76" s="8"/>
      <c r="I76" s="5"/>
      <c r="J76" s="16"/>
      <c r="K76" s="11"/>
      <c r="L76" s="11"/>
      <c r="M76" s="11"/>
    </row>
    <row r="77" spans="1:14" ht="17.25" x14ac:dyDescent="0.35">
      <c r="A77" s="12" t="s">
        <v>6</v>
      </c>
      <c r="B77" s="17">
        <f>B76+6</f>
        <v>42067</v>
      </c>
      <c r="C77" s="17"/>
      <c r="D77" s="17"/>
      <c r="E77" s="17"/>
      <c r="F77" s="5"/>
      <c r="G77" s="16"/>
      <c r="H77" s="16"/>
      <c r="I77" s="16"/>
      <c r="J77" s="16"/>
      <c r="K77" s="11"/>
      <c r="L77" s="11"/>
      <c r="M77" s="11"/>
    </row>
    <row r="78" spans="1:14" ht="17.25" x14ac:dyDescent="0.35">
      <c r="A78" s="16"/>
      <c r="B78" s="16"/>
      <c r="C78" s="16"/>
      <c r="D78" s="16"/>
      <c r="E78" s="16"/>
      <c r="F78" s="16"/>
      <c r="G78" s="16"/>
      <c r="H78" s="8"/>
      <c r="I78" s="5"/>
      <c r="J78" s="16"/>
      <c r="K78" s="16"/>
      <c r="L78" s="16"/>
      <c r="M78" s="16"/>
    </row>
    <row r="79" spans="1:14" ht="18" x14ac:dyDescent="0.3">
      <c r="A79" s="18"/>
      <c r="B79" s="18" t="s">
        <v>7</v>
      </c>
      <c r="C79" s="18" t="s">
        <v>8</v>
      </c>
      <c r="D79" s="19" t="str">
        <f>INDEX({"日";"一";"二";"三";"四";"五";"六"},WEEKDAY(B76,1))</f>
        <v>四</v>
      </c>
      <c r="E79" s="19" t="str">
        <f>INDEX({"日";"一";"二";"三";"四";"五";"六"},WEEKDAY(B76+1,1))</f>
        <v>五</v>
      </c>
      <c r="F79" s="19" t="str">
        <f>INDEX({"日";"一";"二";"三";"四";"五";"六"},WEEKDAY(B76+2,1))</f>
        <v>六</v>
      </c>
      <c r="G79" s="19" t="str">
        <f>INDEX({"日";"一";"二";"三";"四";"五";"六"},WEEKDAY(B76+3,1))</f>
        <v>日</v>
      </c>
      <c r="H79" s="19" t="str">
        <f>INDEX({"日";"一";"二";"三";"四";"五";"六"},WEEKDAY(B76+4,1))</f>
        <v>一</v>
      </c>
      <c r="I79" s="19" t="str">
        <f>INDEX({"日";"一";"二";"三";"四";"五";"六"},WEEKDAY(B76+5,1))</f>
        <v>二</v>
      </c>
      <c r="J79" s="19" t="str">
        <f>INDEX({"日";"一";"二";"三";"四";"五";"六"},WEEKDAY(B76+6,1))</f>
        <v>三</v>
      </c>
      <c r="K79" s="18" t="s">
        <v>9</v>
      </c>
      <c r="L79" s="18" t="s">
        <v>2</v>
      </c>
      <c r="M79" s="18" t="s">
        <v>3</v>
      </c>
      <c r="N79" s="207" t="s">
        <v>291</v>
      </c>
    </row>
    <row r="80" spans="1:14" x14ac:dyDescent="0.3">
      <c r="A80" s="20"/>
      <c r="B80" s="21" t="s">
        <v>14</v>
      </c>
      <c r="C80" s="21"/>
      <c r="D80" s="21">
        <v>0</v>
      </c>
      <c r="E80" s="21">
        <v>0</v>
      </c>
      <c r="F80" s="21">
        <v>6.5</v>
      </c>
      <c r="G80" s="21">
        <v>8</v>
      </c>
      <c r="H80" s="21">
        <v>8</v>
      </c>
      <c r="I80" s="21">
        <v>8</v>
      </c>
      <c r="J80" s="21">
        <v>8</v>
      </c>
      <c r="K80" s="22">
        <f t="shared" ref="K80:K81" si="18">SUM(D80:J80)</f>
        <v>38.5</v>
      </c>
      <c r="L80" s="23"/>
      <c r="M80" s="22">
        <f>K80-L80</f>
        <v>38.5</v>
      </c>
      <c r="N80" s="208">
        <f>K80/8</f>
        <v>4.8125</v>
      </c>
    </row>
    <row r="81" spans="1:14" x14ac:dyDescent="0.3">
      <c r="A81" s="20"/>
      <c r="B81" s="21" t="s">
        <v>24</v>
      </c>
      <c r="C81" s="21"/>
      <c r="D81" s="21">
        <v>0</v>
      </c>
      <c r="E81" s="21">
        <v>0</v>
      </c>
      <c r="F81" s="21">
        <v>0</v>
      </c>
      <c r="G81" s="21">
        <v>4</v>
      </c>
      <c r="H81" s="21">
        <v>2</v>
      </c>
      <c r="I81" s="21">
        <v>4</v>
      </c>
      <c r="J81" s="21">
        <v>6</v>
      </c>
      <c r="K81" s="22">
        <f t="shared" si="18"/>
        <v>16</v>
      </c>
      <c r="L81" s="23"/>
      <c r="M81" s="22">
        <f t="shared" ref="M81:M83" si="19">K81-L81</f>
        <v>16</v>
      </c>
      <c r="N81" s="209">
        <f t="shared" ref="N81:N96" si="20">K81/8</f>
        <v>2</v>
      </c>
    </row>
    <row r="82" spans="1:14" x14ac:dyDescent="0.3">
      <c r="A82" s="20"/>
      <c r="B82" s="21" t="s">
        <v>25</v>
      </c>
      <c r="C82" s="21"/>
      <c r="D82" s="21">
        <v>0</v>
      </c>
      <c r="E82" s="21">
        <v>0</v>
      </c>
      <c r="F82" s="21">
        <v>0</v>
      </c>
      <c r="G82" s="21">
        <v>0</v>
      </c>
      <c r="H82" s="21">
        <v>0</v>
      </c>
      <c r="I82" s="21">
        <v>1.5</v>
      </c>
      <c r="J82" s="21">
        <v>8</v>
      </c>
      <c r="K82" s="22">
        <f>SUM(D82:J82)</f>
        <v>9.5</v>
      </c>
      <c r="L82" s="23"/>
      <c r="M82" s="22">
        <f t="shared" si="19"/>
        <v>9.5</v>
      </c>
      <c r="N82" s="209">
        <f t="shared" si="20"/>
        <v>1.1875</v>
      </c>
    </row>
    <row r="83" spans="1:14" x14ac:dyDescent="0.3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2">
        <f>SUM(D83:J83)</f>
        <v>0</v>
      </c>
      <c r="L83" s="23"/>
      <c r="M83" s="22">
        <f t="shared" si="19"/>
        <v>0</v>
      </c>
      <c r="N83" s="209">
        <f t="shared" si="20"/>
        <v>0</v>
      </c>
    </row>
    <row r="84" spans="1:14" x14ac:dyDescent="0.3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2">
        <f>SUM(D84:J84)</f>
        <v>0</v>
      </c>
      <c r="L84" s="23"/>
      <c r="M84" s="22">
        <f>K84-L84</f>
        <v>0</v>
      </c>
      <c r="N84" s="209">
        <f t="shared" si="20"/>
        <v>0</v>
      </c>
    </row>
    <row r="85" spans="1:14" x14ac:dyDescent="0.3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2">
        <f>SUM(D85:J85)</f>
        <v>0</v>
      </c>
      <c r="L85" s="23"/>
      <c r="M85" s="22">
        <f>K85-L85</f>
        <v>0</v>
      </c>
      <c r="N85" s="209">
        <f t="shared" si="20"/>
        <v>0</v>
      </c>
    </row>
    <row r="86" spans="1:14" x14ac:dyDescent="0.3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2">
        <f>SUM(D86:J86)</f>
        <v>0</v>
      </c>
      <c r="L86" s="23"/>
      <c r="M86" s="22">
        <f>K86-L86</f>
        <v>0</v>
      </c>
      <c r="N86" s="209">
        <f t="shared" si="20"/>
        <v>0</v>
      </c>
    </row>
    <row r="87" spans="1:14" x14ac:dyDescent="0.3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2">
        <f t="shared" ref="K87:K95" si="21">SUM(D87:J87)</f>
        <v>0</v>
      </c>
      <c r="L87" s="23"/>
      <c r="M87" s="22">
        <f t="shared" ref="M87:M92" si="22">K87-L87</f>
        <v>0</v>
      </c>
      <c r="N87" s="209">
        <f t="shared" si="20"/>
        <v>0</v>
      </c>
    </row>
    <row r="88" spans="1:14" x14ac:dyDescent="0.3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2">
        <f t="shared" si="21"/>
        <v>0</v>
      </c>
      <c r="L88" s="23"/>
      <c r="M88" s="22">
        <f t="shared" si="22"/>
        <v>0</v>
      </c>
      <c r="N88" s="209">
        <f t="shared" si="20"/>
        <v>0</v>
      </c>
    </row>
    <row r="89" spans="1:14" x14ac:dyDescent="0.3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2">
        <f t="shared" si="21"/>
        <v>0</v>
      </c>
      <c r="L89" s="23"/>
      <c r="M89" s="22">
        <f t="shared" si="22"/>
        <v>0</v>
      </c>
      <c r="N89" s="209">
        <f t="shared" si="20"/>
        <v>0</v>
      </c>
    </row>
    <row r="90" spans="1:14" x14ac:dyDescent="0.3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2">
        <f t="shared" si="21"/>
        <v>0</v>
      </c>
      <c r="L90" s="23"/>
      <c r="M90" s="22">
        <f t="shared" si="22"/>
        <v>0</v>
      </c>
      <c r="N90" s="209">
        <f t="shared" si="20"/>
        <v>0</v>
      </c>
    </row>
    <row r="91" spans="1:14" x14ac:dyDescent="0.3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2">
        <f t="shared" si="21"/>
        <v>0</v>
      </c>
      <c r="L91" s="23"/>
      <c r="M91" s="22">
        <f t="shared" si="22"/>
        <v>0</v>
      </c>
      <c r="N91" s="209">
        <f t="shared" si="20"/>
        <v>0</v>
      </c>
    </row>
    <row r="92" spans="1:14" x14ac:dyDescent="0.3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2">
        <f t="shared" si="21"/>
        <v>0</v>
      </c>
      <c r="L92" s="23"/>
      <c r="M92" s="22">
        <f t="shared" si="22"/>
        <v>0</v>
      </c>
      <c r="N92" s="209">
        <f t="shared" si="20"/>
        <v>0</v>
      </c>
    </row>
    <row r="93" spans="1:14" x14ac:dyDescent="0.3">
      <c r="A93" s="24" t="s">
        <v>10</v>
      </c>
      <c r="B93" s="21"/>
      <c r="C93" s="21"/>
      <c r="D93" s="21"/>
      <c r="E93" s="21"/>
      <c r="F93" s="21"/>
      <c r="G93" s="21"/>
      <c r="H93" s="21"/>
      <c r="I93" s="21"/>
      <c r="J93" s="21"/>
      <c r="K93" s="22">
        <f t="shared" si="21"/>
        <v>0</v>
      </c>
      <c r="L93" s="25"/>
      <c r="M93" s="22"/>
      <c r="N93" s="209">
        <f t="shared" si="20"/>
        <v>0</v>
      </c>
    </row>
    <row r="94" spans="1:14" x14ac:dyDescent="0.3">
      <c r="A94" s="24" t="s">
        <v>11</v>
      </c>
      <c r="B94" s="21"/>
      <c r="C94" s="21"/>
      <c r="D94" s="21"/>
      <c r="E94" s="21"/>
      <c r="F94" s="21"/>
      <c r="G94" s="21"/>
      <c r="H94" s="21"/>
      <c r="I94" s="21"/>
      <c r="J94" s="21"/>
      <c r="K94" s="22">
        <f t="shared" si="21"/>
        <v>0</v>
      </c>
      <c r="L94" s="25"/>
      <c r="M94" s="22"/>
      <c r="N94" s="209">
        <f t="shared" si="20"/>
        <v>0</v>
      </c>
    </row>
    <row r="95" spans="1:14" x14ac:dyDescent="0.3">
      <c r="A95" s="24" t="s">
        <v>12</v>
      </c>
      <c r="B95" s="21"/>
      <c r="C95" s="21"/>
      <c r="D95" s="21"/>
      <c r="E95" s="21"/>
      <c r="F95" s="21"/>
      <c r="G95" s="21"/>
      <c r="H95" s="21"/>
      <c r="I95" s="21"/>
      <c r="J95" s="21"/>
      <c r="K95" s="22">
        <f t="shared" si="21"/>
        <v>0</v>
      </c>
      <c r="L95" s="25"/>
      <c r="M95" s="22"/>
      <c r="N95" s="210">
        <f t="shared" si="20"/>
        <v>0</v>
      </c>
    </row>
    <row r="96" spans="1:14" x14ac:dyDescent="0.3">
      <c r="A96" s="242" t="s">
        <v>13</v>
      </c>
      <c r="B96" s="242"/>
      <c r="C96" s="26"/>
      <c r="D96" s="22">
        <f t="shared" ref="D96:J96" si="23">SUM(D80:D95)</f>
        <v>0</v>
      </c>
      <c r="E96" s="22">
        <f t="shared" si="23"/>
        <v>0</v>
      </c>
      <c r="F96" s="22">
        <f t="shared" si="23"/>
        <v>6.5</v>
      </c>
      <c r="G96" s="22">
        <f t="shared" si="23"/>
        <v>12</v>
      </c>
      <c r="H96" s="22">
        <f t="shared" si="23"/>
        <v>10</v>
      </c>
      <c r="I96" s="22">
        <f t="shared" si="23"/>
        <v>13.5</v>
      </c>
      <c r="J96" s="22">
        <f t="shared" si="23"/>
        <v>22</v>
      </c>
      <c r="K96" s="27">
        <f>SUM(K80:K95)</f>
        <v>64</v>
      </c>
      <c r="L96" s="27">
        <f>SUM(L80:L95)</f>
        <v>0</v>
      </c>
      <c r="M96" s="27">
        <f>SUM(M80:M95)</f>
        <v>64</v>
      </c>
      <c r="N96" s="211">
        <f t="shared" si="20"/>
        <v>8</v>
      </c>
    </row>
  </sheetData>
  <mergeCells count="4">
    <mergeCell ref="A50:B50"/>
    <mergeCell ref="A73:B73"/>
    <mergeCell ref="A96:B96"/>
    <mergeCell ref="A27:B27"/>
  </mergeCells>
  <phoneticPr fontId="2" type="noConversion"/>
  <dataValidations count="3">
    <dataValidation type="list" showInputMessage="1" showErrorMessage="1" sqref="B57:B69 B34:B46">
      <formula1>团队成员</formula1>
    </dataValidation>
    <dataValidation type="list" showInputMessage="1" showErrorMessage="1" sqref="B80:B82">
      <formula1>$A$3:$A$12</formula1>
    </dataValidation>
    <dataValidation type="list" allowBlank="1" showInputMessage="1" showErrorMessage="1" sqref="B11:B23">
      <formula1>团队成员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4"/>
  <sheetViews>
    <sheetView topLeftCell="E1" workbookViewId="0">
      <selection activeCell="S4" sqref="S4"/>
    </sheetView>
  </sheetViews>
  <sheetFormatPr defaultRowHeight="13.5" x14ac:dyDescent="0.15"/>
  <cols>
    <col min="1" max="1" width="10.5" bestFit="1" customWidth="1"/>
    <col min="3" max="3" width="21" customWidth="1"/>
    <col min="4" max="4" width="12.625" bestFit="1" customWidth="1"/>
  </cols>
  <sheetData>
    <row r="1" spans="1:21" s="30" customFormat="1" ht="26.25" customHeight="1" x14ac:dyDescent="0.15">
      <c r="A1" s="244" t="s">
        <v>178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6"/>
    </row>
    <row r="2" spans="1:21" s="31" customFormat="1" ht="24" customHeight="1" x14ac:dyDescent="0.15">
      <c r="A2" s="61"/>
      <c r="B2" s="247" t="s">
        <v>48</v>
      </c>
      <c r="C2" s="247"/>
      <c r="D2" s="61" t="s">
        <v>49</v>
      </c>
      <c r="E2" s="248" t="s">
        <v>50</v>
      </c>
      <c r="F2" s="249"/>
      <c r="G2" s="249"/>
      <c r="H2" s="249"/>
      <c r="I2" s="249"/>
      <c r="J2" s="249"/>
      <c r="K2" s="249"/>
      <c r="L2" s="250"/>
      <c r="M2" s="248" t="s">
        <v>51</v>
      </c>
      <c r="N2" s="249"/>
      <c r="O2" s="249"/>
      <c r="P2" s="249"/>
      <c r="Q2" s="249"/>
      <c r="R2" s="249"/>
      <c r="S2" s="251" t="s">
        <v>52</v>
      </c>
      <c r="T2" s="251" t="s">
        <v>53</v>
      </c>
    </row>
    <row r="3" spans="1:21" s="33" customFormat="1" ht="36.75" customHeight="1" x14ac:dyDescent="0.15">
      <c r="A3" s="62" t="s">
        <v>54</v>
      </c>
      <c r="B3" s="62" t="s">
        <v>55</v>
      </c>
      <c r="C3" s="62" t="s">
        <v>56</v>
      </c>
      <c r="D3" s="63" t="s">
        <v>57</v>
      </c>
      <c r="E3" s="64" t="s">
        <v>58</v>
      </c>
      <c r="F3" s="64" t="s">
        <v>59</v>
      </c>
      <c r="G3" s="64" t="s">
        <v>60</v>
      </c>
      <c r="H3" s="64" t="s">
        <v>61</v>
      </c>
      <c r="I3" s="64"/>
      <c r="J3" s="64"/>
      <c r="K3" s="64"/>
      <c r="L3" s="64"/>
      <c r="M3" s="64" t="s">
        <v>62</v>
      </c>
      <c r="N3" s="64" t="s">
        <v>63</v>
      </c>
      <c r="O3" s="64" t="s">
        <v>64</v>
      </c>
      <c r="P3" s="64" t="s">
        <v>65</v>
      </c>
      <c r="Q3" s="64"/>
      <c r="R3" s="64"/>
      <c r="S3" s="252"/>
      <c r="T3" s="252"/>
      <c r="U3" s="32"/>
    </row>
    <row r="4" spans="1:21" s="30" customFormat="1" ht="20.100000000000001" customHeight="1" x14ac:dyDescent="0.15">
      <c r="A4" s="65">
        <f>SUM(B4)</f>
        <v>24</v>
      </c>
      <c r="B4" s="65">
        <f>SUM(D4:R4)</f>
        <v>24</v>
      </c>
      <c r="C4" s="66" t="s">
        <v>66</v>
      </c>
      <c r="D4" s="67">
        <v>0</v>
      </c>
      <c r="E4" s="67">
        <v>7</v>
      </c>
      <c r="F4" s="67">
        <v>3</v>
      </c>
      <c r="G4" s="67">
        <v>0</v>
      </c>
      <c r="H4" s="67"/>
      <c r="I4" s="67"/>
      <c r="J4" s="67"/>
      <c r="K4" s="67"/>
      <c r="L4" s="67"/>
      <c r="M4" s="67">
        <v>5</v>
      </c>
      <c r="N4" s="67">
        <v>0</v>
      </c>
      <c r="O4" s="67">
        <v>9</v>
      </c>
      <c r="P4" s="67">
        <v>0</v>
      </c>
      <c r="Q4" s="67"/>
      <c r="R4" s="67"/>
      <c r="S4" s="68" t="s">
        <v>31</v>
      </c>
      <c r="T4" s="57"/>
      <c r="U4" s="34"/>
    </row>
    <row r="5" spans="1:21" s="30" customFormat="1" ht="20.100000000000001" customHeight="1" x14ac:dyDescent="0.15">
      <c r="A5" s="65">
        <f t="shared" ref="A5:A6" si="0">A4+B5</f>
        <v>51.5</v>
      </c>
      <c r="B5" s="65">
        <f>SUM(D5:R5)</f>
        <v>27.5</v>
      </c>
      <c r="C5" s="66" t="s">
        <v>67</v>
      </c>
      <c r="D5" s="67">
        <v>0</v>
      </c>
      <c r="E5" s="67">
        <v>5</v>
      </c>
      <c r="F5" s="67">
        <v>5</v>
      </c>
      <c r="G5" s="67">
        <v>5</v>
      </c>
      <c r="H5" s="67"/>
      <c r="I5" s="67"/>
      <c r="J5" s="67"/>
      <c r="K5" s="67"/>
      <c r="L5" s="67"/>
      <c r="M5" s="67">
        <v>3.5</v>
      </c>
      <c r="N5" s="67">
        <v>0</v>
      </c>
      <c r="O5" s="67">
        <v>5</v>
      </c>
      <c r="P5" s="67">
        <v>4</v>
      </c>
      <c r="Q5" s="67"/>
      <c r="R5" s="67"/>
      <c r="S5" s="68" t="s">
        <v>68</v>
      </c>
      <c r="T5" s="57"/>
      <c r="U5" s="34"/>
    </row>
    <row r="6" spans="1:21" s="30" customFormat="1" ht="20.100000000000001" customHeight="1" x14ac:dyDescent="0.15">
      <c r="A6" s="65">
        <f t="shared" si="0"/>
        <v>80</v>
      </c>
      <c r="B6" s="65">
        <f>SUM(D6:R6)</f>
        <v>28.5</v>
      </c>
      <c r="C6" s="66" t="s">
        <v>32</v>
      </c>
      <c r="D6" s="67">
        <v>0</v>
      </c>
      <c r="E6" s="57">
        <v>5</v>
      </c>
      <c r="F6" s="57">
        <v>5</v>
      </c>
      <c r="G6" s="57">
        <v>5</v>
      </c>
      <c r="H6" s="57">
        <v>2</v>
      </c>
      <c r="I6" s="57"/>
      <c r="J6" s="57"/>
      <c r="K6" s="57"/>
      <c r="L6" s="57"/>
      <c r="M6" s="57">
        <v>1.5</v>
      </c>
      <c r="N6" s="57">
        <v>0</v>
      </c>
      <c r="O6" s="57">
        <v>5</v>
      </c>
      <c r="P6" s="57">
        <v>5</v>
      </c>
      <c r="Q6" s="57"/>
      <c r="R6" s="57"/>
      <c r="S6" s="68" t="s">
        <v>68</v>
      </c>
      <c r="T6" s="57"/>
      <c r="U6" s="34"/>
    </row>
    <row r="7" spans="1:21" s="30" customFormat="1" ht="20.100000000000001" customHeight="1" x14ac:dyDescent="0.15">
      <c r="A7" s="65"/>
      <c r="B7" s="65"/>
      <c r="C7" s="66"/>
      <c r="D7" s="6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68" t="s">
        <v>68</v>
      </c>
      <c r="T7" s="57"/>
      <c r="U7" s="34"/>
    </row>
    <row r="8" spans="1:21" s="30" customFormat="1" ht="20.100000000000001" customHeight="1" x14ac:dyDescent="0.15">
      <c r="A8" s="65"/>
      <c r="B8" s="65"/>
      <c r="C8" s="66"/>
      <c r="D8" s="67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70" t="s">
        <v>68</v>
      </c>
      <c r="T8" s="57"/>
      <c r="U8" s="34"/>
    </row>
    <row r="9" spans="1:21" s="30" customFormat="1" ht="20.100000000000001" customHeight="1" x14ac:dyDescent="0.15">
      <c r="A9" s="65"/>
      <c r="B9" s="65"/>
      <c r="C9" s="66"/>
      <c r="D9" s="67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0" t="s">
        <v>68</v>
      </c>
      <c r="T9" s="57"/>
      <c r="U9" s="34"/>
    </row>
    <row r="10" spans="1:21" s="30" customFormat="1" ht="20.100000000000001" customHeight="1" x14ac:dyDescent="0.15">
      <c r="A10" s="65"/>
      <c r="B10" s="65"/>
      <c r="C10" s="66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71"/>
      <c r="P10" s="71"/>
      <c r="Q10" s="71"/>
      <c r="R10" s="67"/>
      <c r="S10" s="70" t="s">
        <v>68</v>
      </c>
      <c r="T10" s="57"/>
      <c r="U10" s="34"/>
    </row>
    <row r="11" spans="1:21" s="30" customFormat="1" ht="20.100000000000001" customHeight="1" x14ac:dyDescent="0.15">
      <c r="A11" s="65"/>
      <c r="B11" s="65"/>
      <c r="C11" s="66"/>
      <c r="D11" s="67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0" t="s">
        <v>68</v>
      </c>
      <c r="T11" s="57"/>
      <c r="U11" s="34"/>
    </row>
    <row r="12" spans="1:21" s="30" customFormat="1" ht="20.100000000000001" customHeight="1" x14ac:dyDescent="0.15">
      <c r="A12" s="65"/>
      <c r="B12" s="65"/>
      <c r="C12" s="66"/>
      <c r="D12" s="67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0" t="s">
        <v>68</v>
      </c>
      <c r="T12" s="57"/>
      <c r="U12" s="34"/>
    </row>
    <row r="13" spans="1:21" s="30" customFormat="1" ht="20.100000000000001" customHeight="1" x14ac:dyDescent="0.15">
      <c r="A13" s="65"/>
      <c r="B13" s="65"/>
      <c r="C13" s="66"/>
      <c r="D13" s="67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0"/>
      <c r="T13" s="57"/>
      <c r="U13" s="35"/>
    </row>
    <row r="14" spans="1:21" s="30" customFormat="1" ht="20.100000000000001" customHeight="1" x14ac:dyDescent="0.15">
      <c r="A14" s="65"/>
      <c r="B14" s="65"/>
      <c r="C14" s="66"/>
      <c r="D14" s="67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0"/>
      <c r="T14" s="57"/>
      <c r="U14" s="35"/>
    </row>
    <row r="15" spans="1:21" s="30" customFormat="1" ht="20.100000000000001" customHeight="1" x14ac:dyDescent="0.15">
      <c r="A15" s="65" t="s">
        <v>72</v>
      </c>
      <c r="B15" s="65">
        <f>SUM(B4:B14)</f>
        <v>80</v>
      </c>
      <c r="C15" s="66"/>
      <c r="D15" s="67">
        <f>SUM(D3:D14)</f>
        <v>0</v>
      </c>
      <c r="E15" s="67">
        <f t="shared" ref="E15:R15" si="1">SUM(E3:E14)</f>
        <v>17</v>
      </c>
      <c r="F15" s="67">
        <f t="shared" si="1"/>
        <v>13</v>
      </c>
      <c r="G15" s="67">
        <f t="shared" si="1"/>
        <v>10</v>
      </c>
      <c r="H15" s="67">
        <f t="shared" si="1"/>
        <v>2</v>
      </c>
      <c r="I15" s="67">
        <f t="shared" si="1"/>
        <v>0</v>
      </c>
      <c r="J15" s="67">
        <f t="shared" si="1"/>
        <v>0</v>
      </c>
      <c r="K15" s="67">
        <f t="shared" si="1"/>
        <v>0</v>
      </c>
      <c r="L15" s="67">
        <f t="shared" si="1"/>
        <v>0</v>
      </c>
      <c r="M15" s="67">
        <f t="shared" si="1"/>
        <v>10</v>
      </c>
      <c r="N15" s="67">
        <f t="shared" si="1"/>
        <v>0</v>
      </c>
      <c r="O15" s="67">
        <f t="shared" si="1"/>
        <v>19</v>
      </c>
      <c r="P15" s="67">
        <f t="shared" si="1"/>
        <v>9</v>
      </c>
      <c r="Q15" s="67">
        <f t="shared" si="1"/>
        <v>0</v>
      </c>
      <c r="R15" s="67">
        <f t="shared" si="1"/>
        <v>0</v>
      </c>
      <c r="S15" s="70"/>
      <c r="T15" s="57"/>
      <c r="U15" s="35"/>
    </row>
    <row r="16" spans="1:21" s="30" customFormat="1" ht="20.100000000000001" customHeight="1" x14ac:dyDescent="0.15">
      <c r="A16" s="213" t="s">
        <v>73</v>
      </c>
      <c r="B16" s="213"/>
      <c r="C16" s="214"/>
      <c r="D16" s="215">
        <f>D15/$B$15</f>
        <v>0</v>
      </c>
      <c r="E16" s="215">
        <f t="shared" ref="E16:R16" si="2">E15/$B$15</f>
        <v>0.21249999999999999</v>
      </c>
      <c r="F16" s="215">
        <f t="shared" si="2"/>
        <v>0.16250000000000001</v>
      </c>
      <c r="G16" s="215">
        <f t="shared" si="2"/>
        <v>0.125</v>
      </c>
      <c r="H16" s="215">
        <f t="shared" si="2"/>
        <v>2.5000000000000001E-2</v>
      </c>
      <c r="I16" s="215">
        <f t="shared" si="2"/>
        <v>0</v>
      </c>
      <c r="J16" s="215">
        <f t="shared" si="2"/>
        <v>0</v>
      </c>
      <c r="K16" s="215">
        <f t="shared" si="2"/>
        <v>0</v>
      </c>
      <c r="L16" s="215">
        <f t="shared" si="2"/>
        <v>0</v>
      </c>
      <c r="M16" s="215">
        <f t="shared" si="2"/>
        <v>0.125</v>
      </c>
      <c r="N16" s="215">
        <f t="shared" si="2"/>
        <v>0</v>
      </c>
      <c r="O16" s="215">
        <f t="shared" si="2"/>
        <v>0.23749999999999999</v>
      </c>
      <c r="P16" s="215">
        <f t="shared" si="2"/>
        <v>0.1125</v>
      </c>
      <c r="Q16" s="215">
        <f t="shared" si="2"/>
        <v>0</v>
      </c>
      <c r="R16" s="215">
        <f t="shared" si="2"/>
        <v>0</v>
      </c>
      <c r="S16" s="37"/>
      <c r="T16" s="38"/>
      <c r="U16" s="35"/>
    </row>
    <row r="17" spans="1:21" s="30" customFormat="1" ht="20.100000000000001" customHeight="1" x14ac:dyDescent="0.15">
      <c r="A17" s="213" t="s">
        <v>74</v>
      </c>
      <c r="B17" s="213">
        <v>0</v>
      </c>
      <c r="C17" s="214"/>
      <c r="D17" s="216">
        <f>D16*$B$17</f>
        <v>0</v>
      </c>
      <c r="E17" s="216">
        <f t="shared" ref="E17:R17" si="3">E16*$B$17</f>
        <v>0</v>
      </c>
      <c r="F17" s="216">
        <f t="shared" si="3"/>
        <v>0</v>
      </c>
      <c r="G17" s="216">
        <f t="shared" si="3"/>
        <v>0</v>
      </c>
      <c r="H17" s="216">
        <f t="shared" si="3"/>
        <v>0</v>
      </c>
      <c r="I17" s="216">
        <f t="shared" si="3"/>
        <v>0</v>
      </c>
      <c r="J17" s="216">
        <f t="shared" si="3"/>
        <v>0</v>
      </c>
      <c r="K17" s="216">
        <f t="shared" si="3"/>
        <v>0</v>
      </c>
      <c r="L17" s="216">
        <f t="shared" si="3"/>
        <v>0</v>
      </c>
      <c r="M17" s="216">
        <f t="shared" si="3"/>
        <v>0</v>
      </c>
      <c r="N17" s="216">
        <f t="shared" si="3"/>
        <v>0</v>
      </c>
      <c r="O17" s="216">
        <f t="shared" si="3"/>
        <v>0</v>
      </c>
      <c r="P17" s="216">
        <f t="shared" si="3"/>
        <v>0</v>
      </c>
      <c r="Q17" s="216">
        <f t="shared" si="3"/>
        <v>0</v>
      </c>
      <c r="R17" s="216">
        <f t="shared" si="3"/>
        <v>0</v>
      </c>
      <c r="S17" s="37"/>
      <c r="T17" s="38"/>
      <c r="U17" s="35"/>
    </row>
    <row r="18" spans="1:21" s="30" customFormat="1" ht="20.100000000000001" customHeight="1" x14ac:dyDescent="0.15">
      <c r="A18" s="212"/>
      <c r="B18" s="212"/>
      <c r="C18" s="75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37"/>
      <c r="T18" s="38"/>
      <c r="U18" s="35"/>
    </row>
    <row r="19" spans="1:21" s="30" customFormat="1" ht="20.100000000000001" customHeight="1" x14ac:dyDescent="0.15">
      <c r="A19" s="253" t="s">
        <v>71</v>
      </c>
      <c r="B19" s="253"/>
      <c r="C19" s="217">
        <f>SUM(B4:B14)*400/10000</f>
        <v>3.2</v>
      </c>
      <c r="D19" s="74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7"/>
      <c r="T19" s="38"/>
    </row>
    <row r="20" spans="1:21" s="30" customFormat="1" ht="16.5" x14ac:dyDescent="0.15">
      <c r="A20" s="39" t="s">
        <v>33</v>
      </c>
      <c r="B20" s="40"/>
      <c r="C20" s="41"/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3"/>
      <c r="T20" s="42"/>
    </row>
    <row r="21" spans="1:21" s="30" customFormat="1" x14ac:dyDescent="0.15">
      <c r="A21" s="40"/>
      <c r="B21" s="40"/>
      <c r="C21" s="44"/>
      <c r="D21" s="44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3"/>
      <c r="T21" s="42"/>
    </row>
    <row r="22" spans="1:21" s="30" customFormat="1" x14ac:dyDescent="0.15">
      <c r="A22" s="40"/>
      <c r="B22" s="40"/>
      <c r="C22" s="44"/>
      <c r="D22" s="44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3"/>
      <c r="T22" s="42"/>
    </row>
    <row r="23" spans="1:21" s="30" customFormat="1" ht="16.5" x14ac:dyDescent="0.15">
      <c r="A23" s="254" t="s">
        <v>34</v>
      </c>
      <c r="B23" s="254"/>
      <c r="C23" s="72" t="s">
        <v>35</v>
      </c>
      <c r="D23" s="45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3"/>
      <c r="T23" s="42"/>
    </row>
    <row r="24" spans="1:21" s="30" customFormat="1" ht="16.5" x14ac:dyDescent="0.15">
      <c r="A24" s="254" t="s">
        <v>36</v>
      </c>
      <c r="B24" s="254"/>
      <c r="C24" s="73"/>
      <c r="D24" s="45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3"/>
      <c r="T24" s="42"/>
    </row>
    <row r="25" spans="1:21" s="30" customFormat="1" ht="16.5" x14ac:dyDescent="0.15">
      <c r="A25" s="254" t="s">
        <v>37</v>
      </c>
      <c r="B25" s="254"/>
      <c r="C25" s="73"/>
      <c r="D25" s="4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3"/>
      <c r="T25" s="42"/>
    </row>
    <row r="26" spans="1:21" s="30" customFormat="1" ht="16.5" x14ac:dyDescent="0.15">
      <c r="A26" s="254" t="s">
        <v>38</v>
      </c>
      <c r="B26" s="254"/>
      <c r="C26" s="73"/>
      <c r="D26" s="45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3"/>
      <c r="T26" s="42"/>
    </row>
    <row r="27" spans="1:21" s="30" customFormat="1" x14ac:dyDescent="0.15">
      <c r="A27" s="46"/>
      <c r="B27" s="46"/>
      <c r="C27" s="44"/>
      <c r="D27" s="44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3"/>
      <c r="T27" s="42"/>
    </row>
    <row r="28" spans="1:21" s="30" customFormat="1" x14ac:dyDescent="0.15">
      <c r="A28" s="40"/>
      <c r="B28" s="40"/>
      <c r="C28" s="47"/>
      <c r="D28" s="47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3"/>
      <c r="T28" s="42"/>
    </row>
    <row r="29" spans="1:21" s="30" customFormat="1" ht="14.25" thickBot="1" x14ac:dyDescent="0.2">
      <c r="A29" s="40"/>
      <c r="B29" s="40"/>
      <c r="C29" s="47"/>
      <c r="D29" s="47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3"/>
      <c r="T29" s="42"/>
    </row>
    <row r="30" spans="1:21" s="30" customFormat="1" ht="35.1" customHeight="1" thickBot="1" x14ac:dyDescent="0.2">
      <c r="A30" s="48" t="s">
        <v>39</v>
      </c>
      <c r="B30" s="48" t="s">
        <v>40</v>
      </c>
      <c r="C30" s="48" t="s">
        <v>41</v>
      </c>
      <c r="D30" s="48" t="s">
        <v>42</v>
      </c>
      <c r="E30" s="48" t="s">
        <v>43</v>
      </c>
      <c r="F30" s="49" t="s">
        <v>44</v>
      </c>
      <c r="G30" s="243" t="s">
        <v>45</v>
      </c>
      <c r="H30" s="243"/>
      <c r="I30" s="243"/>
      <c r="J30" s="243"/>
      <c r="K30" s="243"/>
      <c r="L30" s="243"/>
      <c r="M30" s="243"/>
      <c r="N30" s="42"/>
      <c r="O30" s="42"/>
      <c r="P30" s="42"/>
      <c r="Q30" s="42"/>
      <c r="R30" s="42"/>
      <c r="S30" s="43"/>
      <c r="T30" s="42"/>
    </row>
    <row r="31" spans="1:21" s="30" customFormat="1" ht="16.5" x14ac:dyDescent="0.15">
      <c r="A31" s="255" t="s">
        <v>46</v>
      </c>
      <c r="B31" s="257" t="s">
        <v>47</v>
      </c>
      <c r="C31" s="257">
        <f>SUM(F31:F37)</f>
        <v>0</v>
      </c>
      <c r="D31" s="50"/>
      <c r="E31" s="51"/>
      <c r="F31" s="51"/>
      <c r="G31" s="258"/>
      <c r="H31" s="258"/>
      <c r="I31" s="258"/>
      <c r="J31" s="258"/>
      <c r="K31" s="258"/>
      <c r="L31" s="258"/>
      <c r="M31" s="258"/>
      <c r="S31" s="52"/>
    </row>
    <row r="32" spans="1:21" s="30" customFormat="1" ht="16.5" x14ac:dyDescent="0.15">
      <c r="A32" s="256"/>
      <c r="B32" s="257"/>
      <c r="C32" s="257"/>
      <c r="D32" s="55"/>
      <c r="E32" s="57"/>
      <c r="F32" s="57"/>
      <c r="G32" s="259"/>
      <c r="H32" s="259"/>
      <c r="I32" s="259"/>
      <c r="J32" s="259"/>
      <c r="K32" s="259"/>
      <c r="L32" s="259"/>
      <c r="M32" s="259"/>
      <c r="N32" s="42"/>
      <c r="O32" s="42"/>
      <c r="P32" s="42"/>
      <c r="Q32" s="42"/>
      <c r="R32" s="42"/>
      <c r="S32" s="43"/>
      <c r="T32" s="42"/>
    </row>
    <row r="33" spans="1:19" s="30" customFormat="1" ht="16.5" x14ac:dyDescent="0.15">
      <c r="A33" s="256"/>
      <c r="B33" s="257"/>
      <c r="C33" s="257"/>
      <c r="D33" s="55"/>
      <c r="E33" s="57"/>
      <c r="F33" s="57"/>
      <c r="G33" s="259"/>
      <c r="H33" s="259"/>
      <c r="I33" s="259"/>
      <c r="J33" s="259"/>
      <c r="K33" s="259"/>
      <c r="L33" s="259"/>
      <c r="M33" s="259"/>
      <c r="S33" s="52"/>
    </row>
    <row r="34" spans="1:19" s="30" customFormat="1" ht="16.5" x14ac:dyDescent="0.15">
      <c r="A34" s="256"/>
      <c r="B34" s="257"/>
      <c r="C34" s="257"/>
      <c r="D34" s="55"/>
      <c r="E34" s="57"/>
      <c r="F34" s="57"/>
      <c r="G34" s="259"/>
      <c r="H34" s="259"/>
      <c r="I34" s="259"/>
      <c r="J34" s="259"/>
      <c r="K34" s="259"/>
      <c r="L34" s="259"/>
      <c r="M34" s="259"/>
      <c r="S34" s="52"/>
    </row>
    <row r="35" spans="1:19" s="30" customFormat="1" ht="16.5" x14ac:dyDescent="0.15">
      <c r="A35" s="256"/>
      <c r="B35" s="257"/>
      <c r="C35" s="257"/>
      <c r="D35" s="55"/>
      <c r="E35" s="54"/>
      <c r="F35" s="54"/>
      <c r="G35" s="259"/>
      <c r="H35" s="259"/>
      <c r="I35" s="259"/>
      <c r="J35" s="259"/>
      <c r="K35" s="259"/>
      <c r="L35" s="259"/>
      <c r="M35" s="259"/>
      <c r="S35" s="52"/>
    </row>
    <row r="36" spans="1:19" s="30" customFormat="1" ht="16.5" x14ac:dyDescent="0.15">
      <c r="A36" s="256"/>
      <c r="B36" s="257"/>
      <c r="C36" s="257"/>
      <c r="D36" s="55"/>
      <c r="E36" s="54"/>
      <c r="F36" s="54"/>
      <c r="G36" s="259"/>
      <c r="H36" s="259"/>
      <c r="I36" s="259"/>
      <c r="J36" s="259"/>
      <c r="K36" s="259"/>
      <c r="L36" s="259"/>
      <c r="M36" s="259"/>
      <c r="S36" s="52"/>
    </row>
    <row r="37" spans="1:19" s="30" customFormat="1" ht="17.25" thickBot="1" x14ac:dyDescent="0.2">
      <c r="A37" s="256"/>
      <c r="B37" s="257"/>
      <c r="C37" s="257"/>
      <c r="D37" s="53"/>
      <c r="E37" s="54"/>
      <c r="F37" s="54"/>
      <c r="G37" s="260"/>
      <c r="H37" s="260"/>
      <c r="I37" s="260"/>
      <c r="J37" s="260"/>
      <c r="K37" s="260"/>
      <c r="L37" s="260"/>
      <c r="M37" s="260"/>
      <c r="S37" s="52"/>
    </row>
    <row r="38" spans="1:19" s="30" customFormat="1" ht="16.5" x14ac:dyDescent="0.15">
      <c r="A38" s="261" t="s">
        <v>69</v>
      </c>
      <c r="B38" s="264"/>
      <c r="C38" s="264">
        <f>SUM(F38:F40)</f>
        <v>0</v>
      </c>
      <c r="D38" s="55"/>
      <c r="E38" s="56"/>
      <c r="F38" s="56"/>
      <c r="G38" s="266"/>
      <c r="H38" s="266"/>
      <c r="I38" s="266"/>
      <c r="J38" s="266"/>
      <c r="K38" s="266"/>
      <c r="L38" s="266"/>
      <c r="M38" s="266"/>
      <c r="S38" s="52"/>
    </row>
    <row r="39" spans="1:19" s="30" customFormat="1" ht="16.5" x14ac:dyDescent="0.15">
      <c r="A39" s="262"/>
      <c r="B39" s="257"/>
      <c r="C39" s="257"/>
      <c r="D39" s="55"/>
      <c r="E39" s="57"/>
      <c r="F39" s="57"/>
      <c r="G39" s="259"/>
      <c r="H39" s="259"/>
      <c r="I39" s="259"/>
      <c r="J39" s="259"/>
      <c r="K39" s="259"/>
      <c r="L39" s="259"/>
      <c r="M39" s="259"/>
      <c r="S39" s="52"/>
    </row>
    <row r="40" spans="1:19" s="30" customFormat="1" ht="17.25" thickBot="1" x14ac:dyDescent="0.2">
      <c r="A40" s="263"/>
      <c r="B40" s="265"/>
      <c r="C40" s="265"/>
      <c r="D40" s="55"/>
      <c r="E40" s="58"/>
      <c r="F40" s="58"/>
      <c r="G40" s="267"/>
      <c r="H40" s="267"/>
      <c r="I40" s="267"/>
      <c r="J40" s="267"/>
      <c r="K40" s="267"/>
      <c r="L40" s="267"/>
      <c r="M40" s="267"/>
      <c r="S40" s="52"/>
    </row>
    <row r="41" spans="1:19" s="30" customFormat="1" ht="16.5" x14ac:dyDescent="0.15">
      <c r="A41" s="268" t="s">
        <v>70</v>
      </c>
      <c r="B41" s="264"/>
      <c r="C41" s="264">
        <f>SUM(F41:F43)</f>
        <v>0</v>
      </c>
      <c r="D41" s="59"/>
      <c r="E41" s="56"/>
      <c r="F41" s="56"/>
      <c r="G41" s="258"/>
      <c r="H41" s="258"/>
      <c r="I41" s="258"/>
      <c r="J41" s="258"/>
      <c r="K41" s="258"/>
      <c r="L41" s="258"/>
      <c r="M41" s="258"/>
      <c r="S41" s="52"/>
    </row>
    <row r="42" spans="1:19" s="30" customFormat="1" ht="16.5" x14ac:dyDescent="0.15">
      <c r="A42" s="256"/>
      <c r="B42" s="257"/>
      <c r="C42" s="257"/>
      <c r="D42" s="54"/>
      <c r="E42" s="57"/>
      <c r="F42" s="57"/>
      <c r="G42" s="259"/>
      <c r="H42" s="259"/>
      <c r="I42" s="259"/>
      <c r="J42" s="259"/>
      <c r="K42" s="259"/>
      <c r="L42" s="259"/>
      <c r="M42" s="259"/>
      <c r="S42" s="52"/>
    </row>
    <row r="43" spans="1:19" s="30" customFormat="1" ht="17.25" thickBot="1" x14ac:dyDescent="0.2">
      <c r="A43" s="269"/>
      <c r="B43" s="265"/>
      <c r="C43" s="265"/>
      <c r="D43" s="58"/>
      <c r="E43" s="58"/>
      <c r="F43" s="58"/>
      <c r="G43" s="267"/>
      <c r="H43" s="267"/>
      <c r="I43" s="267"/>
      <c r="J43" s="267"/>
      <c r="K43" s="267"/>
      <c r="L43" s="267"/>
      <c r="M43" s="267"/>
      <c r="S43" s="52"/>
    </row>
    <row r="44" spans="1:19" s="30" customFormat="1" x14ac:dyDescent="0.15">
      <c r="A44" s="60"/>
      <c r="B44" s="60"/>
      <c r="S44" s="52"/>
    </row>
  </sheetData>
  <mergeCells count="34">
    <mergeCell ref="A41:A43"/>
    <mergeCell ref="B41:B43"/>
    <mergeCell ref="C41:C43"/>
    <mergeCell ref="G41:M41"/>
    <mergeCell ref="G42:M42"/>
    <mergeCell ref="G43:M43"/>
    <mergeCell ref="A38:A40"/>
    <mergeCell ref="B38:B40"/>
    <mergeCell ref="C38:C40"/>
    <mergeCell ref="G38:M38"/>
    <mergeCell ref="G39:M39"/>
    <mergeCell ref="G40:M40"/>
    <mergeCell ref="A31:A37"/>
    <mergeCell ref="B31:B37"/>
    <mergeCell ref="C31:C37"/>
    <mergeCell ref="G31:M31"/>
    <mergeCell ref="G32:M32"/>
    <mergeCell ref="G33:M33"/>
    <mergeCell ref="G34:M34"/>
    <mergeCell ref="G35:M35"/>
    <mergeCell ref="G36:M36"/>
    <mergeCell ref="G37:M37"/>
    <mergeCell ref="G30:M30"/>
    <mergeCell ref="A1:T1"/>
    <mergeCell ref="B2:C2"/>
    <mergeCell ref="E2:L2"/>
    <mergeCell ref="M2:R2"/>
    <mergeCell ref="S2:S3"/>
    <mergeCell ref="T2:T3"/>
    <mergeCell ref="A19:B19"/>
    <mergeCell ref="A23:B23"/>
    <mergeCell ref="A24:B24"/>
    <mergeCell ref="A25:B25"/>
    <mergeCell ref="A26:B26"/>
  </mergeCells>
  <phoneticPr fontId="2" type="noConversion"/>
  <dataValidations count="1">
    <dataValidation type="list" showInputMessage="1" showErrorMessage="1" sqref="D3:R3">
      <formula1>团队成员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仪表盘</vt:lpstr>
      <vt:lpstr>项目日程</vt:lpstr>
      <vt:lpstr>自信心范围图</vt:lpstr>
      <vt:lpstr>待办事项</vt:lpstr>
      <vt:lpstr>任务跟踪</vt:lpstr>
      <vt:lpstr>关键路径</vt:lpstr>
      <vt:lpstr>缺陷</vt:lpstr>
      <vt:lpstr>每周工作量统计（上周四~周三）</vt:lpstr>
      <vt:lpstr>工作量汇总</vt:lpstr>
      <vt:lpstr>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2015-04-08T07:48:41Z</dcterms:modified>
</cp:coreProperties>
</file>