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drawings/drawing1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15" windowWidth="18735" windowHeight="11700" tabRatio="920" activeTab="2"/>
  </bookViews>
  <sheets>
    <sheet name="NOTES_wy" sheetId="35" r:id="rId1"/>
    <sheet name="Sheet1" sheetId="36" r:id="rId2"/>
    <sheet name="City" sheetId="3" r:id="rId3"/>
    <sheet name="Inputs" sheetId="1" r:id="rId4"/>
    <sheet name="Dedicate" sheetId="7" r:id="rId5"/>
    <sheet name="RideSource" sheetId="9" r:id="rId6"/>
    <sheet name="Connect" sheetId="8" r:id="rId7"/>
    <sheet name="nonDriver" sheetId="15" r:id="rId8"/>
    <sheet name="Curb" sheetId="10" r:id="rId9"/>
    <sheet name="VMT_fee" sheetId="11" r:id="rId10"/>
    <sheet name="EV" sheetId="18" r:id="rId11"/>
    <sheet name="NOVMT" sheetId="12" r:id="rId12"/>
    <sheet name="ShareRide" sheetId="14" r:id="rId13"/>
    <sheet name="Satellite" sheetId="13" r:id="rId14"/>
    <sheet name="Pricing" sheetId="16" r:id="rId15"/>
    <sheet name="Fleet Types" sheetId="4" r:id="rId16"/>
    <sheet name="TypeVMT" sheetId="6" r:id="rId17"/>
    <sheet name="RideModel" sheetId="17" r:id="rId18"/>
    <sheet name="Induced" sheetId="19" r:id="rId19"/>
    <sheet name="Miles" sheetId="2" r:id="rId20"/>
    <sheet name="VMT" sheetId="5" r:id="rId21"/>
    <sheet name="Capacity" sheetId="21" r:id="rId22"/>
    <sheet name="Delay" sheetId="22" r:id="rId23"/>
    <sheet name="VHD" sheetId="20" r:id="rId24"/>
    <sheet name="AreaType" sheetId="24" r:id="rId25"/>
    <sheet name="AT-Miles" sheetId="23" r:id="rId26"/>
    <sheet name="AT-VMT" sheetId="25" r:id="rId27"/>
    <sheet name="Fleet" sheetId="26" r:id="rId28"/>
    <sheet name="Freight" sheetId="28" r:id="rId29"/>
    <sheet name="HH-Veh" sheetId="27" r:id="rId30"/>
    <sheet name="Spending" sheetId="29" r:id="rId31"/>
    <sheet name="Spending2" sheetId="30" r:id="rId32"/>
    <sheet name="Fees" sheetId="31" r:id="rId33"/>
    <sheet name="Fees2" sheetId="32" r:id="rId34"/>
    <sheet name="Jobs" sheetId="33" r:id="rId35"/>
    <sheet name="Jobs2" sheetId="34" r:id="rId36"/>
  </sheets>
  <calcPr calcId="145621"/>
</workbook>
</file>

<file path=xl/calcChain.xml><?xml version="1.0" encoding="utf-8"?>
<calcChain xmlns="http://schemas.openxmlformats.org/spreadsheetml/2006/main">
  <c r="I17" i="36" l="1"/>
  <c r="B53" i="36"/>
  <c r="B52" i="36"/>
  <c r="B50" i="36" s="1"/>
  <c r="B51" i="36"/>
  <c r="B49" i="36"/>
  <c r="B48" i="36"/>
  <c r="B47" i="36"/>
  <c r="B46" i="36" s="1"/>
  <c r="K28" i="36"/>
  <c r="J28" i="36"/>
  <c r="K27" i="36"/>
  <c r="J27" i="36"/>
  <c r="K26" i="36"/>
  <c r="J26" i="36"/>
  <c r="K25" i="36"/>
  <c r="J25" i="36"/>
  <c r="J29" i="36" s="1"/>
  <c r="K24" i="36"/>
  <c r="J24" i="36"/>
  <c r="K23" i="36"/>
  <c r="K29" i="36" s="1"/>
  <c r="J23" i="36"/>
  <c r="B15" i="36"/>
  <c r="B9" i="36"/>
  <c r="P18" i="36"/>
  <c r="O18" i="36"/>
  <c r="N18" i="36"/>
  <c r="M18" i="36"/>
  <c r="L18" i="36"/>
  <c r="J18" i="36"/>
  <c r="I18" i="36"/>
  <c r="B6" i="36"/>
  <c r="B54" i="36" s="1"/>
  <c r="B55" i="36" l="1"/>
  <c r="H4" i="36"/>
  <c r="B53" i="3"/>
  <c r="B50" i="3" s="1"/>
  <c r="B52" i="3"/>
  <c r="B51" i="3"/>
  <c r="B46" i="3"/>
  <c r="B49" i="3"/>
  <c r="B48" i="3"/>
  <c r="B47" i="3"/>
  <c r="I4" i="36" l="1"/>
  <c r="I6" i="36" s="1"/>
  <c r="P4" i="36"/>
  <c r="P6" i="36" s="1"/>
  <c r="P9" i="36" s="1"/>
  <c r="N4" i="36"/>
  <c r="N6" i="36" s="1"/>
  <c r="N9" i="36" s="1"/>
  <c r="M4" i="36"/>
  <c r="M6" i="36" s="1"/>
  <c r="M9" i="36" s="1"/>
  <c r="L4" i="36"/>
  <c r="J4" i="36"/>
  <c r="J6" i="36" s="1"/>
  <c r="J9" i="36" s="1"/>
  <c r="O4" i="36"/>
  <c r="O6" i="36" s="1"/>
  <c r="O9" i="36" s="1"/>
  <c r="H5" i="36"/>
  <c r="J39" i="34"/>
  <c r="K39" i="34" s="1"/>
  <c r="AD7" i="33"/>
  <c r="AC7" i="33"/>
  <c r="AB7" i="33"/>
  <c r="Z7" i="33"/>
  <c r="Y7" i="33"/>
  <c r="X7" i="33"/>
  <c r="U7" i="33"/>
  <c r="T7" i="33"/>
  <c r="S7" i="33"/>
  <c r="Q7" i="33"/>
  <c r="P7" i="33"/>
  <c r="O7" i="33"/>
  <c r="S6" i="33"/>
  <c r="O6" i="33"/>
  <c r="V6" i="33"/>
  <c r="F3" i="33"/>
  <c r="E3" i="33"/>
  <c r="D3" i="33"/>
  <c r="J4" i="33"/>
  <c r="I4" i="33"/>
  <c r="H4" i="33"/>
  <c r="F4" i="33"/>
  <c r="E4" i="33"/>
  <c r="D4" i="33"/>
  <c r="J5" i="33"/>
  <c r="I5" i="33"/>
  <c r="H5" i="33"/>
  <c r="F5" i="33"/>
  <c r="E5" i="33"/>
  <c r="D5" i="33"/>
  <c r="H6" i="33"/>
  <c r="D6" i="33"/>
  <c r="J7" i="33"/>
  <c r="I7" i="33"/>
  <c r="H7" i="33"/>
  <c r="F7" i="33"/>
  <c r="E7" i="33"/>
  <c r="D7" i="33"/>
  <c r="C8" i="33"/>
  <c r="A9" i="33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B8" i="33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L6" i="36" l="1"/>
  <c r="K4" i="36"/>
  <c r="K5" i="36" s="1"/>
  <c r="N5" i="36"/>
  <c r="N7" i="36" s="1"/>
  <c r="M5" i="36"/>
  <c r="M7" i="36" s="1"/>
  <c r="O5" i="36"/>
  <c r="O7" i="36" s="1"/>
  <c r="I5" i="36"/>
  <c r="I7" i="36" s="1"/>
  <c r="L5" i="36"/>
  <c r="L7" i="36" s="1"/>
  <c r="P5" i="36"/>
  <c r="P7" i="36" s="1"/>
  <c r="H6" i="36"/>
  <c r="I9" i="36"/>
  <c r="H9" i="36" s="1"/>
  <c r="B41" i="34"/>
  <c r="L5" i="33"/>
  <c r="J3" i="33" s="1"/>
  <c r="L39" i="34"/>
  <c r="C9" i="33"/>
  <c r="C10" i="33" s="1"/>
  <c r="D10" i="33" s="1"/>
  <c r="I8" i="33"/>
  <c r="F8" i="33"/>
  <c r="J8" i="33"/>
  <c r="H8" i="33"/>
  <c r="E8" i="33"/>
  <c r="D8" i="33"/>
  <c r="I8" i="36" l="1"/>
  <c r="I10" i="36"/>
  <c r="J5" i="36"/>
  <c r="J7" i="36" s="1"/>
  <c r="H7" i="36" s="1"/>
  <c r="O8" i="36"/>
  <c r="O10" i="36"/>
  <c r="M8" i="36"/>
  <c r="M10" i="36"/>
  <c r="K7" i="36"/>
  <c r="L10" i="36"/>
  <c r="L8" i="36"/>
  <c r="N8" i="36"/>
  <c r="N10" i="36"/>
  <c r="P10" i="36"/>
  <c r="P8" i="36"/>
  <c r="L9" i="36"/>
  <c r="K9" i="36" s="1"/>
  <c r="K6" i="36"/>
  <c r="K8" i="33"/>
  <c r="I3" i="33"/>
  <c r="G8" i="33"/>
  <c r="H3" i="33"/>
  <c r="M39" i="34"/>
  <c r="H9" i="33"/>
  <c r="F10" i="33"/>
  <c r="C11" i="33"/>
  <c r="I11" i="33" s="1"/>
  <c r="J9" i="33"/>
  <c r="I9" i="33"/>
  <c r="I10" i="33"/>
  <c r="F9" i="33"/>
  <c r="E10" i="33"/>
  <c r="H10" i="33"/>
  <c r="J10" i="33"/>
  <c r="E9" i="33"/>
  <c r="D9" i="33"/>
  <c r="K8" i="36" l="1"/>
  <c r="K10" i="36"/>
  <c r="J8" i="36"/>
  <c r="H8" i="36" s="1"/>
  <c r="J10" i="36"/>
  <c r="H10" i="36" s="1"/>
  <c r="L8" i="33"/>
  <c r="M8" i="33"/>
  <c r="G10" i="33"/>
  <c r="M10" i="33" s="1"/>
  <c r="G9" i="33"/>
  <c r="K10" i="33"/>
  <c r="K9" i="33"/>
  <c r="N39" i="34"/>
  <c r="E11" i="33"/>
  <c r="J11" i="33"/>
  <c r="C12" i="33"/>
  <c r="C13" i="33" s="1"/>
  <c r="D11" i="33"/>
  <c r="F11" i="33"/>
  <c r="H11" i="33"/>
  <c r="H11" i="36" l="1"/>
  <c r="H12" i="36" s="1"/>
  <c r="J12" i="36" s="1"/>
  <c r="K11" i="36"/>
  <c r="K12" i="36" s="1"/>
  <c r="N12" i="36" s="1"/>
  <c r="L10" i="33"/>
  <c r="L9" i="33"/>
  <c r="M9" i="33"/>
  <c r="G11" i="33"/>
  <c r="K11" i="33"/>
  <c r="O39" i="34"/>
  <c r="H12" i="33"/>
  <c r="I12" i="33"/>
  <c r="J12" i="33"/>
  <c r="F12" i="33"/>
  <c r="E12" i="33"/>
  <c r="D12" i="33"/>
  <c r="D13" i="33"/>
  <c r="I13" i="33"/>
  <c r="H13" i="33"/>
  <c r="F13" i="33"/>
  <c r="C14" i="33"/>
  <c r="J13" i="33"/>
  <c r="E13" i="33"/>
  <c r="O12" i="36" l="1"/>
  <c r="O16" i="36" s="1"/>
  <c r="I12" i="36"/>
  <c r="I14" i="36" s="1"/>
  <c r="N14" i="36"/>
  <c r="N16" i="36"/>
  <c r="P12" i="36"/>
  <c r="L12" i="36"/>
  <c r="M12" i="36"/>
  <c r="N13" i="36"/>
  <c r="N15" i="36" s="1"/>
  <c r="N17" i="36" s="1"/>
  <c r="J14" i="36"/>
  <c r="J16" i="36"/>
  <c r="J13" i="36"/>
  <c r="J15" i="36" s="1"/>
  <c r="J17" i="36" s="1"/>
  <c r="L11" i="33"/>
  <c r="M11" i="33"/>
  <c r="K13" i="33"/>
  <c r="K12" i="33"/>
  <c r="G13" i="33"/>
  <c r="G12" i="33"/>
  <c r="P39" i="34"/>
  <c r="E14" i="33"/>
  <c r="I14" i="33"/>
  <c r="J14" i="33"/>
  <c r="H14" i="33"/>
  <c r="F14" i="33"/>
  <c r="C15" i="33"/>
  <c r="D14" i="33"/>
  <c r="O13" i="36" l="1"/>
  <c r="O15" i="36" s="1"/>
  <c r="O17" i="36" s="1"/>
  <c r="O14" i="36"/>
  <c r="I13" i="36"/>
  <c r="I16" i="36"/>
  <c r="H16" i="36" s="1"/>
  <c r="M16" i="36"/>
  <c r="M14" i="36"/>
  <c r="M13" i="36"/>
  <c r="M15" i="36" s="1"/>
  <c r="M17" i="36" s="1"/>
  <c r="L16" i="36"/>
  <c r="K16" i="36" s="1"/>
  <c r="L13" i="36"/>
  <c r="L14" i="36"/>
  <c r="P13" i="36"/>
  <c r="P15" i="36" s="1"/>
  <c r="P17" i="36" s="1"/>
  <c r="P14" i="36"/>
  <c r="P16" i="36"/>
  <c r="I15" i="36"/>
  <c r="H13" i="36"/>
  <c r="L12" i="33"/>
  <c r="L13" i="33"/>
  <c r="K14" i="33"/>
  <c r="M12" i="33"/>
  <c r="G14" i="33"/>
  <c r="M13" i="33"/>
  <c r="Q39" i="34"/>
  <c r="F15" i="33"/>
  <c r="H15" i="33"/>
  <c r="D15" i="33"/>
  <c r="J15" i="33"/>
  <c r="I15" i="33"/>
  <c r="E15" i="33"/>
  <c r="C16" i="33"/>
  <c r="K13" i="36" l="1"/>
  <c r="L15" i="36"/>
  <c r="L17" i="36" s="1"/>
  <c r="L14" i="33"/>
  <c r="K15" i="33"/>
  <c r="M14" i="33"/>
  <c r="G15" i="33"/>
  <c r="R39" i="34"/>
  <c r="H16" i="33"/>
  <c r="J16" i="33"/>
  <c r="C17" i="33"/>
  <c r="I16" i="33"/>
  <c r="F16" i="33"/>
  <c r="E16" i="33"/>
  <c r="D16" i="33"/>
  <c r="L15" i="33" l="1"/>
  <c r="M15" i="33"/>
  <c r="G16" i="33"/>
  <c r="M16" i="33" s="1"/>
  <c r="K16" i="33"/>
  <c r="S39" i="34"/>
  <c r="I17" i="33"/>
  <c r="F17" i="33"/>
  <c r="D17" i="33"/>
  <c r="C18" i="33"/>
  <c r="J17" i="33"/>
  <c r="H17" i="33"/>
  <c r="E17" i="33"/>
  <c r="L16" i="33" l="1"/>
  <c r="K17" i="33"/>
  <c r="G17" i="33"/>
  <c r="T39" i="34"/>
  <c r="J18" i="33"/>
  <c r="I18" i="33"/>
  <c r="F18" i="33"/>
  <c r="E18" i="33"/>
  <c r="D18" i="33"/>
  <c r="C19" i="33"/>
  <c r="H18" i="33"/>
  <c r="L17" i="33" l="1"/>
  <c r="K18" i="33"/>
  <c r="G18" i="33"/>
  <c r="M18" i="33" s="1"/>
  <c r="M17" i="33"/>
  <c r="U39" i="34"/>
  <c r="C20" i="33"/>
  <c r="I19" i="33"/>
  <c r="F19" i="33"/>
  <c r="D19" i="33"/>
  <c r="J19" i="33"/>
  <c r="H19" i="33"/>
  <c r="E19" i="33"/>
  <c r="K19" i="33" l="1"/>
  <c r="G19" i="33"/>
  <c r="L19" i="33" s="1"/>
  <c r="L18" i="33"/>
  <c r="V39" i="34"/>
  <c r="H20" i="33"/>
  <c r="E20" i="33"/>
  <c r="J20" i="33"/>
  <c r="I20" i="33"/>
  <c r="D20" i="33"/>
  <c r="C21" i="33"/>
  <c r="F20" i="33"/>
  <c r="M19" i="33" l="1"/>
  <c r="K20" i="33"/>
  <c r="G20" i="33"/>
  <c r="M20" i="33" s="1"/>
  <c r="W39" i="34"/>
  <c r="D21" i="33"/>
  <c r="I21" i="33"/>
  <c r="H21" i="33"/>
  <c r="C22" i="33"/>
  <c r="E21" i="33"/>
  <c r="J21" i="33"/>
  <c r="F21" i="33"/>
  <c r="L20" i="33" l="1"/>
  <c r="K21" i="33"/>
  <c r="G21" i="33"/>
  <c r="X39" i="34"/>
  <c r="E22" i="33"/>
  <c r="D22" i="33"/>
  <c r="H22" i="33"/>
  <c r="F22" i="33"/>
  <c r="C23" i="33"/>
  <c r="I22" i="33"/>
  <c r="J22" i="33"/>
  <c r="K22" i="33" l="1"/>
  <c r="L21" i="33"/>
  <c r="G22" i="33"/>
  <c r="M21" i="33"/>
  <c r="Y39" i="34"/>
  <c r="F23" i="33"/>
  <c r="E23" i="33"/>
  <c r="C24" i="33"/>
  <c r="D23" i="33"/>
  <c r="I23" i="33"/>
  <c r="H23" i="33"/>
  <c r="J23" i="33"/>
  <c r="L22" i="33" l="1"/>
  <c r="G23" i="33"/>
  <c r="M23" i="33" s="1"/>
  <c r="M22" i="33"/>
  <c r="K23" i="33"/>
  <c r="L23" i="33" s="1"/>
  <c r="Z39" i="34"/>
  <c r="H24" i="33"/>
  <c r="E24" i="33"/>
  <c r="C25" i="33"/>
  <c r="D24" i="33"/>
  <c r="J24" i="33"/>
  <c r="F24" i="33"/>
  <c r="I24" i="33"/>
  <c r="G24" i="33" l="1"/>
  <c r="K24" i="33"/>
  <c r="AA39" i="34"/>
  <c r="I25" i="33"/>
  <c r="H25" i="33"/>
  <c r="C26" i="33"/>
  <c r="J25" i="33"/>
  <c r="F25" i="33"/>
  <c r="E25" i="33"/>
  <c r="D25" i="33"/>
  <c r="Y40" i="32"/>
  <c r="X40" i="32"/>
  <c r="W40" i="32"/>
  <c r="V40" i="32"/>
  <c r="U40" i="32"/>
  <c r="T40" i="32"/>
  <c r="S40" i="32"/>
  <c r="R40" i="32"/>
  <c r="K40" i="32"/>
  <c r="J40" i="32"/>
  <c r="I40" i="32"/>
  <c r="H40" i="32"/>
  <c r="G40" i="32"/>
  <c r="F40" i="32"/>
  <c r="E40" i="32"/>
  <c r="D40" i="32"/>
  <c r="Y5" i="31"/>
  <c r="X5" i="31"/>
  <c r="W5" i="31"/>
  <c r="V5" i="31"/>
  <c r="U5" i="31"/>
  <c r="T5" i="31"/>
  <c r="S5" i="31"/>
  <c r="R5" i="31"/>
  <c r="K5" i="31"/>
  <c r="J5" i="31"/>
  <c r="I5" i="31"/>
  <c r="H5" i="31"/>
  <c r="G5" i="31"/>
  <c r="F5" i="31"/>
  <c r="E5" i="31"/>
  <c r="D5" i="31"/>
  <c r="J39" i="32"/>
  <c r="AC4" i="31"/>
  <c r="AB4" i="31"/>
  <c r="AA4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6" i="31"/>
  <c r="K25" i="33" l="1"/>
  <c r="L24" i="33"/>
  <c r="M24" i="33"/>
  <c r="G25" i="33"/>
  <c r="M25" i="33" s="1"/>
  <c r="AB39" i="34"/>
  <c r="J26" i="33"/>
  <c r="E26" i="33"/>
  <c r="H26" i="33"/>
  <c r="D26" i="33"/>
  <c r="C27" i="33"/>
  <c r="I26" i="33"/>
  <c r="F26" i="33"/>
  <c r="K39" i="32"/>
  <c r="C6" i="31"/>
  <c r="G26" i="33" l="1"/>
  <c r="K26" i="33"/>
  <c r="L26" i="33" s="1"/>
  <c r="L25" i="33"/>
  <c r="AC39" i="34"/>
  <c r="M26" i="33"/>
  <c r="C28" i="33"/>
  <c r="J27" i="33"/>
  <c r="I27" i="33"/>
  <c r="H27" i="33"/>
  <c r="E27" i="33"/>
  <c r="F27" i="33"/>
  <c r="D27" i="33"/>
  <c r="L39" i="32"/>
  <c r="C7" i="31"/>
  <c r="K4" i="31"/>
  <c r="K6" i="31" s="1"/>
  <c r="J4" i="31"/>
  <c r="J6" i="31" s="1"/>
  <c r="I4" i="31"/>
  <c r="I6" i="31" s="1"/>
  <c r="H4" i="31"/>
  <c r="H6" i="31" s="1"/>
  <c r="G4" i="31"/>
  <c r="G6" i="31" s="1"/>
  <c r="F4" i="31"/>
  <c r="F6" i="31" s="1"/>
  <c r="E4" i="31"/>
  <c r="E6" i="31" s="1"/>
  <c r="D4" i="31"/>
  <c r="D6" i="31" s="1"/>
  <c r="A7" i="3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B6" i="3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K27" i="33" l="1"/>
  <c r="G27" i="33"/>
  <c r="F28" i="33"/>
  <c r="J28" i="33"/>
  <c r="I28" i="33"/>
  <c r="E28" i="33"/>
  <c r="H28" i="33"/>
  <c r="D28" i="33"/>
  <c r="C29" i="33"/>
  <c r="B33" i="3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41" i="32"/>
  <c r="M39" i="32"/>
  <c r="L6" i="31"/>
  <c r="D7" i="31"/>
  <c r="G7" i="31"/>
  <c r="K7" i="31"/>
  <c r="E7" i="31"/>
  <c r="C8" i="31"/>
  <c r="J7" i="31"/>
  <c r="I7" i="31"/>
  <c r="H7" i="31"/>
  <c r="F7" i="31"/>
  <c r="H4" i="29"/>
  <c r="G4" i="29"/>
  <c r="F4" i="29"/>
  <c r="A7" i="29"/>
  <c r="B6" i="29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E4" i="29"/>
  <c r="D4" i="29"/>
  <c r="C4" i="29"/>
  <c r="L27" i="33" l="1"/>
  <c r="M27" i="33"/>
  <c r="G28" i="33"/>
  <c r="K28" i="33"/>
  <c r="D29" i="33"/>
  <c r="J29" i="33"/>
  <c r="I29" i="33"/>
  <c r="H29" i="33"/>
  <c r="E29" i="33"/>
  <c r="C30" i="33"/>
  <c r="F29" i="33"/>
  <c r="N39" i="32"/>
  <c r="C9" i="31"/>
  <c r="D8" i="31"/>
  <c r="G8" i="31"/>
  <c r="H8" i="31"/>
  <c r="F8" i="31"/>
  <c r="E8" i="31"/>
  <c r="K8" i="31"/>
  <c r="J8" i="31"/>
  <c r="I8" i="31"/>
  <c r="L7" i="31"/>
  <c r="B33" i="29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A8" i="29"/>
  <c r="M4" i="28"/>
  <c r="M3" i="28"/>
  <c r="A5" i="28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B4" i="28"/>
  <c r="B5" i="28" s="1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L28" i="33" l="1"/>
  <c r="G29" i="33"/>
  <c r="M29" i="33" s="1"/>
  <c r="M28" i="33"/>
  <c r="K29" i="33"/>
  <c r="E30" i="33"/>
  <c r="I30" i="33"/>
  <c r="J30" i="33"/>
  <c r="H30" i="33"/>
  <c r="C31" i="33"/>
  <c r="D30" i="33"/>
  <c r="F30" i="33"/>
  <c r="O39" i="32"/>
  <c r="L8" i="31"/>
  <c r="C10" i="31"/>
  <c r="D9" i="31"/>
  <c r="G9" i="31"/>
  <c r="F9" i="31"/>
  <c r="J9" i="31"/>
  <c r="I9" i="31"/>
  <c r="H9" i="31"/>
  <c r="K9" i="31"/>
  <c r="E9" i="31"/>
  <c r="B35" i="30"/>
  <c r="A9" i="29"/>
  <c r="L29" i="33" l="1"/>
  <c r="G30" i="33"/>
  <c r="K30" i="33"/>
  <c r="F31" i="33"/>
  <c r="D31" i="33"/>
  <c r="J31" i="33"/>
  <c r="I31" i="33"/>
  <c r="H31" i="33"/>
  <c r="C32" i="33"/>
  <c r="E31" i="33"/>
  <c r="P39" i="32"/>
  <c r="L9" i="31"/>
  <c r="C11" i="31"/>
  <c r="D10" i="31"/>
  <c r="G10" i="31"/>
  <c r="I10" i="31"/>
  <c r="K10" i="31"/>
  <c r="J10" i="31"/>
  <c r="H10" i="31"/>
  <c r="F10" i="31"/>
  <c r="E10" i="31"/>
  <c r="A10" i="29"/>
  <c r="V4" i="27"/>
  <c r="AM3" i="27"/>
  <c r="AJ3" i="27"/>
  <c r="AI3" i="27"/>
  <c r="AH3" i="27"/>
  <c r="AE3" i="27"/>
  <c r="AD3" i="27"/>
  <c r="AB3" i="27"/>
  <c r="Y3" i="27"/>
  <c r="S3" i="26"/>
  <c r="R3" i="26"/>
  <c r="Q3" i="26"/>
  <c r="P3" i="26"/>
  <c r="O3" i="26"/>
  <c r="K31" i="33" l="1"/>
  <c r="G31" i="33"/>
  <c r="L30" i="33"/>
  <c r="M30" i="33"/>
  <c r="H32" i="33"/>
  <c r="J32" i="33"/>
  <c r="I32" i="33"/>
  <c r="F32" i="33"/>
  <c r="C33" i="33"/>
  <c r="E32" i="33"/>
  <c r="D32" i="33"/>
  <c r="Q39" i="32"/>
  <c r="L10" i="31"/>
  <c r="C12" i="31"/>
  <c r="D11" i="31"/>
  <c r="G11" i="31"/>
  <c r="K11" i="31"/>
  <c r="E11" i="31"/>
  <c r="I11" i="31"/>
  <c r="H11" i="31"/>
  <c r="F11" i="31"/>
  <c r="J11" i="31"/>
  <c r="A11" i="29"/>
  <c r="P2" i="27"/>
  <c r="V1" i="26"/>
  <c r="L31" i="33" l="1"/>
  <c r="M31" i="33"/>
  <c r="K32" i="33"/>
  <c r="G32" i="33"/>
  <c r="I33" i="33"/>
  <c r="C34" i="33"/>
  <c r="D33" i="33"/>
  <c r="F33" i="33"/>
  <c r="E33" i="33"/>
  <c r="H33" i="33"/>
  <c r="J33" i="33"/>
  <c r="R39" i="32"/>
  <c r="Q41" i="32"/>
  <c r="L11" i="31"/>
  <c r="C13" i="31"/>
  <c r="D12" i="31"/>
  <c r="G12" i="31"/>
  <c r="H12" i="31"/>
  <c r="F12" i="31"/>
  <c r="E12" i="31"/>
  <c r="K12" i="31"/>
  <c r="J12" i="31"/>
  <c r="I12" i="31"/>
  <c r="A12" i="29"/>
  <c r="H2" i="26"/>
  <c r="G2" i="26"/>
  <c r="F2" i="26"/>
  <c r="E2" i="26"/>
  <c r="D2" i="26"/>
  <c r="C4" i="26"/>
  <c r="C5" i="26" s="1"/>
  <c r="N3" i="26"/>
  <c r="M3" i="26"/>
  <c r="L3" i="26"/>
  <c r="K3" i="26"/>
  <c r="J3" i="26"/>
  <c r="H3" i="26"/>
  <c r="G3" i="26"/>
  <c r="F3" i="26"/>
  <c r="E3" i="26"/>
  <c r="D3" i="26"/>
  <c r="L32" i="33" l="1"/>
  <c r="G33" i="33"/>
  <c r="M33" i="33" s="1"/>
  <c r="M32" i="33"/>
  <c r="K33" i="33"/>
  <c r="E34" i="33"/>
  <c r="J34" i="33"/>
  <c r="C35" i="33"/>
  <c r="I34" i="33"/>
  <c r="H34" i="33"/>
  <c r="F34" i="33"/>
  <c r="D34" i="33"/>
  <c r="S39" i="32"/>
  <c r="L12" i="31"/>
  <c r="C14" i="31"/>
  <c r="D13" i="31"/>
  <c r="G13" i="31"/>
  <c r="F13" i="31"/>
  <c r="J13" i="31"/>
  <c r="I13" i="31"/>
  <c r="H13" i="31"/>
  <c r="K13" i="31"/>
  <c r="E13" i="31"/>
  <c r="A13" i="29"/>
  <c r="E4" i="26"/>
  <c r="F4" i="26"/>
  <c r="H4" i="26"/>
  <c r="H5" i="26"/>
  <c r="D4" i="26"/>
  <c r="D5" i="26"/>
  <c r="E5" i="26"/>
  <c r="C6" i="26"/>
  <c r="F5" i="26"/>
  <c r="G5" i="26"/>
  <c r="G4" i="26"/>
  <c r="G34" i="33" l="1"/>
  <c r="L33" i="33"/>
  <c r="K34" i="33"/>
  <c r="F35" i="33"/>
  <c r="C36" i="33"/>
  <c r="J35" i="33"/>
  <c r="I35" i="33"/>
  <c r="E35" i="33"/>
  <c r="D35" i="33"/>
  <c r="H35" i="33"/>
  <c r="T39" i="32"/>
  <c r="L13" i="31"/>
  <c r="C15" i="31"/>
  <c r="D14" i="31"/>
  <c r="G14" i="31"/>
  <c r="I14" i="31"/>
  <c r="K14" i="31"/>
  <c r="J14" i="31"/>
  <c r="F14" i="31"/>
  <c r="E14" i="31"/>
  <c r="H14" i="31"/>
  <c r="A14" i="29"/>
  <c r="G6" i="26"/>
  <c r="H6" i="26"/>
  <c r="D6" i="26"/>
  <c r="E6" i="26"/>
  <c r="C7" i="26"/>
  <c r="F6" i="26"/>
  <c r="M3" i="24"/>
  <c r="L3" i="24"/>
  <c r="K3" i="24"/>
  <c r="J3" i="24"/>
  <c r="I3" i="24"/>
  <c r="AJ3" i="25"/>
  <c r="AG3" i="25"/>
  <c r="AF3" i="25"/>
  <c r="AB3" i="25"/>
  <c r="Y3" i="25"/>
  <c r="P2" i="25"/>
  <c r="L34" i="33" l="1"/>
  <c r="M34" i="33"/>
  <c r="K35" i="33"/>
  <c r="G35" i="33"/>
  <c r="I36" i="33"/>
  <c r="E36" i="33"/>
  <c r="D36" i="33"/>
  <c r="F36" i="33"/>
  <c r="C37" i="33"/>
  <c r="H36" i="33"/>
  <c r="J36" i="33"/>
  <c r="U39" i="32"/>
  <c r="L14" i="31"/>
  <c r="C16" i="31"/>
  <c r="D15" i="31"/>
  <c r="G15" i="31"/>
  <c r="K15" i="31"/>
  <c r="E15" i="31"/>
  <c r="J15" i="31"/>
  <c r="I15" i="31"/>
  <c r="H15" i="31"/>
  <c r="F15" i="31"/>
  <c r="A15" i="29"/>
  <c r="C8" i="26"/>
  <c r="G7" i="26"/>
  <c r="D7" i="26"/>
  <c r="E7" i="26"/>
  <c r="H7" i="26"/>
  <c r="F7" i="26"/>
  <c r="R4" i="16"/>
  <c r="Q4" i="16"/>
  <c r="P4" i="16"/>
  <c r="O4" i="16"/>
  <c r="N4" i="16"/>
  <c r="H2" i="23"/>
  <c r="G2" i="23"/>
  <c r="F2" i="23"/>
  <c r="E2" i="23"/>
  <c r="D2" i="23"/>
  <c r="R5" i="16"/>
  <c r="Q5" i="16"/>
  <c r="P5" i="16"/>
  <c r="O5" i="16"/>
  <c r="N5" i="16"/>
  <c r="O6" i="12"/>
  <c r="P6" i="12"/>
  <c r="O7" i="12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20" i="12"/>
  <c r="P20" i="12"/>
  <c r="O21" i="12"/>
  <c r="P21" i="12"/>
  <c r="O22" i="12"/>
  <c r="P22" i="12"/>
  <c r="O23" i="12"/>
  <c r="P23" i="12"/>
  <c r="O24" i="12"/>
  <c r="P24" i="12"/>
  <c r="O25" i="12"/>
  <c r="P25" i="12"/>
  <c r="O26" i="12"/>
  <c r="P26" i="12"/>
  <c r="O27" i="12"/>
  <c r="P27" i="12"/>
  <c r="O28" i="12"/>
  <c r="P28" i="12"/>
  <c r="O29" i="12"/>
  <c r="P29" i="12"/>
  <c r="O30" i="12"/>
  <c r="P30" i="12"/>
  <c r="O31" i="12"/>
  <c r="P31" i="12"/>
  <c r="O32" i="12"/>
  <c r="P32" i="12"/>
  <c r="O33" i="12"/>
  <c r="P33" i="12"/>
  <c r="O34" i="12"/>
  <c r="P34" i="12"/>
  <c r="O35" i="12"/>
  <c r="P35" i="12"/>
  <c r="O36" i="12"/>
  <c r="P36" i="12"/>
  <c r="O37" i="12"/>
  <c r="P37" i="12"/>
  <c r="O38" i="12"/>
  <c r="P38" i="12"/>
  <c r="O39" i="12"/>
  <c r="P39" i="12"/>
  <c r="O40" i="12"/>
  <c r="P40" i="12"/>
  <c r="O41" i="12"/>
  <c r="P41" i="12"/>
  <c r="O42" i="12"/>
  <c r="P42" i="12"/>
  <c r="O43" i="12"/>
  <c r="P43" i="12"/>
  <c r="O44" i="12"/>
  <c r="P44" i="12"/>
  <c r="O45" i="12"/>
  <c r="P45" i="12"/>
  <c r="O46" i="12"/>
  <c r="P46" i="12"/>
  <c r="O47" i="12"/>
  <c r="P47" i="12"/>
  <c r="O48" i="12"/>
  <c r="P48" i="12"/>
  <c r="O49" i="12"/>
  <c r="P49" i="12"/>
  <c r="O50" i="12"/>
  <c r="P50" i="12"/>
  <c r="O51" i="12"/>
  <c r="P51" i="12"/>
  <c r="O52" i="12"/>
  <c r="P52" i="12"/>
  <c r="O53" i="12"/>
  <c r="P53" i="12"/>
  <c r="O54" i="12"/>
  <c r="P54" i="12"/>
  <c r="O55" i="12"/>
  <c r="P55" i="12"/>
  <c r="O56" i="12"/>
  <c r="P56" i="12"/>
  <c r="O57" i="12"/>
  <c r="P57" i="12"/>
  <c r="O6" i="11"/>
  <c r="P6" i="11"/>
  <c r="O7" i="11"/>
  <c r="P7" i="11"/>
  <c r="O8" i="11"/>
  <c r="P8" i="11"/>
  <c r="O9" i="11"/>
  <c r="P9" i="11"/>
  <c r="O10" i="11"/>
  <c r="P10" i="11"/>
  <c r="O11" i="11"/>
  <c r="P11" i="11"/>
  <c r="O12" i="11"/>
  <c r="P12" i="11"/>
  <c r="O13" i="11"/>
  <c r="P13" i="11"/>
  <c r="O14" i="11"/>
  <c r="P14" i="11"/>
  <c r="O15" i="11"/>
  <c r="P15" i="11"/>
  <c r="O16" i="11"/>
  <c r="P16" i="11"/>
  <c r="O17" i="11"/>
  <c r="P17" i="11"/>
  <c r="O18" i="11"/>
  <c r="P18" i="11"/>
  <c r="O19" i="11"/>
  <c r="P19" i="11"/>
  <c r="O20" i="11"/>
  <c r="P20" i="11"/>
  <c r="O21" i="11"/>
  <c r="P21" i="11"/>
  <c r="O22" i="11"/>
  <c r="P22" i="11"/>
  <c r="O23" i="11"/>
  <c r="P23" i="11"/>
  <c r="O24" i="11"/>
  <c r="P24" i="11"/>
  <c r="O25" i="11"/>
  <c r="P25" i="11"/>
  <c r="O26" i="11"/>
  <c r="P26" i="11"/>
  <c r="O27" i="11"/>
  <c r="P27" i="11"/>
  <c r="O28" i="11"/>
  <c r="P28" i="11"/>
  <c r="O29" i="11"/>
  <c r="P29" i="11"/>
  <c r="O30" i="11"/>
  <c r="P30" i="11"/>
  <c r="O31" i="11"/>
  <c r="P31" i="11"/>
  <c r="O32" i="11"/>
  <c r="P32" i="11"/>
  <c r="O33" i="11"/>
  <c r="P33" i="11"/>
  <c r="O34" i="11"/>
  <c r="P34" i="11"/>
  <c r="O35" i="11"/>
  <c r="P35" i="11"/>
  <c r="O36" i="11"/>
  <c r="P36" i="11"/>
  <c r="O37" i="11"/>
  <c r="P37" i="11"/>
  <c r="O38" i="11"/>
  <c r="P38" i="11"/>
  <c r="O39" i="11"/>
  <c r="P39" i="11"/>
  <c r="O40" i="11"/>
  <c r="P40" i="11"/>
  <c r="O41" i="11"/>
  <c r="P41" i="11"/>
  <c r="O42" i="11"/>
  <c r="P42" i="11"/>
  <c r="O43" i="11"/>
  <c r="P43" i="11"/>
  <c r="O44" i="11"/>
  <c r="P44" i="11"/>
  <c r="O45" i="11"/>
  <c r="P45" i="11"/>
  <c r="O46" i="11"/>
  <c r="P46" i="11"/>
  <c r="O47" i="11"/>
  <c r="P47" i="11"/>
  <c r="O48" i="11"/>
  <c r="P48" i="11"/>
  <c r="O49" i="11"/>
  <c r="P49" i="11"/>
  <c r="O50" i="11"/>
  <c r="P50" i="11"/>
  <c r="O51" i="11"/>
  <c r="P51" i="11"/>
  <c r="O52" i="11"/>
  <c r="P52" i="11"/>
  <c r="O53" i="11"/>
  <c r="P53" i="11"/>
  <c r="O54" i="11"/>
  <c r="P54" i="11"/>
  <c r="O55" i="11"/>
  <c r="P55" i="11"/>
  <c r="O56" i="11"/>
  <c r="P56" i="11"/>
  <c r="O57" i="11"/>
  <c r="P57" i="11"/>
  <c r="G4" i="14"/>
  <c r="F4" i="14"/>
  <c r="E4" i="14"/>
  <c r="D4" i="14"/>
  <c r="C4" i="14"/>
  <c r="G4" i="13"/>
  <c r="F4" i="13"/>
  <c r="E4" i="13"/>
  <c r="D4" i="13"/>
  <c r="C4" i="13"/>
  <c r="P4" i="12"/>
  <c r="O4" i="12"/>
  <c r="N4" i="12"/>
  <c r="M4" i="12"/>
  <c r="L4" i="12"/>
  <c r="P4" i="11"/>
  <c r="O4" i="11"/>
  <c r="N4" i="11"/>
  <c r="M4" i="11"/>
  <c r="L4" i="11"/>
  <c r="N4" i="10"/>
  <c r="M4" i="10"/>
  <c r="L4" i="10"/>
  <c r="K4" i="10"/>
  <c r="J4" i="10"/>
  <c r="G6" i="9"/>
  <c r="F6" i="9"/>
  <c r="E6" i="9"/>
  <c r="D6" i="9"/>
  <c r="C6" i="9"/>
  <c r="G3" i="24"/>
  <c r="F3" i="24"/>
  <c r="E3" i="24"/>
  <c r="D3" i="24"/>
  <c r="C3" i="24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B4" i="24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P3" i="23"/>
  <c r="O3" i="23"/>
  <c r="N3" i="23"/>
  <c r="M3" i="23"/>
  <c r="L3" i="23"/>
  <c r="H3" i="23"/>
  <c r="G3" i="23"/>
  <c r="F3" i="23"/>
  <c r="E3" i="23"/>
  <c r="D3" i="23"/>
  <c r="A5" i="23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L35" i="33" l="1"/>
  <c r="M35" i="33"/>
  <c r="G36" i="33"/>
  <c r="M36" i="33" s="1"/>
  <c r="K36" i="33"/>
  <c r="J37" i="33"/>
  <c r="E37" i="33"/>
  <c r="H37" i="33"/>
  <c r="C38" i="33"/>
  <c r="I37" i="33"/>
  <c r="D37" i="33"/>
  <c r="F37" i="33"/>
  <c r="V39" i="32"/>
  <c r="C17" i="31"/>
  <c r="D16" i="31"/>
  <c r="G16" i="31"/>
  <c r="H16" i="31"/>
  <c r="F16" i="31"/>
  <c r="E16" i="31"/>
  <c r="K16" i="31"/>
  <c r="J16" i="31"/>
  <c r="I16" i="31"/>
  <c r="L15" i="31"/>
  <c r="A16" i="29"/>
  <c r="N3" i="16"/>
  <c r="C9" i="26"/>
  <c r="E8" i="26"/>
  <c r="F8" i="26"/>
  <c r="H8" i="26"/>
  <c r="D8" i="26"/>
  <c r="G8" i="26"/>
  <c r="B31" i="23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P3" i="16"/>
  <c r="P6" i="3"/>
  <c r="O6" i="3"/>
  <c r="N6" i="3"/>
  <c r="M6" i="3"/>
  <c r="L6" i="3"/>
  <c r="J6" i="3"/>
  <c r="I6" i="3"/>
  <c r="L36" i="33" l="1"/>
  <c r="K37" i="33"/>
  <c r="G37" i="33"/>
  <c r="C39" i="33"/>
  <c r="C41" i="34" s="1"/>
  <c r="J38" i="33"/>
  <c r="E38" i="33"/>
  <c r="D38" i="33"/>
  <c r="I38" i="33"/>
  <c r="H38" i="33"/>
  <c r="F38" i="33"/>
  <c r="W39" i="32"/>
  <c r="L16" i="31"/>
  <c r="C18" i="31"/>
  <c r="D17" i="31"/>
  <c r="G17" i="31"/>
  <c r="F17" i="31"/>
  <c r="H17" i="31"/>
  <c r="K17" i="31"/>
  <c r="J17" i="31"/>
  <c r="I17" i="31"/>
  <c r="E17" i="31"/>
  <c r="A17" i="29"/>
  <c r="V4" i="25"/>
  <c r="C10" i="26"/>
  <c r="H9" i="26"/>
  <c r="E9" i="26"/>
  <c r="F9" i="26"/>
  <c r="D9" i="26"/>
  <c r="G9" i="26"/>
  <c r="L37" i="33" l="1"/>
  <c r="M37" i="33"/>
  <c r="K38" i="33"/>
  <c r="G38" i="33"/>
  <c r="F39" i="33"/>
  <c r="C40" i="33"/>
  <c r="J39" i="33"/>
  <c r="J41" i="34" s="1"/>
  <c r="H39" i="33"/>
  <c r="H41" i="34" s="1"/>
  <c r="E39" i="33"/>
  <c r="I39" i="33"/>
  <c r="I41" i="34" s="1"/>
  <c r="D39" i="33"/>
  <c r="X39" i="32"/>
  <c r="L17" i="31"/>
  <c r="C19" i="31"/>
  <c r="D18" i="31"/>
  <c r="G18" i="31"/>
  <c r="F18" i="31"/>
  <c r="K18" i="31"/>
  <c r="J18" i="31"/>
  <c r="I18" i="31"/>
  <c r="H18" i="31"/>
  <c r="E18" i="31"/>
  <c r="A18" i="29"/>
  <c r="C11" i="26"/>
  <c r="D10" i="26"/>
  <c r="H10" i="26"/>
  <c r="F10" i="26"/>
  <c r="G10" i="26"/>
  <c r="E10" i="26"/>
  <c r="G2" i="9"/>
  <c r="F2" i="9"/>
  <c r="E2" i="9"/>
  <c r="D2" i="9"/>
  <c r="C2" i="9"/>
  <c r="D41" i="34" l="1"/>
  <c r="D43" i="34" s="1"/>
  <c r="E41" i="34"/>
  <c r="E43" i="34" s="1"/>
  <c r="F41" i="34"/>
  <c r="F43" i="34" s="1"/>
  <c r="L38" i="33"/>
  <c r="K39" i="33"/>
  <c r="K41" i="34" s="1"/>
  <c r="M38" i="33"/>
  <c r="G39" i="33"/>
  <c r="D40" i="33"/>
  <c r="C41" i="33"/>
  <c r="H40" i="33"/>
  <c r="F40" i="33"/>
  <c r="I40" i="33"/>
  <c r="E40" i="33"/>
  <c r="J40" i="33"/>
  <c r="Y39" i="32"/>
  <c r="L18" i="31"/>
  <c r="C20" i="31"/>
  <c r="D19" i="31"/>
  <c r="G19" i="31"/>
  <c r="F19" i="31"/>
  <c r="I19" i="31"/>
  <c r="H19" i="31"/>
  <c r="E19" i="31"/>
  <c r="K19" i="31"/>
  <c r="J19" i="31"/>
  <c r="A19" i="29"/>
  <c r="C12" i="26"/>
  <c r="F11" i="26"/>
  <c r="G11" i="26"/>
  <c r="E11" i="26"/>
  <c r="H11" i="26"/>
  <c r="D11" i="26"/>
  <c r="N3" i="22"/>
  <c r="M3" i="22"/>
  <c r="L3" i="22"/>
  <c r="K3" i="22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" i="18"/>
  <c r="L39" i="33" l="1"/>
  <c r="L41" i="34" s="1"/>
  <c r="G41" i="34"/>
  <c r="G40" i="33"/>
  <c r="M40" i="33" s="1"/>
  <c r="K40" i="33"/>
  <c r="M39" i="33"/>
  <c r="M41" i="34" s="1"/>
  <c r="E41" i="33"/>
  <c r="I41" i="33"/>
  <c r="C42" i="33"/>
  <c r="H41" i="33"/>
  <c r="F41" i="33"/>
  <c r="J41" i="33"/>
  <c r="D41" i="33"/>
  <c r="Z39" i="32"/>
  <c r="L19" i="31"/>
  <c r="C21" i="31"/>
  <c r="D20" i="31"/>
  <c r="G20" i="31"/>
  <c r="F20" i="31"/>
  <c r="I20" i="31"/>
  <c r="K20" i="31"/>
  <c r="J20" i="31"/>
  <c r="E20" i="31"/>
  <c r="H20" i="31"/>
  <c r="A20" i="29"/>
  <c r="C13" i="26"/>
  <c r="F12" i="26"/>
  <c r="D12" i="26"/>
  <c r="E12" i="26"/>
  <c r="H12" i="26"/>
  <c r="G12" i="26"/>
  <c r="K28" i="3"/>
  <c r="J28" i="3"/>
  <c r="K27" i="3"/>
  <c r="J27" i="3"/>
  <c r="K26" i="3"/>
  <c r="J26" i="3"/>
  <c r="K25" i="3"/>
  <c r="J25" i="3"/>
  <c r="K24" i="3"/>
  <c r="J24" i="3"/>
  <c r="K23" i="3"/>
  <c r="J23" i="3"/>
  <c r="L40" i="33" l="1"/>
  <c r="G41" i="33"/>
  <c r="M41" i="33" s="1"/>
  <c r="K41" i="33"/>
  <c r="F42" i="33"/>
  <c r="D42" i="33"/>
  <c r="J42" i="33"/>
  <c r="I42" i="33"/>
  <c r="H42" i="33"/>
  <c r="C43" i="33"/>
  <c r="E42" i="33"/>
  <c r="AA39" i="32"/>
  <c r="L20" i="31"/>
  <c r="C22" i="31"/>
  <c r="D21" i="31"/>
  <c r="G21" i="31"/>
  <c r="F21" i="31"/>
  <c r="E21" i="31"/>
  <c r="K21" i="31"/>
  <c r="J21" i="31"/>
  <c r="I21" i="31"/>
  <c r="H21" i="31"/>
  <c r="A21" i="29"/>
  <c r="C14" i="26"/>
  <c r="D13" i="26"/>
  <c r="E13" i="26"/>
  <c r="H13" i="26"/>
  <c r="F13" i="26"/>
  <c r="G13" i="26"/>
  <c r="J29" i="3"/>
  <c r="C3" i="8" s="1"/>
  <c r="K29" i="3"/>
  <c r="D3" i="8" s="1"/>
  <c r="D3" i="7"/>
  <c r="D9" i="7" s="1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B6" i="22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A7" i="2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4" i="19"/>
  <c r="B4" i="17"/>
  <c r="B4" i="6"/>
  <c r="B15" i="4"/>
  <c r="B6" i="16"/>
  <c r="B5" i="14"/>
  <c r="B5" i="13"/>
  <c r="B5" i="12"/>
  <c r="B5" i="11"/>
  <c r="B5" i="18"/>
  <c r="B5" i="10"/>
  <c r="B5" i="15"/>
  <c r="B5" i="8"/>
  <c r="B7" i="9"/>
  <c r="B5" i="7"/>
  <c r="G42" i="33" l="1"/>
  <c r="M42" i="33" s="1"/>
  <c r="L41" i="33"/>
  <c r="K42" i="33"/>
  <c r="H43" i="33"/>
  <c r="J43" i="33"/>
  <c r="D43" i="33"/>
  <c r="E43" i="33"/>
  <c r="C44" i="33"/>
  <c r="I43" i="33"/>
  <c r="F43" i="33"/>
  <c r="AB39" i="32"/>
  <c r="L21" i="31"/>
  <c r="C23" i="31"/>
  <c r="D22" i="31"/>
  <c r="G22" i="31"/>
  <c r="F22" i="31"/>
  <c r="E22" i="31"/>
  <c r="J22" i="31"/>
  <c r="I22" i="31"/>
  <c r="H22" i="31"/>
  <c r="K22" i="31"/>
  <c r="A22" i="29"/>
  <c r="C15" i="26"/>
  <c r="G14" i="26"/>
  <c r="H14" i="26"/>
  <c r="D14" i="26"/>
  <c r="F14" i="26"/>
  <c r="E14" i="26"/>
  <c r="D41" i="7"/>
  <c r="C3" i="7"/>
  <c r="C23" i="7" s="1"/>
  <c r="D22" i="7"/>
  <c r="D53" i="7"/>
  <c r="D16" i="7"/>
  <c r="D19" i="7"/>
  <c r="D31" i="7"/>
  <c r="D34" i="7"/>
  <c r="D7" i="7"/>
  <c r="D10" i="7"/>
  <c r="D13" i="7"/>
  <c r="D36" i="7"/>
  <c r="D56" i="7"/>
  <c r="D40" i="7"/>
  <c r="D43" i="7"/>
  <c r="D10" i="8"/>
  <c r="D23" i="8"/>
  <c r="D14" i="8"/>
  <c r="D43" i="8"/>
  <c r="D16" i="8"/>
  <c r="D56" i="8"/>
  <c r="D47" i="8"/>
  <c r="D53" i="8"/>
  <c r="D32" i="8"/>
  <c r="D52" i="8"/>
  <c r="D27" i="8"/>
  <c r="D55" i="8"/>
  <c r="D20" i="8"/>
  <c r="D22" i="8"/>
  <c r="D13" i="8"/>
  <c r="D48" i="8"/>
  <c r="D7" i="8"/>
  <c r="D6" i="8"/>
  <c r="D46" i="8"/>
  <c r="D35" i="8"/>
  <c r="D38" i="8"/>
  <c r="D5" i="8"/>
  <c r="D25" i="8"/>
  <c r="D54" i="8"/>
  <c r="D8" i="8"/>
  <c r="D34" i="8"/>
  <c r="D9" i="8"/>
  <c r="D30" i="8"/>
  <c r="D41" i="8"/>
  <c r="D21" i="8"/>
  <c r="D12" i="8"/>
  <c r="D49" i="8"/>
  <c r="D40" i="8"/>
  <c r="D31" i="8"/>
  <c r="D45" i="8"/>
  <c r="D44" i="8"/>
  <c r="D19" i="8"/>
  <c r="D50" i="8"/>
  <c r="D33" i="8"/>
  <c r="D24" i="8"/>
  <c r="D15" i="8"/>
  <c r="D37" i="8"/>
  <c r="D36" i="8"/>
  <c r="D11" i="8"/>
  <c r="D42" i="8"/>
  <c r="D57" i="8"/>
  <c r="D29" i="8"/>
  <c r="D28" i="8"/>
  <c r="D26" i="8"/>
  <c r="D39" i="8"/>
  <c r="D17" i="8"/>
  <c r="D51" i="8"/>
  <c r="D18" i="8"/>
  <c r="D32" i="7"/>
  <c r="D23" i="7"/>
  <c r="D14" i="7"/>
  <c r="D52" i="7"/>
  <c r="D35" i="7"/>
  <c r="D26" i="7"/>
  <c r="D33" i="7"/>
  <c r="D24" i="7"/>
  <c r="D15" i="7"/>
  <c r="D6" i="7"/>
  <c r="D44" i="7"/>
  <c r="D27" i="7"/>
  <c r="D18" i="7"/>
  <c r="D49" i="7"/>
  <c r="D8" i="7"/>
  <c r="D54" i="7"/>
  <c r="D45" i="7"/>
  <c r="D28" i="7"/>
  <c r="D11" i="7"/>
  <c r="D57" i="7"/>
  <c r="D46" i="7"/>
  <c r="D20" i="7"/>
  <c r="D5" i="7"/>
  <c r="D48" i="7"/>
  <c r="D47" i="7"/>
  <c r="D38" i="7"/>
  <c r="D29" i="7"/>
  <c r="D12" i="7"/>
  <c r="D50" i="7"/>
  <c r="D25" i="7"/>
  <c r="D55" i="7"/>
  <c r="D37" i="7"/>
  <c r="D39" i="7"/>
  <c r="D30" i="7"/>
  <c r="D21" i="7"/>
  <c r="D51" i="7"/>
  <c r="D42" i="7"/>
  <c r="D17" i="7"/>
  <c r="C13" i="8"/>
  <c r="C44" i="8"/>
  <c r="C19" i="8"/>
  <c r="C43" i="8"/>
  <c r="C26" i="8"/>
  <c r="C9" i="8"/>
  <c r="C16" i="8"/>
  <c r="C35" i="8"/>
  <c r="C15" i="8"/>
  <c r="C54" i="8"/>
  <c r="C29" i="8"/>
  <c r="C12" i="8"/>
  <c r="C57" i="8"/>
  <c r="C52" i="8"/>
  <c r="C5" i="8"/>
  <c r="C32" i="8"/>
  <c r="C45" i="8"/>
  <c r="C51" i="8"/>
  <c r="C42" i="8"/>
  <c r="C37" i="8"/>
  <c r="C28" i="8"/>
  <c r="C27" i="8"/>
  <c r="C10" i="8"/>
  <c r="C8" i="8"/>
  <c r="C11" i="8"/>
  <c r="C7" i="8"/>
  <c r="C46" i="8"/>
  <c r="C21" i="8"/>
  <c r="C38" i="8"/>
  <c r="C40" i="8"/>
  <c r="C39" i="8"/>
  <c r="C14" i="8"/>
  <c r="C33" i="8"/>
  <c r="C31" i="8"/>
  <c r="C6" i="8"/>
  <c r="C17" i="8"/>
  <c r="C50" i="8"/>
  <c r="C41" i="8"/>
  <c r="C36" i="8"/>
  <c r="C56" i="8"/>
  <c r="C55" i="8"/>
  <c r="C30" i="8"/>
  <c r="C34" i="8"/>
  <c r="C25" i="8"/>
  <c r="C20" i="8"/>
  <c r="C48" i="8"/>
  <c r="C47" i="8"/>
  <c r="C22" i="8"/>
  <c r="C18" i="8"/>
  <c r="C49" i="8"/>
  <c r="C53" i="8"/>
  <c r="C24" i="8"/>
  <c r="C23" i="8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G24" i="9"/>
  <c r="G25" i="9"/>
  <c r="G26" i="9"/>
  <c r="G27" i="9"/>
  <c r="G28" i="9"/>
  <c r="G29" i="9"/>
  <c r="G30" i="9"/>
  <c r="G31" i="9"/>
  <c r="F32" i="9"/>
  <c r="G32" i="9"/>
  <c r="F33" i="9"/>
  <c r="F34" i="9"/>
  <c r="F35" i="9"/>
  <c r="F36" i="9"/>
  <c r="F37" i="9"/>
  <c r="F38" i="9"/>
  <c r="F39" i="9"/>
  <c r="F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G7" i="9"/>
  <c r="F7" i="9"/>
  <c r="G5" i="9"/>
  <c r="F5" i="9"/>
  <c r="E5" i="9"/>
  <c r="E8" i="9" s="1"/>
  <c r="D5" i="9"/>
  <c r="D11" i="9" s="1"/>
  <c r="C5" i="9"/>
  <c r="C8" i="9" s="1"/>
  <c r="L42" i="33" l="1"/>
  <c r="G43" i="33"/>
  <c r="K43" i="33"/>
  <c r="I44" i="33"/>
  <c r="F44" i="33"/>
  <c r="D44" i="33"/>
  <c r="J44" i="33"/>
  <c r="H44" i="33"/>
  <c r="K44" i="33" s="1"/>
  <c r="C45" i="33"/>
  <c r="E44" i="33"/>
  <c r="AC39" i="32"/>
  <c r="L22" i="31"/>
  <c r="C24" i="31"/>
  <c r="D23" i="31"/>
  <c r="G23" i="31"/>
  <c r="F23" i="31"/>
  <c r="J23" i="31"/>
  <c r="K23" i="31"/>
  <c r="H23" i="31"/>
  <c r="E23" i="31"/>
  <c r="I23" i="31"/>
  <c r="A23" i="29"/>
  <c r="C57" i="7"/>
  <c r="C16" i="26"/>
  <c r="G15" i="26"/>
  <c r="D15" i="26"/>
  <c r="F15" i="26"/>
  <c r="H15" i="26"/>
  <c r="E15" i="26"/>
  <c r="C41" i="7"/>
  <c r="C8" i="7"/>
  <c r="C47" i="7"/>
  <c r="C17" i="7"/>
  <c r="C42" i="7"/>
  <c r="C7" i="7"/>
  <c r="C6" i="7"/>
  <c r="C15" i="7"/>
  <c r="C51" i="7"/>
  <c r="C44" i="7"/>
  <c r="C43" i="7"/>
  <c r="C24" i="7"/>
  <c r="C29" i="7"/>
  <c r="C14" i="7"/>
  <c r="C49" i="7"/>
  <c r="C26" i="7"/>
  <c r="C30" i="7"/>
  <c r="C46" i="7"/>
  <c r="C39" i="7"/>
  <c r="C45" i="7"/>
  <c r="C20" i="7"/>
  <c r="C27" i="7"/>
  <c r="C56" i="7"/>
  <c r="C54" i="7"/>
  <c r="C10" i="7"/>
  <c r="C34" i="7"/>
  <c r="C11" i="7"/>
  <c r="C48" i="7"/>
  <c r="C37" i="7"/>
  <c r="C33" i="7"/>
  <c r="C28" i="7"/>
  <c r="C31" i="7"/>
  <c r="C53" i="7"/>
  <c r="C25" i="7"/>
  <c r="C19" i="7"/>
  <c r="C22" i="7"/>
  <c r="C32" i="7"/>
  <c r="C21" i="7"/>
  <c r="C38" i="7"/>
  <c r="C55" i="7"/>
  <c r="C40" i="7"/>
  <c r="C52" i="7"/>
  <c r="C12" i="7"/>
  <c r="C9" i="7"/>
  <c r="C18" i="7"/>
  <c r="C35" i="7"/>
  <c r="C50" i="7"/>
  <c r="C16" i="7"/>
  <c r="C5" i="7"/>
  <c r="C36" i="7"/>
  <c r="C13" i="7"/>
  <c r="E54" i="9"/>
  <c r="E17" i="9"/>
  <c r="E46" i="9"/>
  <c r="E37" i="9"/>
  <c r="E49" i="9"/>
  <c r="E29" i="9"/>
  <c r="E12" i="9"/>
  <c r="E57" i="9"/>
  <c r="E20" i="9"/>
  <c r="E9" i="9"/>
  <c r="E41" i="9"/>
  <c r="E33" i="9"/>
  <c r="E59" i="9"/>
  <c r="E51" i="9"/>
  <c r="E43" i="9"/>
  <c r="E36" i="9"/>
  <c r="E14" i="9"/>
  <c r="E32" i="9"/>
  <c r="E19" i="9"/>
  <c r="E11" i="9"/>
  <c r="E53" i="9"/>
  <c r="E45" i="9"/>
  <c r="E39" i="9"/>
  <c r="E35" i="9"/>
  <c r="E16" i="9"/>
  <c r="E7" i="9"/>
  <c r="E58" i="9"/>
  <c r="E50" i="9"/>
  <c r="E42" i="9"/>
  <c r="E31" i="9"/>
  <c r="E13" i="9"/>
  <c r="E55" i="9"/>
  <c r="E47" i="9"/>
  <c r="E38" i="9"/>
  <c r="E34" i="9"/>
  <c r="E18" i="9"/>
  <c r="E10" i="9"/>
  <c r="E52" i="9"/>
  <c r="E44" i="9"/>
  <c r="E30" i="9"/>
  <c r="E15" i="9"/>
  <c r="E40" i="9"/>
  <c r="E56" i="9"/>
  <c r="E48" i="9"/>
  <c r="C51" i="9"/>
  <c r="C46" i="9"/>
  <c r="C11" i="9"/>
  <c r="C59" i="9"/>
  <c r="C54" i="9"/>
  <c r="C14" i="9"/>
  <c r="D31" i="9"/>
  <c r="D7" i="9"/>
  <c r="D54" i="9"/>
  <c r="D52" i="9"/>
  <c r="D35" i="9"/>
  <c r="D29" i="9"/>
  <c r="D14" i="9"/>
  <c r="D12" i="9"/>
  <c r="D41" i="9"/>
  <c r="C43" i="9"/>
  <c r="D51" i="9"/>
  <c r="D49" i="9"/>
  <c r="D37" i="9"/>
  <c r="D9" i="9"/>
  <c r="D33" i="9"/>
  <c r="D27" i="9"/>
  <c r="D59" i="9"/>
  <c r="D57" i="9"/>
  <c r="D46" i="9"/>
  <c r="D44" i="9"/>
  <c r="D39" i="9"/>
  <c r="D17" i="9"/>
  <c r="C49" i="9"/>
  <c r="C41" i="9"/>
  <c r="C37" i="9"/>
  <c r="D47" i="9"/>
  <c r="D50" i="9"/>
  <c r="C9" i="9"/>
  <c r="D55" i="9"/>
  <c r="C52" i="9"/>
  <c r="C44" i="9"/>
  <c r="C31" i="9"/>
  <c r="C29" i="9"/>
  <c r="C27" i="9"/>
  <c r="C25" i="9"/>
  <c r="D15" i="9"/>
  <c r="C12" i="9"/>
  <c r="D58" i="9"/>
  <c r="C55" i="9"/>
  <c r="C47" i="9"/>
  <c r="D42" i="9"/>
  <c r="D18" i="9"/>
  <c r="C15" i="9"/>
  <c r="D10" i="9"/>
  <c r="C58" i="9"/>
  <c r="D53" i="9"/>
  <c r="C50" i="9"/>
  <c r="D45" i="9"/>
  <c r="C42" i="9"/>
  <c r="D40" i="9"/>
  <c r="D38" i="9"/>
  <c r="D36" i="9"/>
  <c r="D34" i="9"/>
  <c r="D13" i="9"/>
  <c r="C10" i="9"/>
  <c r="D56" i="9"/>
  <c r="C53" i="9"/>
  <c r="D48" i="9"/>
  <c r="C45" i="9"/>
  <c r="C40" i="9"/>
  <c r="C38" i="9"/>
  <c r="C36" i="9"/>
  <c r="C34" i="9"/>
  <c r="D32" i="9"/>
  <c r="D30" i="9"/>
  <c r="D28" i="9"/>
  <c r="D16" i="9"/>
  <c r="C13" i="9"/>
  <c r="D8" i="9"/>
  <c r="C57" i="9"/>
  <c r="C39" i="9"/>
  <c r="C35" i="9"/>
  <c r="C33" i="9"/>
  <c r="C7" i="9"/>
  <c r="C56" i="9"/>
  <c r="C48" i="9"/>
  <c r="D43" i="9"/>
  <c r="C32" i="9"/>
  <c r="C30" i="9"/>
  <c r="C28" i="9"/>
  <c r="C26" i="9"/>
  <c r="C24" i="9"/>
  <c r="L43" i="33" l="1"/>
  <c r="G44" i="33"/>
  <c r="L44" i="33" s="1"/>
  <c r="M43" i="33"/>
  <c r="J45" i="33"/>
  <c r="I45" i="33"/>
  <c r="D45" i="33"/>
  <c r="E45" i="33"/>
  <c r="H45" i="33"/>
  <c r="F45" i="33"/>
  <c r="C46" i="33"/>
  <c r="AD39" i="32"/>
  <c r="L23" i="31"/>
  <c r="C25" i="31"/>
  <c r="D24" i="31"/>
  <c r="G24" i="31"/>
  <c r="F24" i="31"/>
  <c r="H24" i="31"/>
  <c r="E24" i="31"/>
  <c r="K24" i="31"/>
  <c r="J24" i="31"/>
  <c r="I24" i="31"/>
  <c r="A24" i="29"/>
  <c r="C17" i="26"/>
  <c r="E16" i="26"/>
  <c r="F16" i="26"/>
  <c r="G16" i="26"/>
  <c r="H16" i="26"/>
  <c r="D16" i="26"/>
  <c r="G4" i="9"/>
  <c r="F4" i="9"/>
  <c r="E4" i="9"/>
  <c r="D4" i="9"/>
  <c r="C4" i="9"/>
  <c r="G45" i="33" l="1"/>
  <c r="M45" i="33" s="1"/>
  <c r="M44" i="33"/>
  <c r="K45" i="33"/>
  <c r="C47" i="33"/>
  <c r="F46" i="33"/>
  <c r="E46" i="33"/>
  <c r="D46" i="33"/>
  <c r="I46" i="33"/>
  <c r="J46" i="33"/>
  <c r="H46" i="33"/>
  <c r="AE39" i="32"/>
  <c r="L24" i="31"/>
  <c r="C26" i="31"/>
  <c r="D25" i="31"/>
  <c r="G25" i="31"/>
  <c r="F25" i="31"/>
  <c r="H25" i="31"/>
  <c r="K25" i="31"/>
  <c r="J25" i="31"/>
  <c r="I25" i="31"/>
  <c r="E25" i="31"/>
  <c r="A25" i="29"/>
  <c r="C18" i="26"/>
  <c r="H17" i="26"/>
  <c r="E17" i="26"/>
  <c r="D17" i="26"/>
  <c r="F17" i="26"/>
  <c r="G17" i="26"/>
  <c r="D25" i="9"/>
  <c r="D26" i="9"/>
  <c r="D23" i="9"/>
  <c r="D21" i="9"/>
  <c r="D24" i="9"/>
  <c r="D22" i="9"/>
  <c r="D20" i="9"/>
  <c r="D19" i="9"/>
  <c r="C18" i="9"/>
  <c r="C19" i="9"/>
  <c r="C21" i="9"/>
  <c r="C22" i="9"/>
  <c r="C17" i="9"/>
  <c r="C23" i="9"/>
  <c r="C16" i="9"/>
  <c r="C20" i="9"/>
  <c r="E25" i="9"/>
  <c r="E22" i="9"/>
  <c r="E26" i="9"/>
  <c r="E21" i="9"/>
  <c r="E27" i="9"/>
  <c r="E23" i="9"/>
  <c r="E28" i="9"/>
  <c r="E24" i="9"/>
  <c r="G36" i="9"/>
  <c r="G38" i="9"/>
  <c r="G40" i="9"/>
  <c r="G37" i="9"/>
  <c r="G34" i="9"/>
  <c r="G39" i="9"/>
  <c r="G33" i="9"/>
  <c r="G35" i="9"/>
  <c r="F25" i="9"/>
  <c r="F30" i="9"/>
  <c r="F27" i="9"/>
  <c r="F24" i="9"/>
  <c r="F29" i="9"/>
  <c r="F26" i="9"/>
  <c r="F31" i="9"/>
  <c r="F28" i="9"/>
  <c r="K46" i="33" l="1"/>
  <c r="L45" i="33"/>
  <c r="G46" i="33"/>
  <c r="J47" i="33"/>
  <c r="E47" i="33"/>
  <c r="C48" i="33"/>
  <c r="I47" i="33"/>
  <c r="H47" i="33"/>
  <c r="D47" i="33"/>
  <c r="F47" i="33"/>
  <c r="L25" i="31"/>
  <c r="C27" i="31"/>
  <c r="D26" i="31"/>
  <c r="H26" i="31"/>
  <c r="G26" i="31"/>
  <c r="F26" i="31"/>
  <c r="J26" i="31"/>
  <c r="I26" i="31"/>
  <c r="E26" i="31"/>
  <c r="K26" i="31"/>
  <c r="A26" i="29"/>
  <c r="C19" i="26"/>
  <c r="D18" i="26"/>
  <c r="H18" i="26"/>
  <c r="E18" i="26"/>
  <c r="F18" i="26"/>
  <c r="G18" i="26"/>
  <c r="F13" i="4"/>
  <c r="E13" i="4"/>
  <c r="D13" i="4"/>
  <c r="F8" i="4"/>
  <c r="D8" i="4"/>
  <c r="K8" i="4"/>
  <c r="J8" i="4"/>
  <c r="I8" i="4"/>
  <c r="K13" i="4"/>
  <c r="J13" i="4"/>
  <c r="I13" i="4"/>
  <c r="J3" i="4"/>
  <c r="E3" i="4"/>
  <c r="E8" i="4" s="1"/>
  <c r="L46" i="33" l="1"/>
  <c r="M46" i="33"/>
  <c r="G47" i="33"/>
  <c r="M47" i="33" s="1"/>
  <c r="K47" i="33"/>
  <c r="D48" i="33"/>
  <c r="I48" i="33"/>
  <c r="C49" i="33"/>
  <c r="H48" i="33"/>
  <c r="F48" i="33"/>
  <c r="J48" i="33"/>
  <c r="E48" i="33"/>
  <c r="L26" i="31"/>
  <c r="C28" i="31"/>
  <c r="D27" i="31"/>
  <c r="H27" i="31"/>
  <c r="G27" i="31"/>
  <c r="F27" i="31"/>
  <c r="E27" i="31"/>
  <c r="K27" i="31"/>
  <c r="J27" i="31"/>
  <c r="I27" i="31"/>
  <c r="A27" i="29"/>
  <c r="C20" i="26"/>
  <c r="F19" i="26"/>
  <c r="G19" i="26"/>
  <c r="D19" i="26"/>
  <c r="E19" i="26"/>
  <c r="H19" i="26"/>
  <c r="B6" i="3"/>
  <c r="L47" i="33" l="1"/>
  <c r="K48" i="33"/>
  <c r="G48" i="33"/>
  <c r="E49" i="33"/>
  <c r="D49" i="33"/>
  <c r="C50" i="33"/>
  <c r="H49" i="33"/>
  <c r="J49" i="33"/>
  <c r="I49" i="33"/>
  <c r="F49" i="33"/>
  <c r="C41" i="32"/>
  <c r="L27" i="31"/>
  <c r="C29" i="31"/>
  <c r="D28" i="31"/>
  <c r="K28" i="31"/>
  <c r="H28" i="31"/>
  <c r="G28" i="31"/>
  <c r="F28" i="31"/>
  <c r="J28" i="31"/>
  <c r="I28" i="31"/>
  <c r="E28" i="31"/>
  <c r="A28" i="29"/>
  <c r="C21" i="26"/>
  <c r="F20" i="26"/>
  <c r="D20" i="26"/>
  <c r="G20" i="26"/>
  <c r="H20" i="26"/>
  <c r="E20" i="26"/>
  <c r="H4" i="3"/>
  <c r="L4" i="3" s="1"/>
  <c r="B54" i="3"/>
  <c r="B55" i="3"/>
  <c r="C4" i="2"/>
  <c r="C4" i="23" s="1"/>
  <c r="C6" i="21"/>
  <c r="C24" i="21"/>
  <c r="A24" i="21"/>
  <c r="B24" i="21" s="1"/>
  <c r="A23" i="21"/>
  <c r="C23" i="21" s="1"/>
  <c r="A7" i="21"/>
  <c r="A8" i="21" s="1"/>
  <c r="A6" i="21"/>
  <c r="A5" i="21"/>
  <c r="C5" i="21"/>
  <c r="C4" i="21"/>
  <c r="B4" i="21"/>
  <c r="P2" i="20"/>
  <c r="G49" i="33" l="1"/>
  <c r="L48" i="33"/>
  <c r="K49" i="33"/>
  <c r="M48" i="33"/>
  <c r="M49" i="33"/>
  <c r="F50" i="33"/>
  <c r="J50" i="33"/>
  <c r="C51" i="33"/>
  <c r="I50" i="33"/>
  <c r="D50" i="33"/>
  <c r="H50" i="33"/>
  <c r="E50" i="33"/>
  <c r="E41" i="32"/>
  <c r="I41" i="32"/>
  <c r="J41" i="32"/>
  <c r="H41" i="32"/>
  <c r="F41" i="32"/>
  <c r="G41" i="32"/>
  <c r="K41" i="32"/>
  <c r="D41" i="32"/>
  <c r="L28" i="31"/>
  <c r="L41" i="32" s="1"/>
  <c r="C30" i="31"/>
  <c r="D29" i="31"/>
  <c r="K29" i="31"/>
  <c r="H29" i="31"/>
  <c r="G29" i="31"/>
  <c r="F29" i="31"/>
  <c r="I29" i="31"/>
  <c r="J29" i="31"/>
  <c r="E29" i="31"/>
  <c r="A29" i="29"/>
  <c r="C22" i="26"/>
  <c r="D21" i="26"/>
  <c r="E21" i="26"/>
  <c r="G21" i="26"/>
  <c r="H21" i="26"/>
  <c r="F21" i="26"/>
  <c r="H4" i="23"/>
  <c r="G4" i="23"/>
  <c r="D4" i="23"/>
  <c r="E4" i="23"/>
  <c r="F4" i="23"/>
  <c r="H8" i="3"/>
  <c r="I4" i="3"/>
  <c r="I5" i="3" s="1"/>
  <c r="D3" i="22"/>
  <c r="D6" i="22" s="1"/>
  <c r="E2" i="16"/>
  <c r="H2" i="16"/>
  <c r="L5" i="3"/>
  <c r="O4" i="3"/>
  <c r="O5" i="3" s="1"/>
  <c r="N4" i="3"/>
  <c r="N5" i="3" s="1"/>
  <c r="M4" i="3"/>
  <c r="M5" i="3" s="1"/>
  <c r="P4" i="3"/>
  <c r="P5" i="3" s="1"/>
  <c r="F2" i="16"/>
  <c r="D2" i="16"/>
  <c r="C2" i="16"/>
  <c r="G2" i="16"/>
  <c r="C3" i="22"/>
  <c r="C6" i="22" s="1"/>
  <c r="E5" i="7"/>
  <c r="E4" i="2"/>
  <c r="C5" i="2"/>
  <c r="C5" i="23" s="1"/>
  <c r="V4" i="20"/>
  <c r="B23" i="21"/>
  <c r="A9" i="21"/>
  <c r="C8" i="21"/>
  <c r="B8" i="21"/>
  <c r="B7" i="21"/>
  <c r="C7" i="21"/>
  <c r="B6" i="21"/>
  <c r="B5" i="21"/>
  <c r="L49" i="33" l="1"/>
  <c r="K50" i="33"/>
  <c r="G50" i="33"/>
  <c r="H51" i="33"/>
  <c r="E51" i="33"/>
  <c r="D51" i="33"/>
  <c r="C52" i="33"/>
  <c r="I51" i="33"/>
  <c r="F51" i="33"/>
  <c r="J51" i="33"/>
  <c r="L29" i="31"/>
  <c r="C31" i="31"/>
  <c r="D30" i="31"/>
  <c r="K30" i="31"/>
  <c r="H30" i="31"/>
  <c r="G30" i="31"/>
  <c r="F30" i="31"/>
  <c r="I30" i="31"/>
  <c r="E30" i="31"/>
  <c r="J30" i="31"/>
  <c r="D4" i="2"/>
  <c r="C4" i="28"/>
  <c r="A30" i="29"/>
  <c r="C23" i="26"/>
  <c r="G22" i="26"/>
  <c r="H22" i="26"/>
  <c r="D22" i="26"/>
  <c r="E22" i="26"/>
  <c r="F22" i="26"/>
  <c r="D5" i="23"/>
  <c r="H5" i="23"/>
  <c r="F5" i="23"/>
  <c r="E5" i="23"/>
  <c r="G5" i="23"/>
  <c r="I8" i="3"/>
  <c r="I9" i="3" s="1"/>
  <c r="I11" i="3" s="1"/>
  <c r="O8" i="3"/>
  <c r="O9" i="3" s="1"/>
  <c r="O11" i="3" s="1"/>
  <c r="N8" i="3"/>
  <c r="N9" i="3" s="1"/>
  <c r="N11" i="3" s="1"/>
  <c r="M8" i="3"/>
  <c r="M9" i="3" s="1"/>
  <c r="M11" i="3" s="1"/>
  <c r="L8" i="3"/>
  <c r="L9" i="3" s="1"/>
  <c r="L11" i="3" s="1"/>
  <c r="P8" i="3"/>
  <c r="P9" i="3" s="1"/>
  <c r="P11" i="3" s="1"/>
  <c r="N7" i="3"/>
  <c r="M7" i="3"/>
  <c r="O7" i="3"/>
  <c r="O10" i="3" s="1"/>
  <c r="P7" i="3"/>
  <c r="L7" i="3"/>
  <c r="K5" i="3"/>
  <c r="I7" i="3"/>
  <c r="K4" i="3"/>
  <c r="K8" i="3" s="1"/>
  <c r="J4" i="3"/>
  <c r="J5" i="3" s="1"/>
  <c r="C7" i="22"/>
  <c r="D7" i="22"/>
  <c r="E5" i="2"/>
  <c r="C5" i="28" s="1"/>
  <c r="C6" i="2"/>
  <c r="C6" i="23" s="1"/>
  <c r="B9" i="21"/>
  <c r="A10" i="21"/>
  <c r="C9" i="21"/>
  <c r="B5" i="19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L50" i="33" l="1"/>
  <c r="G51" i="33"/>
  <c r="M51" i="33" s="1"/>
  <c r="K51" i="33"/>
  <c r="M50" i="33"/>
  <c r="I52" i="33"/>
  <c r="J52" i="33"/>
  <c r="C53" i="33"/>
  <c r="H52" i="33"/>
  <c r="D52" i="33"/>
  <c r="F52" i="33"/>
  <c r="E52" i="33"/>
  <c r="L30" i="31"/>
  <c r="C32" i="31"/>
  <c r="D31" i="31"/>
  <c r="K31" i="31"/>
  <c r="H31" i="31"/>
  <c r="G31" i="31"/>
  <c r="F31" i="31"/>
  <c r="I31" i="31"/>
  <c r="E31" i="31"/>
  <c r="J31" i="31"/>
  <c r="L10" i="3"/>
  <c r="P10" i="3"/>
  <c r="A31" i="29"/>
  <c r="C24" i="26"/>
  <c r="G23" i="26"/>
  <c r="E23" i="26"/>
  <c r="F23" i="26"/>
  <c r="D23" i="26"/>
  <c r="H23" i="26"/>
  <c r="G6" i="23"/>
  <c r="D6" i="23"/>
  <c r="F6" i="23"/>
  <c r="H6" i="23"/>
  <c r="E6" i="23"/>
  <c r="J8" i="3"/>
  <c r="J9" i="3" s="1"/>
  <c r="J11" i="3" s="1"/>
  <c r="H11" i="3" s="1"/>
  <c r="M10" i="3"/>
  <c r="N10" i="3"/>
  <c r="K9" i="3"/>
  <c r="K11" i="3"/>
  <c r="K7" i="3"/>
  <c r="I10" i="3"/>
  <c r="C8" i="22"/>
  <c r="D8" i="22"/>
  <c r="C7" i="2"/>
  <c r="C7" i="23" s="1"/>
  <c r="E6" i="2"/>
  <c r="D5" i="2"/>
  <c r="A11" i="21"/>
  <c r="C10" i="21"/>
  <c r="B10" i="21"/>
  <c r="B6" i="18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A6" i="18"/>
  <c r="A7" i="18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K52" i="33" l="1"/>
  <c r="G52" i="33"/>
  <c r="L51" i="33"/>
  <c r="J53" i="33"/>
  <c r="E53" i="33"/>
  <c r="C54" i="33"/>
  <c r="D53" i="33"/>
  <c r="H53" i="33"/>
  <c r="I53" i="33"/>
  <c r="F53" i="33"/>
  <c r="L31" i="31"/>
  <c r="C33" i="31"/>
  <c r="D32" i="31"/>
  <c r="K32" i="31"/>
  <c r="H32" i="31"/>
  <c r="G32" i="31"/>
  <c r="F32" i="31"/>
  <c r="E32" i="31"/>
  <c r="J32" i="31"/>
  <c r="I32" i="31"/>
  <c r="D6" i="2"/>
  <c r="C6" i="28"/>
  <c r="A32" i="29"/>
  <c r="C25" i="26"/>
  <c r="E24" i="26"/>
  <c r="F24" i="26"/>
  <c r="D24" i="26"/>
  <c r="H24" i="26"/>
  <c r="G24" i="26"/>
  <c r="G7" i="23"/>
  <c r="E7" i="23"/>
  <c r="H7" i="23"/>
  <c r="D7" i="23"/>
  <c r="F7" i="23"/>
  <c r="K10" i="3"/>
  <c r="K12" i="3" s="1"/>
  <c r="K13" i="3" s="1"/>
  <c r="O13" i="3" s="1"/>
  <c r="O17" i="3" s="1"/>
  <c r="H9" i="3"/>
  <c r="J7" i="3"/>
  <c r="H5" i="3"/>
  <c r="C9" i="22"/>
  <c r="D9" i="22"/>
  <c r="C8" i="2"/>
  <c r="C8" i="23" s="1"/>
  <c r="E7" i="2"/>
  <c r="C7" i="28" s="1"/>
  <c r="A12" i="21"/>
  <c r="C11" i="21"/>
  <c r="B11" i="21"/>
  <c r="A8" i="18"/>
  <c r="H6" i="16"/>
  <c r="G6" i="16"/>
  <c r="F6" i="16"/>
  <c r="E6" i="16"/>
  <c r="D6" i="16"/>
  <c r="C6" i="16"/>
  <c r="H4" i="16"/>
  <c r="G4" i="16"/>
  <c r="F4" i="16"/>
  <c r="D4" i="16"/>
  <c r="E4" i="16"/>
  <c r="C4" i="16"/>
  <c r="H3" i="16"/>
  <c r="G3" i="16"/>
  <c r="F3" i="16"/>
  <c r="E3" i="16"/>
  <c r="D3" i="16"/>
  <c r="C3" i="16"/>
  <c r="B7" i="16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A7" i="16"/>
  <c r="F7" i="16" s="1"/>
  <c r="C6" i="15"/>
  <c r="D6" i="15"/>
  <c r="E6" i="15"/>
  <c r="C7" i="15"/>
  <c r="D7" i="15"/>
  <c r="E7" i="15"/>
  <c r="C8" i="15"/>
  <c r="D8" i="15"/>
  <c r="E8" i="15"/>
  <c r="C9" i="15"/>
  <c r="D9" i="15"/>
  <c r="E9" i="15"/>
  <c r="C10" i="15"/>
  <c r="D10" i="15"/>
  <c r="E10" i="15"/>
  <c r="C11" i="15"/>
  <c r="D11" i="15"/>
  <c r="E11" i="15"/>
  <c r="C12" i="15"/>
  <c r="D12" i="15"/>
  <c r="E12" i="15"/>
  <c r="C13" i="15"/>
  <c r="D13" i="15"/>
  <c r="E13" i="15"/>
  <c r="C14" i="15"/>
  <c r="D14" i="15"/>
  <c r="E14" i="15"/>
  <c r="C15" i="15"/>
  <c r="D15" i="15"/>
  <c r="E15" i="15"/>
  <c r="C16" i="15"/>
  <c r="D16" i="15"/>
  <c r="E16" i="15"/>
  <c r="C17" i="15"/>
  <c r="D17" i="15"/>
  <c r="E17" i="15"/>
  <c r="C18" i="15"/>
  <c r="D18" i="15"/>
  <c r="E18" i="15"/>
  <c r="C19" i="15"/>
  <c r="D19" i="15"/>
  <c r="E19" i="15"/>
  <c r="C20" i="15"/>
  <c r="D20" i="15"/>
  <c r="E20" i="15"/>
  <c r="C21" i="15"/>
  <c r="D21" i="15"/>
  <c r="E21" i="15"/>
  <c r="C22" i="15"/>
  <c r="D22" i="15"/>
  <c r="E22" i="15"/>
  <c r="C23" i="15"/>
  <c r="D23" i="15"/>
  <c r="E23" i="15"/>
  <c r="C24" i="15"/>
  <c r="D24" i="15"/>
  <c r="E24" i="15"/>
  <c r="C25" i="15"/>
  <c r="D25" i="15"/>
  <c r="E25" i="15"/>
  <c r="C26" i="15"/>
  <c r="D26" i="15"/>
  <c r="E26" i="15"/>
  <c r="C27" i="15"/>
  <c r="D27" i="15"/>
  <c r="E27" i="15"/>
  <c r="C28" i="15"/>
  <c r="D28" i="15"/>
  <c r="E28" i="15"/>
  <c r="C29" i="15"/>
  <c r="D29" i="15"/>
  <c r="E29" i="15"/>
  <c r="C30" i="15"/>
  <c r="D30" i="15"/>
  <c r="E30" i="15"/>
  <c r="C31" i="15"/>
  <c r="D31" i="15"/>
  <c r="E31" i="15"/>
  <c r="C32" i="15"/>
  <c r="D32" i="15"/>
  <c r="E32" i="15"/>
  <c r="C33" i="15"/>
  <c r="D33" i="15"/>
  <c r="E33" i="15"/>
  <c r="C34" i="15"/>
  <c r="D34" i="15"/>
  <c r="E34" i="15"/>
  <c r="C35" i="15"/>
  <c r="D35" i="15"/>
  <c r="E35" i="15"/>
  <c r="C36" i="15"/>
  <c r="D36" i="15"/>
  <c r="E36" i="15"/>
  <c r="C37" i="15"/>
  <c r="D37" i="15"/>
  <c r="E37" i="15"/>
  <c r="C38" i="15"/>
  <c r="D38" i="15"/>
  <c r="E38" i="15"/>
  <c r="C39" i="15"/>
  <c r="D39" i="15"/>
  <c r="E39" i="15"/>
  <c r="C40" i="15"/>
  <c r="D40" i="15"/>
  <c r="E40" i="15"/>
  <c r="C41" i="15"/>
  <c r="D41" i="15"/>
  <c r="E41" i="15"/>
  <c r="C42" i="15"/>
  <c r="D42" i="15"/>
  <c r="E42" i="15"/>
  <c r="C43" i="15"/>
  <c r="D43" i="15"/>
  <c r="E43" i="15"/>
  <c r="C44" i="15"/>
  <c r="D44" i="15"/>
  <c r="E44" i="15"/>
  <c r="C45" i="15"/>
  <c r="D45" i="15"/>
  <c r="E45" i="15"/>
  <c r="C46" i="15"/>
  <c r="D46" i="15"/>
  <c r="E46" i="15"/>
  <c r="C47" i="15"/>
  <c r="D47" i="15"/>
  <c r="E47" i="15"/>
  <c r="C48" i="15"/>
  <c r="D48" i="15"/>
  <c r="E48" i="15"/>
  <c r="C49" i="15"/>
  <c r="D49" i="15"/>
  <c r="E49" i="15"/>
  <c r="C50" i="15"/>
  <c r="D50" i="15"/>
  <c r="E50" i="15"/>
  <c r="C51" i="15"/>
  <c r="D51" i="15"/>
  <c r="E51" i="15"/>
  <c r="C52" i="15"/>
  <c r="D52" i="15"/>
  <c r="E52" i="15"/>
  <c r="C53" i="15"/>
  <c r="D53" i="15"/>
  <c r="E53" i="15"/>
  <c r="C54" i="15"/>
  <c r="D54" i="15"/>
  <c r="E54" i="15"/>
  <c r="C55" i="15"/>
  <c r="D55" i="15"/>
  <c r="E55" i="15"/>
  <c r="C56" i="15"/>
  <c r="D56" i="15"/>
  <c r="E56" i="15"/>
  <c r="C57" i="15"/>
  <c r="D57" i="15"/>
  <c r="E57" i="15"/>
  <c r="E5" i="15"/>
  <c r="D5" i="15"/>
  <c r="C5" i="15"/>
  <c r="E3" i="15"/>
  <c r="D3" i="15"/>
  <c r="C3" i="15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A6" i="15"/>
  <c r="C6" i="14"/>
  <c r="D6" i="14"/>
  <c r="E6" i="14"/>
  <c r="F6" i="14"/>
  <c r="G6" i="14"/>
  <c r="C7" i="14"/>
  <c r="D7" i="14"/>
  <c r="E7" i="14"/>
  <c r="F7" i="14"/>
  <c r="G7" i="14"/>
  <c r="C8" i="14"/>
  <c r="D8" i="14"/>
  <c r="E8" i="14"/>
  <c r="F8" i="14"/>
  <c r="G8" i="14"/>
  <c r="C9" i="14"/>
  <c r="D9" i="14"/>
  <c r="E9" i="14"/>
  <c r="F9" i="14"/>
  <c r="G9" i="14"/>
  <c r="C10" i="14"/>
  <c r="D10" i="14"/>
  <c r="E10" i="14"/>
  <c r="F10" i="14"/>
  <c r="G10" i="14"/>
  <c r="C11" i="14"/>
  <c r="D11" i="14"/>
  <c r="E11" i="14"/>
  <c r="F11" i="14"/>
  <c r="G11" i="14"/>
  <c r="C12" i="14"/>
  <c r="D12" i="14"/>
  <c r="E12" i="14"/>
  <c r="F12" i="14"/>
  <c r="G12" i="14"/>
  <c r="C13" i="14"/>
  <c r="D13" i="14"/>
  <c r="E13" i="14"/>
  <c r="F13" i="14"/>
  <c r="G13" i="14"/>
  <c r="C14" i="14"/>
  <c r="D14" i="14"/>
  <c r="E14" i="14"/>
  <c r="F14" i="14"/>
  <c r="G14" i="14"/>
  <c r="C15" i="14"/>
  <c r="D15" i="14"/>
  <c r="E15" i="14"/>
  <c r="F15" i="14"/>
  <c r="G15" i="14"/>
  <c r="C16" i="14"/>
  <c r="D16" i="14"/>
  <c r="E16" i="14"/>
  <c r="F16" i="14"/>
  <c r="G16" i="14"/>
  <c r="C17" i="14"/>
  <c r="D17" i="14"/>
  <c r="E17" i="14"/>
  <c r="F17" i="14"/>
  <c r="G17" i="14"/>
  <c r="C18" i="14"/>
  <c r="D18" i="14"/>
  <c r="E18" i="14"/>
  <c r="F18" i="14"/>
  <c r="G18" i="14"/>
  <c r="C19" i="14"/>
  <c r="D19" i="14"/>
  <c r="E19" i="14"/>
  <c r="F19" i="14"/>
  <c r="G19" i="14"/>
  <c r="C20" i="14"/>
  <c r="D20" i="14"/>
  <c r="E20" i="14"/>
  <c r="F20" i="14"/>
  <c r="G20" i="14"/>
  <c r="C21" i="14"/>
  <c r="D21" i="14"/>
  <c r="E21" i="14"/>
  <c r="F21" i="14"/>
  <c r="G21" i="14"/>
  <c r="C22" i="14"/>
  <c r="D22" i="14"/>
  <c r="E22" i="14"/>
  <c r="F22" i="14"/>
  <c r="G22" i="14"/>
  <c r="C23" i="14"/>
  <c r="D23" i="14"/>
  <c r="E23" i="14"/>
  <c r="F23" i="14"/>
  <c r="G23" i="14"/>
  <c r="C24" i="14"/>
  <c r="D24" i="14"/>
  <c r="E24" i="14"/>
  <c r="F24" i="14"/>
  <c r="G24" i="14"/>
  <c r="C25" i="14"/>
  <c r="D25" i="14"/>
  <c r="E25" i="14"/>
  <c r="F25" i="14"/>
  <c r="G25" i="14"/>
  <c r="C26" i="14"/>
  <c r="D26" i="14"/>
  <c r="E26" i="14"/>
  <c r="F26" i="14"/>
  <c r="G26" i="14"/>
  <c r="C27" i="14"/>
  <c r="D27" i="14"/>
  <c r="E27" i="14"/>
  <c r="F27" i="14"/>
  <c r="G27" i="14"/>
  <c r="C28" i="14"/>
  <c r="D28" i="14"/>
  <c r="E28" i="14"/>
  <c r="F28" i="14"/>
  <c r="G28" i="14"/>
  <c r="C29" i="14"/>
  <c r="D29" i="14"/>
  <c r="E29" i="14"/>
  <c r="F29" i="14"/>
  <c r="G29" i="14"/>
  <c r="C30" i="14"/>
  <c r="D30" i="14"/>
  <c r="E30" i="14"/>
  <c r="F30" i="14"/>
  <c r="G30" i="14"/>
  <c r="C31" i="14"/>
  <c r="D31" i="14"/>
  <c r="E31" i="14"/>
  <c r="F31" i="14"/>
  <c r="G31" i="14"/>
  <c r="C32" i="14"/>
  <c r="D32" i="14"/>
  <c r="E32" i="14"/>
  <c r="F32" i="14"/>
  <c r="G32" i="14"/>
  <c r="C33" i="14"/>
  <c r="D33" i="14"/>
  <c r="E33" i="14"/>
  <c r="F33" i="14"/>
  <c r="G33" i="14"/>
  <c r="C34" i="14"/>
  <c r="D34" i="14"/>
  <c r="E34" i="14"/>
  <c r="F34" i="14"/>
  <c r="G34" i="14"/>
  <c r="C35" i="14"/>
  <c r="D35" i="14"/>
  <c r="E35" i="14"/>
  <c r="F35" i="14"/>
  <c r="G35" i="14"/>
  <c r="C36" i="14"/>
  <c r="D36" i="14"/>
  <c r="E36" i="14"/>
  <c r="F36" i="14"/>
  <c r="G36" i="14"/>
  <c r="C37" i="14"/>
  <c r="D37" i="14"/>
  <c r="E37" i="14"/>
  <c r="F37" i="14"/>
  <c r="G37" i="14"/>
  <c r="C38" i="14"/>
  <c r="D38" i="14"/>
  <c r="E38" i="14"/>
  <c r="F38" i="14"/>
  <c r="G38" i="14"/>
  <c r="C39" i="14"/>
  <c r="D39" i="14"/>
  <c r="E39" i="14"/>
  <c r="F39" i="14"/>
  <c r="G39" i="14"/>
  <c r="C40" i="14"/>
  <c r="D40" i="14"/>
  <c r="E40" i="14"/>
  <c r="F40" i="14"/>
  <c r="G40" i="14"/>
  <c r="C41" i="14"/>
  <c r="D41" i="14"/>
  <c r="E41" i="14"/>
  <c r="F41" i="14"/>
  <c r="G41" i="14"/>
  <c r="C42" i="14"/>
  <c r="D42" i="14"/>
  <c r="E42" i="14"/>
  <c r="F42" i="14"/>
  <c r="G42" i="14"/>
  <c r="C43" i="14"/>
  <c r="D43" i="14"/>
  <c r="E43" i="14"/>
  <c r="F43" i="14"/>
  <c r="G43" i="14"/>
  <c r="C44" i="14"/>
  <c r="D44" i="14"/>
  <c r="E44" i="14"/>
  <c r="F44" i="14"/>
  <c r="G44" i="14"/>
  <c r="C45" i="14"/>
  <c r="D45" i="14"/>
  <c r="E45" i="14"/>
  <c r="F45" i="14"/>
  <c r="G45" i="14"/>
  <c r="C46" i="14"/>
  <c r="D46" i="14"/>
  <c r="E46" i="14"/>
  <c r="F46" i="14"/>
  <c r="G46" i="14"/>
  <c r="C47" i="14"/>
  <c r="D47" i="14"/>
  <c r="E47" i="14"/>
  <c r="F47" i="14"/>
  <c r="G47" i="14"/>
  <c r="C48" i="14"/>
  <c r="D48" i="14"/>
  <c r="E48" i="14"/>
  <c r="F48" i="14"/>
  <c r="G48" i="14"/>
  <c r="C49" i="14"/>
  <c r="D49" i="14"/>
  <c r="E49" i="14"/>
  <c r="F49" i="14"/>
  <c r="G49" i="14"/>
  <c r="C50" i="14"/>
  <c r="D50" i="14"/>
  <c r="E50" i="14"/>
  <c r="F50" i="14"/>
  <c r="G50" i="14"/>
  <c r="C51" i="14"/>
  <c r="D51" i="14"/>
  <c r="E51" i="14"/>
  <c r="F51" i="14"/>
  <c r="G51" i="14"/>
  <c r="C52" i="14"/>
  <c r="D52" i="14"/>
  <c r="E52" i="14"/>
  <c r="F52" i="14"/>
  <c r="G52" i="14"/>
  <c r="C53" i="14"/>
  <c r="D53" i="14"/>
  <c r="E53" i="14"/>
  <c r="F53" i="14"/>
  <c r="G53" i="14"/>
  <c r="C54" i="14"/>
  <c r="D54" i="14"/>
  <c r="E54" i="14"/>
  <c r="F54" i="14"/>
  <c r="G54" i="14"/>
  <c r="C55" i="14"/>
  <c r="D55" i="14"/>
  <c r="E55" i="14"/>
  <c r="F55" i="14"/>
  <c r="G55" i="14"/>
  <c r="C56" i="14"/>
  <c r="D56" i="14"/>
  <c r="E56" i="14"/>
  <c r="F56" i="14"/>
  <c r="G56" i="14"/>
  <c r="C57" i="14"/>
  <c r="D57" i="14"/>
  <c r="E57" i="14"/>
  <c r="F57" i="14"/>
  <c r="G57" i="14"/>
  <c r="G5" i="14"/>
  <c r="F5" i="14"/>
  <c r="E5" i="14"/>
  <c r="D5" i="14"/>
  <c r="C5" i="14"/>
  <c r="B6" i="14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A6" i="14"/>
  <c r="G3" i="14"/>
  <c r="F3" i="14"/>
  <c r="E3" i="14"/>
  <c r="D3" i="14"/>
  <c r="C3" i="14"/>
  <c r="C6" i="13"/>
  <c r="D6" i="13"/>
  <c r="E6" i="13"/>
  <c r="F6" i="13"/>
  <c r="G6" i="13"/>
  <c r="C7" i="13"/>
  <c r="D7" i="13"/>
  <c r="E7" i="13"/>
  <c r="F7" i="13"/>
  <c r="G7" i="13"/>
  <c r="C8" i="13"/>
  <c r="D8" i="13"/>
  <c r="E8" i="13"/>
  <c r="F8" i="13"/>
  <c r="G8" i="13"/>
  <c r="C9" i="13"/>
  <c r="D9" i="13"/>
  <c r="E9" i="13"/>
  <c r="F9" i="13"/>
  <c r="G9" i="13"/>
  <c r="C10" i="13"/>
  <c r="D10" i="13"/>
  <c r="E10" i="13"/>
  <c r="F10" i="13"/>
  <c r="G10" i="13"/>
  <c r="C11" i="13"/>
  <c r="D11" i="13"/>
  <c r="E11" i="13"/>
  <c r="F11" i="13"/>
  <c r="G11" i="13"/>
  <c r="C12" i="13"/>
  <c r="D12" i="13"/>
  <c r="E12" i="13"/>
  <c r="F12" i="13"/>
  <c r="G12" i="13"/>
  <c r="C13" i="13"/>
  <c r="D13" i="13"/>
  <c r="E13" i="13"/>
  <c r="F13" i="13"/>
  <c r="G13" i="13"/>
  <c r="C14" i="13"/>
  <c r="D14" i="13"/>
  <c r="E14" i="13"/>
  <c r="F14" i="13"/>
  <c r="G14" i="13"/>
  <c r="C15" i="13"/>
  <c r="D15" i="13"/>
  <c r="E15" i="13"/>
  <c r="F15" i="13"/>
  <c r="G15" i="13"/>
  <c r="C16" i="13"/>
  <c r="D16" i="13"/>
  <c r="E16" i="13"/>
  <c r="F16" i="13"/>
  <c r="G16" i="13"/>
  <c r="C17" i="13"/>
  <c r="D17" i="13"/>
  <c r="E17" i="13"/>
  <c r="F17" i="13"/>
  <c r="G17" i="13"/>
  <c r="C18" i="13"/>
  <c r="D18" i="13"/>
  <c r="E18" i="13"/>
  <c r="F18" i="13"/>
  <c r="G18" i="13"/>
  <c r="C19" i="13"/>
  <c r="D19" i="13"/>
  <c r="E19" i="13"/>
  <c r="F19" i="13"/>
  <c r="G19" i="13"/>
  <c r="C20" i="13"/>
  <c r="D20" i="13"/>
  <c r="E20" i="13"/>
  <c r="F20" i="13"/>
  <c r="G20" i="13"/>
  <c r="C21" i="13"/>
  <c r="D21" i="13"/>
  <c r="E21" i="13"/>
  <c r="F21" i="13"/>
  <c r="G21" i="13"/>
  <c r="C22" i="13"/>
  <c r="D22" i="13"/>
  <c r="E22" i="13"/>
  <c r="F22" i="13"/>
  <c r="G22" i="13"/>
  <c r="C23" i="13"/>
  <c r="D23" i="13"/>
  <c r="E23" i="13"/>
  <c r="F23" i="13"/>
  <c r="G23" i="13"/>
  <c r="C24" i="13"/>
  <c r="D24" i="13"/>
  <c r="E24" i="13"/>
  <c r="F24" i="13"/>
  <c r="G24" i="13"/>
  <c r="C25" i="13"/>
  <c r="D25" i="13"/>
  <c r="E25" i="13"/>
  <c r="F25" i="13"/>
  <c r="G25" i="13"/>
  <c r="C26" i="13"/>
  <c r="D26" i="13"/>
  <c r="E26" i="13"/>
  <c r="F26" i="13"/>
  <c r="G26" i="13"/>
  <c r="C27" i="13"/>
  <c r="D27" i="13"/>
  <c r="E27" i="13"/>
  <c r="F27" i="13"/>
  <c r="G27" i="13"/>
  <c r="C28" i="13"/>
  <c r="D28" i="13"/>
  <c r="E28" i="13"/>
  <c r="F28" i="13"/>
  <c r="G28" i="13"/>
  <c r="C29" i="13"/>
  <c r="D29" i="13"/>
  <c r="E29" i="13"/>
  <c r="F29" i="13"/>
  <c r="G29" i="13"/>
  <c r="C30" i="13"/>
  <c r="D30" i="13"/>
  <c r="E30" i="13"/>
  <c r="F30" i="13"/>
  <c r="G30" i="13"/>
  <c r="C31" i="13"/>
  <c r="D31" i="13"/>
  <c r="E31" i="13"/>
  <c r="F31" i="13"/>
  <c r="G31" i="13"/>
  <c r="C32" i="13"/>
  <c r="D32" i="13"/>
  <c r="E32" i="13"/>
  <c r="F32" i="13"/>
  <c r="G32" i="13"/>
  <c r="C33" i="13"/>
  <c r="D33" i="13"/>
  <c r="E33" i="13"/>
  <c r="F33" i="13"/>
  <c r="G33" i="13"/>
  <c r="C34" i="13"/>
  <c r="D34" i="13"/>
  <c r="E34" i="13"/>
  <c r="F34" i="13"/>
  <c r="G34" i="13"/>
  <c r="C35" i="13"/>
  <c r="D35" i="13"/>
  <c r="E35" i="13"/>
  <c r="F35" i="13"/>
  <c r="G35" i="13"/>
  <c r="C36" i="13"/>
  <c r="D36" i="13"/>
  <c r="E36" i="13"/>
  <c r="F36" i="13"/>
  <c r="G36" i="13"/>
  <c r="C37" i="13"/>
  <c r="D37" i="13"/>
  <c r="E37" i="13"/>
  <c r="F37" i="13"/>
  <c r="G37" i="13"/>
  <c r="C38" i="13"/>
  <c r="D38" i="13"/>
  <c r="E38" i="13"/>
  <c r="F38" i="13"/>
  <c r="G38" i="13"/>
  <c r="C39" i="13"/>
  <c r="D39" i="13"/>
  <c r="E39" i="13"/>
  <c r="F39" i="13"/>
  <c r="G39" i="13"/>
  <c r="C40" i="13"/>
  <c r="D40" i="13"/>
  <c r="E40" i="13"/>
  <c r="F40" i="13"/>
  <c r="G40" i="13"/>
  <c r="C41" i="13"/>
  <c r="D41" i="13"/>
  <c r="E41" i="13"/>
  <c r="F41" i="13"/>
  <c r="G41" i="13"/>
  <c r="C42" i="13"/>
  <c r="D42" i="13"/>
  <c r="E42" i="13"/>
  <c r="F42" i="13"/>
  <c r="G42" i="13"/>
  <c r="C43" i="13"/>
  <c r="D43" i="13"/>
  <c r="E43" i="13"/>
  <c r="F43" i="13"/>
  <c r="G43" i="13"/>
  <c r="C44" i="13"/>
  <c r="D44" i="13"/>
  <c r="E44" i="13"/>
  <c r="F44" i="13"/>
  <c r="G44" i="13"/>
  <c r="C45" i="13"/>
  <c r="D45" i="13"/>
  <c r="E45" i="13"/>
  <c r="F45" i="13"/>
  <c r="G45" i="13"/>
  <c r="C46" i="13"/>
  <c r="D46" i="13"/>
  <c r="E46" i="13"/>
  <c r="F46" i="13"/>
  <c r="G46" i="13"/>
  <c r="C47" i="13"/>
  <c r="D47" i="13"/>
  <c r="E47" i="13"/>
  <c r="F47" i="13"/>
  <c r="G47" i="13"/>
  <c r="C48" i="13"/>
  <c r="D48" i="13"/>
  <c r="E48" i="13"/>
  <c r="F48" i="13"/>
  <c r="G48" i="13"/>
  <c r="C49" i="13"/>
  <c r="D49" i="13"/>
  <c r="E49" i="13"/>
  <c r="F49" i="13"/>
  <c r="G49" i="13"/>
  <c r="C50" i="13"/>
  <c r="D50" i="13"/>
  <c r="E50" i="13"/>
  <c r="F50" i="13"/>
  <c r="G50" i="13"/>
  <c r="C51" i="13"/>
  <c r="D51" i="13"/>
  <c r="E51" i="13"/>
  <c r="F51" i="13"/>
  <c r="G51" i="13"/>
  <c r="C52" i="13"/>
  <c r="D52" i="13"/>
  <c r="E52" i="13"/>
  <c r="F52" i="13"/>
  <c r="G52" i="13"/>
  <c r="C53" i="13"/>
  <c r="D53" i="13"/>
  <c r="E53" i="13"/>
  <c r="F53" i="13"/>
  <c r="G53" i="13"/>
  <c r="C54" i="13"/>
  <c r="D54" i="13"/>
  <c r="E54" i="13"/>
  <c r="F54" i="13"/>
  <c r="G54" i="13"/>
  <c r="C55" i="13"/>
  <c r="D55" i="13"/>
  <c r="E55" i="13"/>
  <c r="F55" i="13"/>
  <c r="G55" i="13"/>
  <c r="C56" i="13"/>
  <c r="D56" i="13"/>
  <c r="E56" i="13"/>
  <c r="F56" i="13"/>
  <c r="G56" i="13"/>
  <c r="C57" i="13"/>
  <c r="D57" i="13"/>
  <c r="E57" i="13"/>
  <c r="F57" i="13"/>
  <c r="G57" i="13"/>
  <c r="G5" i="13"/>
  <c r="F5" i="13"/>
  <c r="E5" i="13"/>
  <c r="D5" i="13"/>
  <c r="C5" i="13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A6" i="13"/>
  <c r="G3" i="13"/>
  <c r="F3" i="13"/>
  <c r="E3" i="13"/>
  <c r="D3" i="13"/>
  <c r="C3" i="13"/>
  <c r="C6" i="12"/>
  <c r="D6" i="12"/>
  <c r="E6" i="12"/>
  <c r="F6" i="12"/>
  <c r="G6" i="12"/>
  <c r="H6" i="12"/>
  <c r="I6" i="12"/>
  <c r="J6" i="12"/>
  <c r="C7" i="12"/>
  <c r="D7" i="12"/>
  <c r="E7" i="12"/>
  <c r="F7" i="12"/>
  <c r="G7" i="12"/>
  <c r="H7" i="12"/>
  <c r="I7" i="12"/>
  <c r="J7" i="12"/>
  <c r="C8" i="12"/>
  <c r="D8" i="12"/>
  <c r="E8" i="12"/>
  <c r="F8" i="12"/>
  <c r="G8" i="12"/>
  <c r="H8" i="12"/>
  <c r="I8" i="12"/>
  <c r="J8" i="12"/>
  <c r="C9" i="12"/>
  <c r="D9" i="12"/>
  <c r="E9" i="12"/>
  <c r="F9" i="12"/>
  <c r="G9" i="12"/>
  <c r="H9" i="12"/>
  <c r="I9" i="12"/>
  <c r="J9" i="12"/>
  <c r="C10" i="12"/>
  <c r="D10" i="12"/>
  <c r="E10" i="12"/>
  <c r="F10" i="12"/>
  <c r="G10" i="12"/>
  <c r="H10" i="12"/>
  <c r="I10" i="12"/>
  <c r="J10" i="12"/>
  <c r="C11" i="12"/>
  <c r="D11" i="12"/>
  <c r="E11" i="12"/>
  <c r="F11" i="12"/>
  <c r="G11" i="12"/>
  <c r="H11" i="12"/>
  <c r="I11" i="12"/>
  <c r="J11" i="12"/>
  <c r="C12" i="12"/>
  <c r="D12" i="12"/>
  <c r="E12" i="12"/>
  <c r="F12" i="12"/>
  <c r="G12" i="12"/>
  <c r="H12" i="12"/>
  <c r="I12" i="12"/>
  <c r="J12" i="12"/>
  <c r="C13" i="12"/>
  <c r="D13" i="12"/>
  <c r="E13" i="12"/>
  <c r="F13" i="12"/>
  <c r="G13" i="12"/>
  <c r="H13" i="12"/>
  <c r="I13" i="12"/>
  <c r="J13" i="12"/>
  <c r="C14" i="12"/>
  <c r="D14" i="12"/>
  <c r="E14" i="12"/>
  <c r="F14" i="12"/>
  <c r="G14" i="12"/>
  <c r="H14" i="12"/>
  <c r="I14" i="12"/>
  <c r="J14" i="12"/>
  <c r="C15" i="12"/>
  <c r="D15" i="12"/>
  <c r="E15" i="12"/>
  <c r="F15" i="12"/>
  <c r="G15" i="12"/>
  <c r="H15" i="12"/>
  <c r="I15" i="12"/>
  <c r="J15" i="12"/>
  <c r="C16" i="12"/>
  <c r="D16" i="12"/>
  <c r="E16" i="12"/>
  <c r="F16" i="12"/>
  <c r="G16" i="12"/>
  <c r="H16" i="12"/>
  <c r="I16" i="12"/>
  <c r="J16" i="12"/>
  <c r="C17" i="12"/>
  <c r="D17" i="12"/>
  <c r="E17" i="12"/>
  <c r="F17" i="12"/>
  <c r="G17" i="12"/>
  <c r="H17" i="12"/>
  <c r="I17" i="12"/>
  <c r="J17" i="12"/>
  <c r="C18" i="12"/>
  <c r="D18" i="12"/>
  <c r="E18" i="12"/>
  <c r="F18" i="12"/>
  <c r="G18" i="12"/>
  <c r="H18" i="12"/>
  <c r="I18" i="12"/>
  <c r="J18" i="12"/>
  <c r="C19" i="12"/>
  <c r="D19" i="12"/>
  <c r="E19" i="12"/>
  <c r="F19" i="12"/>
  <c r="G19" i="12"/>
  <c r="H19" i="12"/>
  <c r="I19" i="12"/>
  <c r="J19" i="12"/>
  <c r="C20" i="12"/>
  <c r="D20" i="12"/>
  <c r="E20" i="12"/>
  <c r="F20" i="12"/>
  <c r="G20" i="12"/>
  <c r="H20" i="12"/>
  <c r="I20" i="12"/>
  <c r="J20" i="12"/>
  <c r="C21" i="12"/>
  <c r="D21" i="12"/>
  <c r="E21" i="12"/>
  <c r="F21" i="12"/>
  <c r="G21" i="12"/>
  <c r="H21" i="12"/>
  <c r="I21" i="12"/>
  <c r="J21" i="12"/>
  <c r="C22" i="12"/>
  <c r="D22" i="12"/>
  <c r="E22" i="12"/>
  <c r="F22" i="12"/>
  <c r="G22" i="12"/>
  <c r="H22" i="12"/>
  <c r="I22" i="12"/>
  <c r="J22" i="12"/>
  <c r="C23" i="12"/>
  <c r="D23" i="12"/>
  <c r="E23" i="12"/>
  <c r="F23" i="12"/>
  <c r="G23" i="12"/>
  <c r="H23" i="12"/>
  <c r="I23" i="12"/>
  <c r="J23" i="12"/>
  <c r="C24" i="12"/>
  <c r="D24" i="12"/>
  <c r="E24" i="12"/>
  <c r="F24" i="12"/>
  <c r="G24" i="12"/>
  <c r="H24" i="12"/>
  <c r="I24" i="12"/>
  <c r="J24" i="12"/>
  <c r="C25" i="12"/>
  <c r="D25" i="12"/>
  <c r="E25" i="12"/>
  <c r="F25" i="12"/>
  <c r="G25" i="12"/>
  <c r="H25" i="12"/>
  <c r="I25" i="12"/>
  <c r="J25" i="12"/>
  <c r="C26" i="12"/>
  <c r="D26" i="12"/>
  <c r="E26" i="12"/>
  <c r="F26" i="12"/>
  <c r="G26" i="12"/>
  <c r="H26" i="12"/>
  <c r="I26" i="12"/>
  <c r="J26" i="12"/>
  <c r="C27" i="12"/>
  <c r="D27" i="12"/>
  <c r="E27" i="12"/>
  <c r="F27" i="12"/>
  <c r="G27" i="12"/>
  <c r="H27" i="12"/>
  <c r="I27" i="12"/>
  <c r="J27" i="12"/>
  <c r="C28" i="12"/>
  <c r="D28" i="12"/>
  <c r="E28" i="12"/>
  <c r="F28" i="12"/>
  <c r="G28" i="12"/>
  <c r="H28" i="12"/>
  <c r="I28" i="12"/>
  <c r="J28" i="12"/>
  <c r="C29" i="12"/>
  <c r="D29" i="12"/>
  <c r="E29" i="12"/>
  <c r="F29" i="12"/>
  <c r="G29" i="12"/>
  <c r="H29" i="12"/>
  <c r="I29" i="12"/>
  <c r="J29" i="12"/>
  <c r="C30" i="12"/>
  <c r="D30" i="12"/>
  <c r="E30" i="12"/>
  <c r="F30" i="12"/>
  <c r="G30" i="12"/>
  <c r="H30" i="12"/>
  <c r="I30" i="12"/>
  <c r="J30" i="12"/>
  <c r="C31" i="12"/>
  <c r="D31" i="12"/>
  <c r="E31" i="12"/>
  <c r="F31" i="12"/>
  <c r="G31" i="12"/>
  <c r="H31" i="12"/>
  <c r="I31" i="12"/>
  <c r="J31" i="12"/>
  <c r="C32" i="12"/>
  <c r="D32" i="12"/>
  <c r="E32" i="12"/>
  <c r="F32" i="12"/>
  <c r="G32" i="12"/>
  <c r="H32" i="12"/>
  <c r="I32" i="12"/>
  <c r="J32" i="12"/>
  <c r="C33" i="12"/>
  <c r="D33" i="12"/>
  <c r="E33" i="12"/>
  <c r="F33" i="12"/>
  <c r="G33" i="12"/>
  <c r="H33" i="12"/>
  <c r="I33" i="12"/>
  <c r="J33" i="12"/>
  <c r="C34" i="12"/>
  <c r="D34" i="12"/>
  <c r="E34" i="12"/>
  <c r="F34" i="12"/>
  <c r="G34" i="12"/>
  <c r="H34" i="12"/>
  <c r="I34" i="12"/>
  <c r="J34" i="12"/>
  <c r="C35" i="12"/>
  <c r="D35" i="12"/>
  <c r="E35" i="12"/>
  <c r="F35" i="12"/>
  <c r="G35" i="12"/>
  <c r="H35" i="12"/>
  <c r="I35" i="12"/>
  <c r="J35" i="12"/>
  <c r="C36" i="12"/>
  <c r="D36" i="12"/>
  <c r="E36" i="12"/>
  <c r="F36" i="12"/>
  <c r="G36" i="12"/>
  <c r="H36" i="12"/>
  <c r="I36" i="12"/>
  <c r="J36" i="12"/>
  <c r="C37" i="12"/>
  <c r="D37" i="12"/>
  <c r="E37" i="12"/>
  <c r="F37" i="12"/>
  <c r="G37" i="12"/>
  <c r="H37" i="12"/>
  <c r="I37" i="12"/>
  <c r="J37" i="12"/>
  <c r="C38" i="12"/>
  <c r="D38" i="12"/>
  <c r="E38" i="12"/>
  <c r="F38" i="12"/>
  <c r="G38" i="12"/>
  <c r="H38" i="12"/>
  <c r="I38" i="12"/>
  <c r="J38" i="12"/>
  <c r="C39" i="12"/>
  <c r="D39" i="12"/>
  <c r="E39" i="12"/>
  <c r="F39" i="12"/>
  <c r="G39" i="12"/>
  <c r="H39" i="12"/>
  <c r="I39" i="12"/>
  <c r="J39" i="12"/>
  <c r="C40" i="12"/>
  <c r="D40" i="12"/>
  <c r="E40" i="12"/>
  <c r="F40" i="12"/>
  <c r="G40" i="12"/>
  <c r="H40" i="12"/>
  <c r="I40" i="12"/>
  <c r="J40" i="12"/>
  <c r="C41" i="12"/>
  <c r="D41" i="12"/>
  <c r="E41" i="12"/>
  <c r="F41" i="12"/>
  <c r="G41" i="12"/>
  <c r="H41" i="12"/>
  <c r="I41" i="12"/>
  <c r="J41" i="12"/>
  <c r="C42" i="12"/>
  <c r="D42" i="12"/>
  <c r="E42" i="12"/>
  <c r="F42" i="12"/>
  <c r="G42" i="12"/>
  <c r="H42" i="12"/>
  <c r="I42" i="12"/>
  <c r="J42" i="12"/>
  <c r="C43" i="12"/>
  <c r="D43" i="12"/>
  <c r="E43" i="12"/>
  <c r="F43" i="12"/>
  <c r="G43" i="12"/>
  <c r="H43" i="12"/>
  <c r="I43" i="12"/>
  <c r="J43" i="12"/>
  <c r="C44" i="12"/>
  <c r="D44" i="12"/>
  <c r="E44" i="12"/>
  <c r="F44" i="12"/>
  <c r="G44" i="12"/>
  <c r="H44" i="12"/>
  <c r="I44" i="12"/>
  <c r="J44" i="12"/>
  <c r="C45" i="12"/>
  <c r="D45" i="12"/>
  <c r="E45" i="12"/>
  <c r="F45" i="12"/>
  <c r="G45" i="12"/>
  <c r="H45" i="12"/>
  <c r="I45" i="12"/>
  <c r="J45" i="12"/>
  <c r="C46" i="12"/>
  <c r="D46" i="12"/>
  <c r="E46" i="12"/>
  <c r="F46" i="12"/>
  <c r="G46" i="12"/>
  <c r="H46" i="12"/>
  <c r="I46" i="12"/>
  <c r="J46" i="12"/>
  <c r="C47" i="12"/>
  <c r="D47" i="12"/>
  <c r="E47" i="12"/>
  <c r="F47" i="12"/>
  <c r="G47" i="12"/>
  <c r="H47" i="12"/>
  <c r="I47" i="12"/>
  <c r="J47" i="12"/>
  <c r="C48" i="12"/>
  <c r="D48" i="12"/>
  <c r="E48" i="12"/>
  <c r="F48" i="12"/>
  <c r="G48" i="12"/>
  <c r="H48" i="12"/>
  <c r="I48" i="12"/>
  <c r="J48" i="12"/>
  <c r="C49" i="12"/>
  <c r="D49" i="12"/>
  <c r="E49" i="12"/>
  <c r="F49" i="12"/>
  <c r="G49" i="12"/>
  <c r="H49" i="12"/>
  <c r="I49" i="12"/>
  <c r="J49" i="12"/>
  <c r="C50" i="12"/>
  <c r="D50" i="12"/>
  <c r="E50" i="12"/>
  <c r="F50" i="12"/>
  <c r="G50" i="12"/>
  <c r="H50" i="12"/>
  <c r="I50" i="12"/>
  <c r="J50" i="12"/>
  <c r="C51" i="12"/>
  <c r="D51" i="12"/>
  <c r="E51" i="12"/>
  <c r="F51" i="12"/>
  <c r="G51" i="12"/>
  <c r="H51" i="12"/>
  <c r="I51" i="12"/>
  <c r="J51" i="12"/>
  <c r="C52" i="12"/>
  <c r="D52" i="12"/>
  <c r="E52" i="12"/>
  <c r="F52" i="12"/>
  <c r="G52" i="12"/>
  <c r="H52" i="12"/>
  <c r="I52" i="12"/>
  <c r="J52" i="12"/>
  <c r="C53" i="12"/>
  <c r="D53" i="12"/>
  <c r="E53" i="12"/>
  <c r="F53" i="12"/>
  <c r="G53" i="12"/>
  <c r="H53" i="12"/>
  <c r="I53" i="12"/>
  <c r="J53" i="12"/>
  <c r="C54" i="12"/>
  <c r="D54" i="12"/>
  <c r="E54" i="12"/>
  <c r="F54" i="12"/>
  <c r="G54" i="12"/>
  <c r="H54" i="12"/>
  <c r="I54" i="12"/>
  <c r="J54" i="12"/>
  <c r="C55" i="12"/>
  <c r="D55" i="12"/>
  <c r="E55" i="12"/>
  <c r="F55" i="12"/>
  <c r="G55" i="12"/>
  <c r="H55" i="12"/>
  <c r="I55" i="12"/>
  <c r="J55" i="12"/>
  <c r="C56" i="12"/>
  <c r="D56" i="12"/>
  <c r="E56" i="12"/>
  <c r="F56" i="12"/>
  <c r="G56" i="12"/>
  <c r="H56" i="12"/>
  <c r="I56" i="12"/>
  <c r="J56" i="12"/>
  <c r="C57" i="12"/>
  <c r="D57" i="12"/>
  <c r="E57" i="12"/>
  <c r="F57" i="12"/>
  <c r="G57" i="12"/>
  <c r="H57" i="12"/>
  <c r="I57" i="12"/>
  <c r="J57" i="12"/>
  <c r="J5" i="12"/>
  <c r="P5" i="12" s="1"/>
  <c r="I5" i="12"/>
  <c r="O5" i="12" s="1"/>
  <c r="H5" i="12"/>
  <c r="G5" i="12"/>
  <c r="F5" i="12"/>
  <c r="E5" i="12"/>
  <c r="D5" i="12"/>
  <c r="C5" i="12"/>
  <c r="A9" i="12"/>
  <c r="A8" i="12"/>
  <c r="A7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A6" i="12"/>
  <c r="J3" i="12"/>
  <c r="I3" i="12"/>
  <c r="H3" i="12"/>
  <c r="G3" i="12"/>
  <c r="F3" i="12"/>
  <c r="E3" i="12"/>
  <c r="D3" i="12"/>
  <c r="C3" i="12"/>
  <c r="H2" i="12"/>
  <c r="G2" i="12"/>
  <c r="F2" i="12"/>
  <c r="E2" i="12"/>
  <c r="D2" i="12"/>
  <c r="C2" i="12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C8" i="11"/>
  <c r="D8" i="11"/>
  <c r="E8" i="11"/>
  <c r="F8" i="11"/>
  <c r="G8" i="11"/>
  <c r="H8" i="11"/>
  <c r="I8" i="11"/>
  <c r="J8" i="11"/>
  <c r="C9" i="11"/>
  <c r="D9" i="11"/>
  <c r="E9" i="11"/>
  <c r="F9" i="11"/>
  <c r="G9" i="11"/>
  <c r="H9" i="11"/>
  <c r="I9" i="11"/>
  <c r="J9" i="11"/>
  <c r="C10" i="11"/>
  <c r="D10" i="11"/>
  <c r="E10" i="11"/>
  <c r="F10" i="11"/>
  <c r="G10" i="11"/>
  <c r="H10" i="11"/>
  <c r="I10" i="11"/>
  <c r="J10" i="11"/>
  <c r="C11" i="11"/>
  <c r="D11" i="11"/>
  <c r="E11" i="11"/>
  <c r="F11" i="11"/>
  <c r="G11" i="11"/>
  <c r="H11" i="11"/>
  <c r="I11" i="11"/>
  <c r="J11" i="11"/>
  <c r="C12" i="11"/>
  <c r="D12" i="11"/>
  <c r="E12" i="11"/>
  <c r="F12" i="11"/>
  <c r="G12" i="11"/>
  <c r="H12" i="11"/>
  <c r="I12" i="11"/>
  <c r="J12" i="11"/>
  <c r="C13" i="11"/>
  <c r="D13" i="11"/>
  <c r="E13" i="11"/>
  <c r="F13" i="11"/>
  <c r="G13" i="11"/>
  <c r="H13" i="11"/>
  <c r="I13" i="11"/>
  <c r="J13" i="11"/>
  <c r="C14" i="11"/>
  <c r="D14" i="11"/>
  <c r="E14" i="11"/>
  <c r="F14" i="11"/>
  <c r="G14" i="11"/>
  <c r="H14" i="11"/>
  <c r="I14" i="11"/>
  <c r="J14" i="11"/>
  <c r="C15" i="11"/>
  <c r="D15" i="11"/>
  <c r="E15" i="11"/>
  <c r="F15" i="11"/>
  <c r="G15" i="11"/>
  <c r="H15" i="11"/>
  <c r="I15" i="11"/>
  <c r="J15" i="11"/>
  <c r="C16" i="11"/>
  <c r="D16" i="11"/>
  <c r="E16" i="11"/>
  <c r="F16" i="11"/>
  <c r="G16" i="11"/>
  <c r="H16" i="11"/>
  <c r="I16" i="11"/>
  <c r="J16" i="11"/>
  <c r="C17" i="11"/>
  <c r="D17" i="11"/>
  <c r="E17" i="11"/>
  <c r="F17" i="11"/>
  <c r="G17" i="11"/>
  <c r="H17" i="11"/>
  <c r="I17" i="11"/>
  <c r="J17" i="11"/>
  <c r="C18" i="11"/>
  <c r="D18" i="11"/>
  <c r="E18" i="11"/>
  <c r="F18" i="11"/>
  <c r="G18" i="11"/>
  <c r="H18" i="11"/>
  <c r="I18" i="11"/>
  <c r="J18" i="11"/>
  <c r="C19" i="11"/>
  <c r="D19" i="11"/>
  <c r="E19" i="11"/>
  <c r="F19" i="11"/>
  <c r="G19" i="11"/>
  <c r="H19" i="11"/>
  <c r="I19" i="11"/>
  <c r="J19" i="11"/>
  <c r="C20" i="11"/>
  <c r="D20" i="11"/>
  <c r="E20" i="11"/>
  <c r="F20" i="11"/>
  <c r="G20" i="11"/>
  <c r="H20" i="11"/>
  <c r="I20" i="11"/>
  <c r="J20" i="11"/>
  <c r="C21" i="11"/>
  <c r="D21" i="11"/>
  <c r="E21" i="11"/>
  <c r="F21" i="11"/>
  <c r="G21" i="11"/>
  <c r="H21" i="11"/>
  <c r="I21" i="11"/>
  <c r="J21" i="11"/>
  <c r="C22" i="11"/>
  <c r="D22" i="11"/>
  <c r="E22" i="11"/>
  <c r="F22" i="11"/>
  <c r="G22" i="11"/>
  <c r="H22" i="11"/>
  <c r="I22" i="11"/>
  <c r="J22" i="11"/>
  <c r="C23" i="11"/>
  <c r="D23" i="11"/>
  <c r="E23" i="11"/>
  <c r="F23" i="11"/>
  <c r="G23" i="11"/>
  <c r="H23" i="11"/>
  <c r="I23" i="11"/>
  <c r="J23" i="11"/>
  <c r="C24" i="11"/>
  <c r="D24" i="11"/>
  <c r="E24" i="11"/>
  <c r="F24" i="11"/>
  <c r="G24" i="11"/>
  <c r="H24" i="11"/>
  <c r="I24" i="11"/>
  <c r="J24" i="11"/>
  <c r="C25" i="11"/>
  <c r="D25" i="11"/>
  <c r="E25" i="11"/>
  <c r="F25" i="11"/>
  <c r="G25" i="11"/>
  <c r="H25" i="11"/>
  <c r="I25" i="11"/>
  <c r="J25" i="11"/>
  <c r="C26" i="11"/>
  <c r="D26" i="11"/>
  <c r="E26" i="11"/>
  <c r="F26" i="11"/>
  <c r="G26" i="11"/>
  <c r="H26" i="11"/>
  <c r="I26" i="11"/>
  <c r="J26" i="11"/>
  <c r="C27" i="11"/>
  <c r="D27" i="11"/>
  <c r="E27" i="11"/>
  <c r="F27" i="11"/>
  <c r="G27" i="11"/>
  <c r="H27" i="11"/>
  <c r="I27" i="11"/>
  <c r="J27" i="11"/>
  <c r="C28" i="11"/>
  <c r="D28" i="11"/>
  <c r="E28" i="11"/>
  <c r="F28" i="11"/>
  <c r="G28" i="11"/>
  <c r="H28" i="11"/>
  <c r="I28" i="11"/>
  <c r="J28" i="11"/>
  <c r="C29" i="11"/>
  <c r="D29" i="11"/>
  <c r="E29" i="11"/>
  <c r="F29" i="11"/>
  <c r="G29" i="11"/>
  <c r="H29" i="11"/>
  <c r="I29" i="11"/>
  <c r="J29" i="11"/>
  <c r="C30" i="11"/>
  <c r="D30" i="11"/>
  <c r="E30" i="11"/>
  <c r="F30" i="11"/>
  <c r="G30" i="11"/>
  <c r="H30" i="11"/>
  <c r="I30" i="11"/>
  <c r="J30" i="11"/>
  <c r="C31" i="11"/>
  <c r="D31" i="11"/>
  <c r="E31" i="11"/>
  <c r="F31" i="11"/>
  <c r="G31" i="11"/>
  <c r="H31" i="11"/>
  <c r="I31" i="11"/>
  <c r="J31" i="11"/>
  <c r="C32" i="11"/>
  <c r="D32" i="11"/>
  <c r="E32" i="11"/>
  <c r="F32" i="11"/>
  <c r="G32" i="11"/>
  <c r="H32" i="11"/>
  <c r="I32" i="11"/>
  <c r="J32" i="11"/>
  <c r="C33" i="11"/>
  <c r="D33" i="11"/>
  <c r="E33" i="11"/>
  <c r="F33" i="11"/>
  <c r="G33" i="11"/>
  <c r="H33" i="11"/>
  <c r="I33" i="11"/>
  <c r="J33" i="11"/>
  <c r="C34" i="11"/>
  <c r="D34" i="11"/>
  <c r="E34" i="11"/>
  <c r="F34" i="11"/>
  <c r="G34" i="11"/>
  <c r="H34" i="11"/>
  <c r="I34" i="11"/>
  <c r="J34" i="11"/>
  <c r="C35" i="11"/>
  <c r="D35" i="11"/>
  <c r="E35" i="11"/>
  <c r="F35" i="11"/>
  <c r="G35" i="11"/>
  <c r="H35" i="11"/>
  <c r="I35" i="11"/>
  <c r="J35" i="11"/>
  <c r="C36" i="11"/>
  <c r="D36" i="11"/>
  <c r="E36" i="11"/>
  <c r="F36" i="11"/>
  <c r="G36" i="11"/>
  <c r="H36" i="11"/>
  <c r="I36" i="11"/>
  <c r="J36" i="11"/>
  <c r="C37" i="11"/>
  <c r="D37" i="11"/>
  <c r="E37" i="11"/>
  <c r="F37" i="11"/>
  <c r="G37" i="11"/>
  <c r="H37" i="11"/>
  <c r="I37" i="11"/>
  <c r="J37" i="11"/>
  <c r="C38" i="11"/>
  <c r="D38" i="11"/>
  <c r="E38" i="11"/>
  <c r="F38" i="11"/>
  <c r="G38" i="11"/>
  <c r="H38" i="11"/>
  <c r="I38" i="11"/>
  <c r="J38" i="11"/>
  <c r="C39" i="11"/>
  <c r="D39" i="11"/>
  <c r="E39" i="11"/>
  <c r="F39" i="11"/>
  <c r="G39" i="11"/>
  <c r="H39" i="11"/>
  <c r="I39" i="11"/>
  <c r="J39" i="11"/>
  <c r="C40" i="11"/>
  <c r="D40" i="11"/>
  <c r="E40" i="11"/>
  <c r="F40" i="11"/>
  <c r="G40" i="11"/>
  <c r="H40" i="11"/>
  <c r="I40" i="11"/>
  <c r="J40" i="11"/>
  <c r="C41" i="11"/>
  <c r="D41" i="11"/>
  <c r="E41" i="11"/>
  <c r="F41" i="11"/>
  <c r="G41" i="11"/>
  <c r="H41" i="11"/>
  <c r="I41" i="11"/>
  <c r="J41" i="11"/>
  <c r="C42" i="11"/>
  <c r="D42" i="11"/>
  <c r="E42" i="11"/>
  <c r="F42" i="11"/>
  <c r="G42" i="11"/>
  <c r="H42" i="11"/>
  <c r="I42" i="11"/>
  <c r="J42" i="11"/>
  <c r="C43" i="11"/>
  <c r="D43" i="11"/>
  <c r="E43" i="11"/>
  <c r="F43" i="11"/>
  <c r="G43" i="11"/>
  <c r="H43" i="11"/>
  <c r="I43" i="11"/>
  <c r="J43" i="11"/>
  <c r="C44" i="11"/>
  <c r="D44" i="11"/>
  <c r="E44" i="11"/>
  <c r="F44" i="11"/>
  <c r="G44" i="11"/>
  <c r="H44" i="11"/>
  <c r="I44" i="11"/>
  <c r="J44" i="11"/>
  <c r="C45" i="11"/>
  <c r="D45" i="11"/>
  <c r="E45" i="11"/>
  <c r="F45" i="11"/>
  <c r="G45" i="11"/>
  <c r="H45" i="11"/>
  <c r="I45" i="11"/>
  <c r="J45" i="11"/>
  <c r="C46" i="11"/>
  <c r="D46" i="11"/>
  <c r="E46" i="11"/>
  <c r="F46" i="11"/>
  <c r="G46" i="11"/>
  <c r="H46" i="11"/>
  <c r="I46" i="11"/>
  <c r="J46" i="11"/>
  <c r="C47" i="11"/>
  <c r="D47" i="11"/>
  <c r="E47" i="11"/>
  <c r="F47" i="11"/>
  <c r="G47" i="11"/>
  <c r="H47" i="11"/>
  <c r="I47" i="11"/>
  <c r="J47" i="11"/>
  <c r="C48" i="11"/>
  <c r="D48" i="11"/>
  <c r="E48" i="11"/>
  <c r="F48" i="11"/>
  <c r="G48" i="11"/>
  <c r="H48" i="11"/>
  <c r="I48" i="11"/>
  <c r="J48" i="11"/>
  <c r="C49" i="11"/>
  <c r="D49" i="11"/>
  <c r="E49" i="11"/>
  <c r="F49" i="11"/>
  <c r="G49" i="11"/>
  <c r="H49" i="11"/>
  <c r="I49" i="11"/>
  <c r="J49" i="11"/>
  <c r="C50" i="11"/>
  <c r="D50" i="11"/>
  <c r="E50" i="11"/>
  <c r="F50" i="11"/>
  <c r="G50" i="11"/>
  <c r="H50" i="11"/>
  <c r="I50" i="11"/>
  <c r="J50" i="11"/>
  <c r="C51" i="11"/>
  <c r="D51" i="11"/>
  <c r="E51" i="11"/>
  <c r="F51" i="11"/>
  <c r="G51" i="11"/>
  <c r="H51" i="11"/>
  <c r="I51" i="11"/>
  <c r="J51" i="11"/>
  <c r="C52" i="11"/>
  <c r="D52" i="11"/>
  <c r="E52" i="11"/>
  <c r="F52" i="11"/>
  <c r="G52" i="11"/>
  <c r="H52" i="11"/>
  <c r="I52" i="11"/>
  <c r="J52" i="11"/>
  <c r="C53" i="11"/>
  <c r="D53" i="11"/>
  <c r="E53" i="11"/>
  <c r="F53" i="11"/>
  <c r="G53" i="11"/>
  <c r="H53" i="11"/>
  <c r="I53" i="11"/>
  <c r="J53" i="11"/>
  <c r="C54" i="11"/>
  <c r="D54" i="11"/>
  <c r="E54" i="11"/>
  <c r="F54" i="11"/>
  <c r="G54" i="11"/>
  <c r="H54" i="11"/>
  <c r="I54" i="11"/>
  <c r="J54" i="11"/>
  <c r="C55" i="11"/>
  <c r="D55" i="11"/>
  <c r="E55" i="11"/>
  <c r="F55" i="11"/>
  <c r="G55" i="11"/>
  <c r="H55" i="11"/>
  <c r="I55" i="11"/>
  <c r="J55" i="11"/>
  <c r="C56" i="11"/>
  <c r="D56" i="11"/>
  <c r="E56" i="11"/>
  <c r="F56" i="11"/>
  <c r="G56" i="11"/>
  <c r="H56" i="11"/>
  <c r="I56" i="11"/>
  <c r="J56" i="11"/>
  <c r="C57" i="11"/>
  <c r="D57" i="11"/>
  <c r="E57" i="11"/>
  <c r="F57" i="11"/>
  <c r="G57" i="11"/>
  <c r="H57" i="11"/>
  <c r="I57" i="11"/>
  <c r="J57" i="11"/>
  <c r="J5" i="11"/>
  <c r="P5" i="11" s="1"/>
  <c r="I5" i="11"/>
  <c r="O5" i="11" s="1"/>
  <c r="H5" i="11"/>
  <c r="G5" i="11"/>
  <c r="F5" i="11"/>
  <c r="E5" i="11"/>
  <c r="D5" i="11"/>
  <c r="C5" i="11"/>
  <c r="J3" i="11"/>
  <c r="I3" i="11"/>
  <c r="A7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A6" i="11"/>
  <c r="H3" i="11"/>
  <c r="G3" i="11"/>
  <c r="F3" i="11"/>
  <c r="E3" i="11"/>
  <c r="D3" i="11"/>
  <c r="C3" i="11"/>
  <c r="H2" i="11"/>
  <c r="G2" i="11"/>
  <c r="F2" i="11"/>
  <c r="E2" i="11"/>
  <c r="D2" i="11"/>
  <c r="C2" i="11"/>
  <c r="L52" i="33" l="1"/>
  <c r="K53" i="33"/>
  <c r="G53" i="33"/>
  <c r="M52" i="33"/>
  <c r="F54" i="33"/>
  <c r="C55" i="33"/>
  <c r="D54" i="33"/>
  <c r="H54" i="33"/>
  <c r="E54" i="33"/>
  <c r="J54" i="33"/>
  <c r="I54" i="33"/>
  <c r="L32" i="31"/>
  <c r="C34" i="31"/>
  <c r="D33" i="31"/>
  <c r="K33" i="31"/>
  <c r="H33" i="31"/>
  <c r="G33" i="31"/>
  <c r="F33" i="31"/>
  <c r="E33" i="31"/>
  <c r="J33" i="31"/>
  <c r="I33" i="31"/>
  <c r="A33" i="29"/>
  <c r="M5" i="11"/>
  <c r="L5" i="11"/>
  <c r="C26" i="26"/>
  <c r="W4" i="27" s="1"/>
  <c r="H25" i="26"/>
  <c r="E25" i="26"/>
  <c r="D25" i="26"/>
  <c r="G25" i="26"/>
  <c r="F25" i="26"/>
  <c r="N5" i="11"/>
  <c r="M5" i="12"/>
  <c r="J6" i="16"/>
  <c r="L6" i="16"/>
  <c r="O6" i="16" s="1"/>
  <c r="L6" i="11"/>
  <c r="L14" i="11"/>
  <c r="L22" i="11"/>
  <c r="L30" i="11"/>
  <c r="L38" i="11"/>
  <c r="L46" i="11"/>
  <c r="L54" i="11"/>
  <c r="L11" i="11"/>
  <c r="L19" i="11"/>
  <c r="L27" i="11"/>
  <c r="L35" i="11"/>
  <c r="L43" i="11"/>
  <c r="L51" i="11"/>
  <c r="L8" i="11"/>
  <c r="L16" i="11"/>
  <c r="L24" i="11"/>
  <c r="L32" i="11"/>
  <c r="L40" i="11"/>
  <c r="L48" i="11"/>
  <c r="L56" i="11"/>
  <c r="L7" i="11"/>
  <c r="L15" i="11"/>
  <c r="L23" i="11"/>
  <c r="L31" i="11"/>
  <c r="L39" i="11"/>
  <c r="L47" i="11"/>
  <c r="L55" i="11"/>
  <c r="L29" i="11"/>
  <c r="L52" i="11"/>
  <c r="L50" i="11"/>
  <c r="L9" i="11"/>
  <c r="L12" i="11"/>
  <c r="L21" i="11"/>
  <c r="L28" i="11"/>
  <c r="L37" i="11"/>
  <c r="L44" i="11"/>
  <c r="L53" i="11"/>
  <c r="L10" i="11"/>
  <c r="L26" i="11"/>
  <c r="L42" i="11"/>
  <c r="L20" i="11"/>
  <c r="L34" i="11"/>
  <c r="L17" i="11"/>
  <c r="L33" i="11"/>
  <c r="L49" i="11"/>
  <c r="L13" i="11"/>
  <c r="L36" i="11"/>
  <c r="L45" i="11"/>
  <c r="L18" i="11"/>
  <c r="L25" i="11"/>
  <c r="L57" i="11"/>
  <c r="L41" i="11"/>
  <c r="N5" i="12"/>
  <c r="K6" i="16"/>
  <c r="L11" i="12"/>
  <c r="L19" i="12"/>
  <c r="L27" i="12"/>
  <c r="L35" i="12"/>
  <c r="L43" i="12"/>
  <c r="L51" i="12"/>
  <c r="L8" i="12"/>
  <c r="L16" i="12"/>
  <c r="L24" i="12"/>
  <c r="L32" i="12"/>
  <c r="L40" i="12"/>
  <c r="L48" i="12"/>
  <c r="L56" i="12"/>
  <c r="L13" i="12"/>
  <c r="L21" i="12"/>
  <c r="L29" i="12"/>
  <c r="L37" i="12"/>
  <c r="L45" i="12"/>
  <c r="L53" i="12"/>
  <c r="L12" i="12"/>
  <c r="L20" i="12"/>
  <c r="L28" i="12"/>
  <c r="L36" i="12"/>
  <c r="L44" i="12"/>
  <c r="L52" i="12"/>
  <c r="L18" i="12"/>
  <c r="L34" i="12"/>
  <c r="L57" i="12"/>
  <c r="L23" i="12"/>
  <c r="L7" i="12"/>
  <c r="L10" i="12"/>
  <c r="L17" i="12"/>
  <c r="L26" i="12"/>
  <c r="L33" i="12"/>
  <c r="L42" i="12"/>
  <c r="L49" i="12"/>
  <c r="L15" i="12"/>
  <c r="L31" i="12"/>
  <c r="L47" i="12"/>
  <c r="L25" i="12"/>
  <c r="L50" i="12"/>
  <c r="L55" i="12"/>
  <c r="L14" i="12"/>
  <c r="L30" i="12"/>
  <c r="L46" i="12"/>
  <c r="L6" i="12"/>
  <c r="L22" i="12"/>
  <c r="L38" i="12"/>
  <c r="L54" i="12"/>
  <c r="L9" i="12"/>
  <c r="L41" i="12"/>
  <c r="L39" i="12"/>
  <c r="K7" i="16"/>
  <c r="K15" i="16"/>
  <c r="K23" i="16"/>
  <c r="K31" i="16"/>
  <c r="K39" i="16"/>
  <c r="K47" i="16"/>
  <c r="K55" i="16"/>
  <c r="K8" i="16"/>
  <c r="K16" i="16"/>
  <c r="K24" i="16"/>
  <c r="K32" i="16"/>
  <c r="K40" i="16"/>
  <c r="K48" i="16"/>
  <c r="K56" i="16"/>
  <c r="K34" i="16"/>
  <c r="K58" i="16"/>
  <c r="K11" i="16"/>
  <c r="K27" i="16"/>
  <c r="K43" i="16"/>
  <c r="K51" i="16"/>
  <c r="K22" i="16"/>
  <c r="K46" i="16"/>
  <c r="K9" i="16"/>
  <c r="K17" i="16"/>
  <c r="K25" i="16"/>
  <c r="K33" i="16"/>
  <c r="K41" i="16"/>
  <c r="K49" i="16"/>
  <c r="K57" i="16"/>
  <c r="K10" i="16"/>
  <c r="K18" i="16"/>
  <c r="K26" i="16"/>
  <c r="K42" i="16"/>
  <c r="K50" i="16"/>
  <c r="K19" i="16"/>
  <c r="K35" i="16"/>
  <c r="K14" i="16"/>
  <c r="K38" i="16"/>
  <c r="K12" i="16"/>
  <c r="K20" i="16"/>
  <c r="K28" i="16"/>
  <c r="K36" i="16"/>
  <c r="K44" i="16"/>
  <c r="K52" i="16"/>
  <c r="K13" i="16"/>
  <c r="K21" i="16"/>
  <c r="K29" i="16"/>
  <c r="K37" i="16"/>
  <c r="K45" i="16"/>
  <c r="K53" i="16"/>
  <c r="K30" i="16"/>
  <c r="K54" i="16"/>
  <c r="M6" i="16"/>
  <c r="P6" i="16" s="1"/>
  <c r="F8" i="23"/>
  <c r="H8" i="23"/>
  <c r="E8" i="23"/>
  <c r="D8" i="23"/>
  <c r="G8" i="23"/>
  <c r="M9" i="11"/>
  <c r="M17" i="11"/>
  <c r="M25" i="11"/>
  <c r="M33" i="11"/>
  <c r="M41" i="11"/>
  <c r="M49" i="11"/>
  <c r="M57" i="11"/>
  <c r="M6" i="11"/>
  <c r="M14" i="11"/>
  <c r="M22" i="11"/>
  <c r="M30" i="11"/>
  <c r="M38" i="11"/>
  <c r="M46" i="11"/>
  <c r="M54" i="11"/>
  <c r="M11" i="11"/>
  <c r="M19" i="11"/>
  <c r="M27" i="11"/>
  <c r="M35" i="11"/>
  <c r="M43" i="11"/>
  <c r="M51" i="11"/>
  <c r="M10" i="11"/>
  <c r="M18" i="11"/>
  <c r="M26" i="11"/>
  <c r="M34" i="11"/>
  <c r="M42" i="11"/>
  <c r="M50" i="11"/>
  <c r="M20" i="11"/>
  <c r="M29" i="11"/>
  <c r="M12" i="11"/>
  <c r="M21" i="11"/>
  <c r="M28" i="11"/>
  <c r="M37" i="11"/>
  <c r="M44" i="11"/>
  <c r="M53" i="11"/>
  <c r="M13" i="11"/>
  <c r="M45" i="11"/>
  <c r="M7" i="11"/>
  <c r="M8" i="11"/>
  <c r="M15" i="11"/>
  <c r="M24" i="11"/>
  <c r="M31" i="11"/>
  <c r="M40" i="11"/>
  <c r="M47" i="11"/>
  <c r="M56" i="11"/>
  <c r="M36" i="11"/>
  <c r="M52" i="11"/>
  <c r="M32" i="11"/>
  <c r="M39" i="11"/>
  <c r="M16" i="11"/>
  <c r="M23" i="11"/>
  <c r="M48" i="11"/>
  <c r="M55" i="11"/>
  <c r="J10" i="16"/>
  <c r="J18" i="16"/>
  <c r="J26" i="16"/>
  <c r="J34" i="16"/>
  <c r="J42" i="16"/>
  <c r="J50" i="16"/>
  <c r="J58" i="16"/>
  <c r="J11" i="16"/>
  <c r="J19" i="16"/>
  <c r="J27" i="16"/>
  <c r="J35" i="16"/>
  <c r="J43" i="16"/>
  <c r="J51" i="16"/>
  <c r="J21" i="16"/>
  <c r="J29" i="16"/>
  <c r="J53" i="16"/>
  <c r="J14" i="16"/>
  <c r="J38" i="16"/>
  <c r="J46" i="16"/>
  <c r="J48" i="16"/>
  <c r="J9" i="16"/>
  <c r="J41" i="16"/>
  <c r="J12" i="16"/>
  <c r="J20" i="16"/>
  <c r="J28" i="16"/>
  <c r="J36" i="16"/>
  <c r="J44" i="16"/>
  <c r="J52" i="16"/>
  <c r="J13" i="16"/>
  <c r="J37" i="16"/>
  <c r="J45" i="16"/>
  <c r="J22" i="16"/>
  <c r="J30" i="16"/>
  <c r="J54" i="16"/>
  <c r="J40" i="16"/>
  <c r="J25" i="16"/>
  <c r="J49" i="16"/>
  <c r="J7" i="16"/>
  <c r="J15" i="16"/>
  <c r="J23" i="16"/>
  <c r="J31" i="16"/>
  <c r="J39" i="16"/>
  <c r="J47" i="16"/>
  <c r="J55" i="16"/>
  <c r="J8" i="16"/>
  <c r="J16" i="16"/>
  <c r="J24" i="16"/>
  <c r="J32" i="16"/>
  <c r="J56" i="16"/>
  <c r="J17" i="16"/>
  <c r="J33" i="16"/>
  <c r="J57" i="16"/>
  <c r="M6" i="12"/>
  <c r="M14" i="12"/>
  <c r="M22" i="12"/>
  <c r="M30" i="12"/>
  <c r="M38" i="12"/>
  <c r="M46" i="12"/>
  <c r="M54" i="12"/>
  <c r="M11" i="12"/>
  <c r="M19" i="12"/>
  <c r="M27" i="12"/>
  <c r="M35" i="12"/>
  <c r="M43" i="12"/>
  <c r="M51" i="12"/>
  <c r="M8" i="12"/>
  <c r="M16" i="12"/>
  <c r="M24" i="12"/>
  <c r="M32" i="12"/>
  <c r="M40" i="12"/>
  <c r="M48" i="12"/>
  <c r="M56" i="12"/>
  <c r="M7" i="12"/>
  <c r="M15" i="12"/>
  <c r="M23" i="12"/>
  <c r="M31" i="12"/>
  <c r="M39" i="12"/>
  <c r="M47" i="12"/>
  <c r="M55" i="12"/>
  <c r="M34" i="12"/>
  <c r="M50" i="12"/>
  <c r="M21" i="12"/>
  <c r="M28" i="12"/>
  <c r="M37" i="12"/>
  <c r="M44" i="12"/>
  <c r="M9" i="12"/>
  <c r="M18" i="12"/>
  <c r="M10" i="12"/>
  <c r="M17" i="12"/>
  <c r="M26" i="12"/>
  <c r="M33" i="12"/>
  <c r="M42" i="12"/>
  <c r="M49" i="12"/>
  <c r="M25" i="12"/>
  <c r="M41" i="12"/>
  <c r="M12" i="12"/>
  <c r="M13" i="12"/>
  <c r="M20" i="12"/>
  <c r="M29" i="12"/>
  <c r="M36" i="12"/>
  <c r="M45" i="12"/>
  <c r="M52" i="12"/>
  <c r="M57" i="12"/>
  <c r="M53" i="12"/>
  <c r="N12" i="11"/>
  <c r="N20" i="11"/>
  <c r="N28" i="11"/>
  <c r="N36" i="11"/>
  <c r="N44" i="11"/>
  <c r="N52" i="11"/>
  <c r="N9" i="11"/>
  <c r="N17" i="11"/>
  <c r="N25" i="11"/>
  <c r="N33" i="11"/>
  <c r="N41" i="11"/>
  <c r="N49" i="11"/>
  <c r="N57" i="11"/>
  <c r="N6" i="11"/>
  <c r="N14" i="11"/>
  <c r="N22" i="11"/>
  <c r="N30" i="11"/>
  <c r="N38" i="11"/>
  <c r="N46" i="11"/>
  <c r="N54" i="11"/>
  <c r="N13" i="11"/>
  <c r="N21" i="11"/>
  <c r="N29" i="11"/>
  <c r="N37" i="11"/>
  <c r="N45" i="11"/>
  <c r="N53" i="11"/>
  <c r="N8" i="11"/>
  <c r="N15" i="11"/>
  <c r="N24" i="11"/>
  <c r="N31" i="11"/>
  <c r="N40" i="11"/>
  <c r="N47" i="11"/>
  <c r="N56" i="11"/>
  <c r="N11" i="11"/>
  <c r="N43" i="11"/>
  <c r="N19" i="11"/>
  <c r="N35" i="11"/>
  <c r="N51" i="11"/>
  <c r="N10" i="11"/>
  <c r="N26" i="11"/>
  <c r="N42" i="11"/>
  <c r="N27" i="11"/>
  <c r="N18" i="11"/>
  <c r="N55" i="11"/>
  <c r="N16" i="11"/>
  <c r="N32" i="11"/>
  <c r="N39" i="11"/>
  <c r="N23" i="11"/>
  <c r="N50" i="11"/>
  <c r="N34" i="11"/>
  <c r="N7" i="11"/>
  <c r="N48" i="11"/>
  <c r="L5" i="12"/>
  <c r="N9" i="12"/>
  <c r="N17" i="12"/>
  <c r="N25" i="12"/>
  <c r="N33" i="12"/>
  <c r="N41" i="12"/>
  <c r="N49" i="12"/>
  <c r="N57" i="12"/>
  <c r="N6" i="12"/>
  <c r="N14" i="12"/>
  <c r="N22" i="12"/>
  <c r="N30" i="12"/>
  <c r="N38" i="12"/>
  <c r="N46" i="12"/>
  <c r="N54" i="12"/>
  <c r="N11" i="12"/>
  <c r="N19" i="12"/>
  <c r="N27" i="12"/>
  <c r="N35" i="12"/>
  <c r="N43" i="12"/>
  <c r="N51" i="12"/>
  <c r="N10" i="12"/>
  <c r="N18" i="12"/>
  <c r="N26" i="12"/>
  <c r="N34" i="12"/>
  <c r="N42" i="12"/>
  <c r="N50" i="12"/>
  <c r="N13" i="12"/>
  <c r="N20" i="12"/>
  <c r="N29" i="12"/>
  <c r="N36" i="12"/>
  <c r="N45" i="12"/>
  <c r="N52" i="12"/>
  <c r="N7" i="12"/>
  <c r="N55" i="12"/>
  <c r="N16" i="12"/>
  <c r="N8" i="12"/>
  <c r="N24" i="12"/>
  <c r="N40" i="12"/>
  <c r="N56" i="12"/>
  <c r="N23" i="12"/>
  <c r="N39" i="12"/>
  <c r="N15" i="12"/>
  <c r="N31" i="12"/>
  <c r="N47" i="12"/>
  <c r="N32" i="12"/>
  <c r="N48" i="12"/>
  <c r="N37" i="12"/>
  <c r="N53" i="12"/>
  <c r="N12" i="12"/>
  <c r="N28" i="12"/>
  <c r="N21" i="12"/>
  <c r="N44" i="12"/>
  <c r="H7" i="16"/>
  <c r="D7" i="16"/>
  <c r="E7" i="16"/>
  <c r="C7" i="16"/>
  <c r="I6" i="16"/>
  <c r="G7" i="16"/>
  <c r="M7" i="16" s="1"/>
  <c r="N13" i="3"/>
  <c r="O15" i="3"/>
  <c r="L13" i="3"/>
  <c r="L15" i="3" s="1"/>
  <c r="O14" i="3"/>
  <c r="O16" i="3" s="1"/>
  <c r="O18" i="3" s="1"/>
  <c r="P13" i="3"/>
  <c r="M13" i="3"/>
  <c r="M14" i="3" s="1"/>
  <c r="M16" i="3" s="1"/>
  <c r="M18" i="3" s="1"/>
  <c r="J10" i="3"/>
  <c r="H10" i="3" s="1"/>
  <c r="H12" i="3" s="1"/>
  <c r="H13" i="3" s="1"/>
  <c r="I13" i="3" s="1"/>
  <c r="I17" i="3" s="1"/>
  <c r="H7" i="3"/>
  <c r="C10" i="22"/>
  <c r="D10" i="22"/>
  <c r="C9" i="2"/>
  <c r="C9" i="23" s="1"/>
  <c r="E8" i="2"/>
  <c r="D7" i="2"/>
  <c r="H8" i="13"/>
  <c r="F6" i="15"/>
  <c r="H54" i="14"/>
  <c r="H46" i="14"/>
  <c r="H38" i="14"/>
  <c r="H30" i="14"/>
  <c r="H22" i="14"/>
  <c r="H14" i="14"/>
  <c r="H6" i="14"/>
  <c r="F14" i="15"/>
  <c r="H7" i="13"/>
  <c r="H46" i="13"/>
  <c r="H22" i="13"/>
  <c r="H53" i="13"/>
  <c r="H45" i="13"/>
  <c r="H37" i="13"/>
  <c r="H29" i="13"/>
  <c r="H21" i="13"/>
  <c r="H13" i="13"/>
  <c r="F16" i="15"/>
  <c r="H52" i="13"/>
  <c r="H44" i="13"/>
  <c r="H36" i="13"/>
  <c r="H28" i="13"/>
  <c r="H20" i="13"/>
  <c r="H12" i="13"/>
  <c r="H55" i="14"/>
  <c r="H52" i="14"/>
  <c r="H47" i="14"/>
  <c r="H44" i="14"/>
  <c r="H39" i="14"/>
  <c r="H36" i="14"/>
  <c r="H31" i="14"/>
  <c r="H28" i="14"/>
  <c r="H23" i="14"/>
  <c r="H20" i="14"/>
  <c r="H15" i="14"/>
  <c r="H12" i="14"/>
  <c r="H7" i="14"/>
  <c r="H38" i="13"/>
  <c r="H14" i="13"/>
  <c r="H51" i="13"/>
  <c r="H43" i="13"/>
  <c r="H35" i="13"/>
  <c r="H27" i="13"/>
  <c r="H19" i="13"/>
  <c r="H11" i="13"/>
  <c r="H53" i="14"/>
  <c r="H45" i="14"/>
  <c r="H37" i="14"/>
  <c r="H29" i="14"/>
  <c r="H21" i="14"/>
  <c r="H13" i="14"/>
  <c r="F54" i="15"/>
  <c r="F52" i="15"/>
  <c r="F20" i="15"/>
  <c r="F8" i="15"/>
  <c r="H5" i="13"/>
  <c r="H50" i="13"/>
  <c r="H42" i="13"/>
  <c r="H34" i="13"/>
  <c r="H26" i="13"/>
  <c r="H18" i="13"/>
  <c r="H10" i="13"/>
  <c r="H5" i="14"/>
  <c r="H50" i="14"/>
  <c r="H42" i="14"/>
  <c r="H34" i="14"/>
  <c r="H26" i="14"/>
  <c r="H18" i="14"/>
  <c r="H10" i="14"/>
  <c r="F36" i="15"/>
  <c r="F30" i="15"/>
  <c r="F23" i="15"/>
  <c r="H54" i="13"/>
  <c r="H30" i="13"/>
  <c r="H6" i="13"/>
  <c r="H57" i="13"/>
  <c r="H49" i="13"/>
  <c r="H41" i="13"/>
  <c r="H33" i="13"/>
  <c r="H25" i="13"/>
  <c r="H17" i="13"/>
  <c r="H9" i="13"/>
  <c r="H56" i="13"/>
  <c r="H48" i="13"/>
  <c r="H40" i="13"/>
  <c r="H32" i="13"/>
  <c r="H24" i="13"/>
  <c r="H16" i="13"/>
  <c r="H56" i="14"/>
  <c r="H51" i="14"/>
  <c r="H48" i="14"/>
  <c r="H43" i="14"/>
  <c r="H40" i="14"/>
  <c r="H35" i="14"/>
  <c r="H32" i="14"/>
  <c r="H27" i="14"/>
  <c r="H24" i="14"/>
  <c r="H19" i="14"/>
  <c r="H16" i="14"/>
  <c r="H11" i="14"/>
  <c r="H8" i="14"/>
  <c r="F46" i="15"/>
  <c r="F38" i="15"/>
  <c r="F7" i="15"/>
  <c r="H55" i="13"/>
  <c r="H47" i="13"/>
  <c r="H39" i="13"/>
  <c r="H31" i="13"/>
  <c r="H23" i="13"/>
  <c r="H15" i="13"/>
  <c r="H57" i="14"/>
  <c r="H49" i="14"/>
  <c r="H41" i="14"/>
  <c r="H33" i="14"/>
  <c r="H25" i="14"/>
  <c r="H17" i="14"/>
  <c r="H9" i="14"/>
  <c r="F48" i="15"/>
  <c r="F32" i="15"/>
  <c r="F22" i="15"/>
  <c r="A13" i="21"/>
  <c r="C12" i="21"/>
  <c r="B12" i="21"/>
  <c r="A9" i="18"/>
  <c r="A8" i="16"/>
  <c r="F5" i="15"/>
  <c r="F33" i="15"/>
  <c r="F28" i="15"/>
  <c r="F18" i="15"/>
  <c r="F55" i="15"/>
  <c r="F50" i="15"/>
  <c r="F40" i="15"/>
  <c r="F10" i="15"/>
  <c r="F42" i="15"/>
  <c r="F17" i="15"/>
  <c r="F12" i="15"/>
  <c r="F39" i="15"/>
  <c r="F34" i="15"/>
  <c r="F24" i="15"/>
  <c r="F49" i="15"/>
  <c r="F44" i="15"/>
  <c r="F56" i="15"/>
  <c r="F26" i="15"/>
  <c r="F51" i="15"/>
  <c r="F35" i="15"/>
  <c r="F19" i="15"/>
  <c r="F53" i="15"/>
  <c r="F37" i="15"/>
  <c r="F21" i="15"/>
  <c r="F57" i="15"/>
  <c r="F25" i="15"/>
  <c r="F9" i="15"/>
  <c r="F43" i="15"/>
  <c r="F27" i="15"/>
  <c r="F11" i="15"/>
  <c r="F41" i="15"/>
  <c r="F29" i="15"/>
  <c r="F13" i="15"/>
  <c r="F45" i="15"/>
  <c r="F47" i="15"/>
  <c r="F31" i="15"/>
  <c r="F15" i="15"/>
  <c r="A7" i="15"/>
  <c r="A7" i="14"/>
  <c r="A7" i="13"/>
  <c r="A10" i="12"/>
  <c r="A8" i="11"/>
  <c r="H5" i="10"/>
  <c r="G5" i="10"/>
  <c r="F5" i="10"/>
  <c r="E5" i="10"/>
  <c r="D5" i="10"/>
  <c r="C5" i="10"/>
  <c r="H2" i="10"/>
  <c r="F2" i="10"/>
  <c r="D2" i="10"/>
  <c r="G2" i="10"/>
  <c r="E2" i="10"/>
  <c r="C2" i="10"/>
  <c r="H3" i="10"/>
  <c r="G3" i="10"/>
  <c r="F3" i="10"/>
  <c r="E3" i="10"/>
  <c r="D3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A6" i="10"/>
  <c r="C3" i="10"/>
  <c r="G3" i="9"/>
  <c r="F3" i="9"/>
  <c r="E3" i="9"/>
  <c r="D3" i="9"/>
  <c r="C3" i="9"/>
  <c r="B8" i="9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B15" i="3"/>
  <c r="B9" i="3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A6" i="8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A6" i="7"/>
  <c r="P2" i="5"/>
  <c r="L53" i="33" l="1"/>
  <c r="G54" i="33"/>
  <c r="M53" i="33"/>
  <c r="K54" i="33"/>
  <c r="H55" i="33"/>
  <c r="C56" i="33"/>
  <c r="D55" i="33"/>
  <c r="F55" i="33"/>
  <c r="J55" i="33"/>
  <c r="I55" i="33"/>
  <c r="E55" i="33"/>
  <c r="L33" i="31"/>
  <c r="C35" i="31"/>
  <c r="D34" i="31"/>
  <c r="K34" i="31"/>
  <c r="H34" i="31"/>
  <c r="G34" i="31"/>
  <c r="F34" i="31"/>
  <c r="J34" i="31"/>
  <c r="I34" i="31"/>
  <c r="E34" i="31"/>
  <c r="M15" i="3"/>
  <c r="D8" i="2"/>
  <c r="C8" i="28"/>
  <c r="A34" i="29"/>
  <c r="N6" i="16"/>
  <c r="C27" i="26"/>
  <c r="D26" i="26"/>
  <c r="H26" i="26"/>
  <c r="G26" i="26"/>
  <c r="E26" i="26"/>
  <c r="F26" i="26"/>
  <c r="D9" i="23"/>
  <c r="G9" i="23"/>
  <c r="E9" i="23"/>
  <c r="H9" i="23"/>
  <c r="F9" i="23"/>
  <c r="K8" i="10"/>
  <c r="K16" i="10"/>
  <c r="K24" i="10"/>
  <c r="K32" i="10"/>
  <c r="K40" i="10"/>
  <c r="K48" i="10"/>
  <c r="K56" i="10"/>
  <c r="K11" i="10"/>
  <c r="K19" i="10"/>
  <c r="K27" i="10"/>
  <c r="K35" i="10"/>
  <c r="K43" i="10"/>
  <c r="K51" i="10"/>
  <c r="K6" i="10"/>
  <c r="K14" i="10"/>
  <c r="K22" i="10"/>
  <c r="K30" i="10"/>
  <c r="K38" i="10"/>
  <c r="K46" i="10"/>
  <c r="K54" i="10"/>
  <c r="K7" i="10"/>
  <c r="K15" i="10"/>
  <c r="K23" i="10"/>
  <c r="K31" i="10"/>
  <c r="K39" i="10"/>
  <c r="K47" i="10"/>
  <c r="K55" i="10"/>
  <c r="K21" i="10"/>
  <c r="K37" i="10"/>
  <c r="K53" i="10"/>
  <c r="K17" i="10"/>
  <c r="K12" i="10"/>
  <c r="K28" i="10"/>
  <c r="K44" i="10"/>
  <c r="K9" i="10"/>
  <c r="K25" i="10"/>
  <c r="K41" i="10"/>
  <c r="K57" i="10"/>
  <c r="K20" i="10"/>
  <c r="K36" i="10"/>
  <c r="K52" i="10"/>
  <c r="K49" i="10"/>
  <c r="K10" i="10"/>
  <c r="K26" i="10"/>
  <c r="K42" i="10"/>
  <c r="K33" i="10"/>
  <c r="K50" i="10"/>
  <c r="K13" i="10"/>
  <c r="K29" i="10"/>
  <c r="K34" i="10"/>
  <c r="K18" i="10"/>
  <c r="K45" i="10"/>
  <c r="J5" i="10"/>
  <c r="J11" i="10"/>
  <c r="J19" i="10"/>
  <c r="J27" i="10"/>
  <c r="J35" i="10"/>
  <c r="J43" i="10"/>
  <c r="J51" i="10"/>
  <c r="J6" i="10"/>
  <c r="J14" i="10"/>
  <c r="J22" i="10"/>
  <c r="J30" i="10"/>
  <c r="J38" i="10"/>
  <c r="J46" i="10"/>
  <c r="J54" i="10"/>
  <c r="J9" i="10"/>
  <c r="J17" i="10"/>
  <c r="J25" i="10"/>
  <c r="J33" i="10"/>
  <c r="J41" i="10"/>
  <c r="J49" i="10"/>
  <c r="J57" i="10"/>
  <c r="J10" i="10"/>
  <c r="J18" i="10"/>
  <c r="J26" i="10"/>
  <c r="J34" i="10"/>
  <c r="J42" i="10"/>
  <c r="J50" i="10"/>
  <c r="J16" i="10"/>
  <c r="J32" i="10"/>
  <c r="J48" i="10"/>
  <c r="J28" i="10"/>
  <c r="J44" i="10"/>
  <c r="J20" i="10"/>
  <c r="J36" i="10"/>
  <c r="J52" i="10"/>
  <c r="J15" i="10"/>
  <c r="J31" i="10"/>
  <c r="J47" i="10"/>
  <c r="J7" i="10"/>
  <c r="J23" i="10"/>
  <c r="J39" i="10"/>
  <c r="J55" i="10"/>
  <c r="J21" i="10"/>
  <c r="J37" i="10"/>
  <c r="J53" i="10"/>
  <c r="J12" i="10"/>
  <c r="J29" i="10"/>
  <c r="J8" i="10"/>
  <c r="J13" i="10"/>
  <c r="J56" i="10"/>
  <c r="J40" i="10"/>
  <c r="J45" i="10"/>
  <c r="J24" i="10"/>
  <c r="Q6" i="16"/>
  <c r="F4" i="24" s="1"/>
  <c r="L13" i="10"/>
  <c r="L21" i="10"/>
  <c r="L29" i="10"/>
  <c r="L37" i="10"/>
  <c r="L45" i="10"/>
  <c r="L53" i="10"/>
  <c r="L8" i="10"/>
  <c r="L16" i="10"/>
  <c r="L24" i="10"/>
  <c r="L32" i="10"/>
  <c r="L40" i="10"/>
  <c r="L48" i="10"/>
  <c r="L56" i="10"/>
  <c r="L11" i="10"/>
  <c r="L19" i="10"/>
  <c r="L27" i="10"/>
  <c r="L35" i="10"/>
  <c r="L43" i="10"/>
  <c r="L51" i="10"/>
  <c r="L12" i="10"/>
  <c r="L20" i="10"/>
  <c r="L28" i="10"/>
  <c r="L36" i="10"/>
  <c r="L44" i="10"/>
  <c r="L52" i="10"/>
  <c r="L5" i="10"/>
  <c r="E4" i="24" s="1"/>
  <c r="L10" i="10"/>
  <c r="L26" i="10"/>
  <c r="L42" i="10"/>
  <c r="L14" i="10"/>
  <c r="L30" i="10"/>
  <c r="L46" i="10"/>
  <c r="L9" i="10"/>
  <c r="L25" i="10"/>
  <c r="L41" i="10"/>
  <c r="L57" i="10"/>
  <c r="L6" i="10"/>
  <c r="L22" i="10"/>
  <c r="L38" i="10"/>
  <c r="L15" i="10"/>
  <c r="L31" i="10"/>
  <c r="L47" i="10"/>
  <c r="L54" i="10"/>
  <c r="L17" i="10"/>
  <c r="L33" i="10"/>
  <c r="L49" i="10"/>
  <c r="L7" i="10"/>
  <c r="L39" i="10"/>
  <c r="L50" i="10"/>
  <c r="L34" i="10"/>
  <c r="L55" i="10"/>
  <c r="L18" i="10"/>
  <c r="L23" i="10"/>
  <c r="P7" i="16"/>
  <c r="Q7" i="16"/>
  <c r="F5" i="24" s="1"/>
  <c r="L7" i="16"/>
  <c r="I7" i="16"/>
  <c r="H8" i="16"/>
  <c r="C8" i="16"/>
  <c r="D8" i="16"/>
  <c r="F8" i="16"/>
  <c r="M8" i="16" s="1"/>
  <c r="G8" i="16"/>
  <c r="E8" i="16"/>
  <c r="G6" i="10"/>
  <c r="H6" i="10"/>
  <c r="C6" i="10"/>
  <c r="D6" i="10"/>
  <c r="I6" i="10" s="1"/>
  <c r="E6" i="10"/>
  <c r="K5" i="10"/>
  <c r="D4" i="24" s="1"/>
  <c r="F6" i="10"/>
  <c r="L17" i="3"/>
  <c r="M17" i="3"/>
  <c r="N15" i="3"/>
  <c r="N14" i="3"/>
  <c r="N16" i="3" s="1"/>
  <c r="N18" i="3" s="1"/>
  <c r="N17" i="3"/>
  <c r="L14" i="3"/>
  <c r="L16" i="3" s="1"/>
  <c r="L18" i="3" s="1"/>
  <c r="P17" i="3"/>
  <c r="P14" i="3"/>
  <c r="P16" i="3" s="1"/>
  <c r="P18" i="3" s="1"/>
  <c r="P15" i="3"/>
  <c r="J13" i="3"/>
  <c r="I15" i="3"/>
  <c r="A7" i="7"/>
  <c r="E6" i="8"/>
  <c r="E5" i="8"/>
  <c r="A7" i="8"/>
  <c r="I2" i="11"/>
  <c r="J2" i="12"/>
  <c r="J2" i="11"/>
  <c r="I2" i="12"/>
  <c r="C11" i="22"/>
  <c r="D11" i="22"/>
  <c r="C10" i="2"/>
  <c r="C10" i="23" s="1"/>
  <c r="E9" i="2"/>
  <c r="I5" i="10"/>
  <c r="H12" i="9"/>
  <c r="H20" i="9"/>
  <c r="H28" i="9"/>
  <c r="H36" i="9"/>
  <c r="H44" i="9"/>
  <c r="H52" i="9"/>
  <c r="H7" i="9"/>
  <c r="H13" i="9"/>
  <c r="H21" i="9"/>
  <c r="H29" i="9"/>
  <c r="H37" i="9"/>
  <c r="H45" i="9"/>
  <c r="H53" i="9"/>
  <c r="H14" i="9"/>
  <c r="H22" i="9"/>
  <c r="H30" i="9"/>
  <c r="H38" i="9"/>
  <c r="H46" i="9"/>
  <c r="H54" i="9"/>
  <c r="H27" i="9"/>
  <c r="H51" i="9"/>
  <c r="H15" i="9"/>
  <c r="H23" i="9"/>
  <c r="H31" i="9"/>
  <c r="H39" i="9"/>
  <c r="H47" i="9"/>
  <c r="H55" i="9"/>
  <c r="H8" i="9"/>
  <c r="H16" i="9"/>
  <c r="H24" i="9"/>
  <c r="H32" i="9"/>
  <c r="H40" i="9"/>
  <c r="H48" i="9"/>
  <c r="H56" i="9"/>
  <c r="H11" i="9"/>
  <c r="H35" i="9"/>
  <c r="H59" i="9"/>
  <c r="H9" i="9"/>
  <c r="H17" i="9"/>
  <c r="H25" i="9"/>
  <c r="H33" i="9"/>
  <c r="H41" i="9"/>
  <c r="H49" i="9"/>
  <c r="H57" i="9"/>
  <c r="H10" i="9"/>
  <c r="H18" i="9"/>
  <c r="H26" i="9"/>
  <c r="H34" i="9"/>
  <c r="H42" i="9"/>
  <c r="H50" i="9"/>
  <c r="H58" i="9"/>
  <c r="H19" i="9"/>
  <c r="H43" i="9"/>
  <c r="A14" i="21"/>
  <c r="C13" i="21"/>
  <c r="B13" i="21"/>
  <c r="A10" i="18"/>
  <c r="A9" i="16"/>
  <c r="A8" i="15"/>
  <c r="A8" i="14"/>
  <c r="A8" i="13"/>
  <c r="A11" i="12"/>
  <c r="A9" i="11"/>
  <c r="A7" i="10"/>
  <c r="V4" i="5"/>
  <c r="L54" i="33" l="1"/>
  <c r="K55" i="33"/>
  <c r="M54" i="33"/>
  <c r="G55" i="33"/>
  <c r="I56" i="33"/>
  <c r="D56" i="33"/>
  <c r="C57" i="33"/>
  <c r="F56" i="33"/>
  <c r="J56" i="33"/>
  <c r="H56" i="33"/>
  <c r="E56" i="33"/>
  <c r="L34" i="31"/>
  <c r="C36" i="31"/>
  <c r="D35" i="31"/>
  <c r="K35" i="31"/>
  <c r="H35" i="31"/>
  <c r="G35" i="31"/>
  <c r="F35" i="31"/>
  <c r="J35" i="31"/>
  <c r="I35" i="31"/>
  <c r="E35" i="31"/>
  <c r="D9" i="2"/>
  <c r="C9" i="28"/>
  <c r="G4" i="19"/>
  <c r="A35" i="29"/>
  <c r="E5" i="24"/>
  <c r="C4" i="24"/>
  <c r="Y4" i="27"/>
  <c r="AA4" i="27"/>
  <c r="H4" i="19"/>
  <c r="AB4" i="27"/>
  <c r="Z4" i="27"/>
  <c r="M4" i="26"/>
  <c r="J4" i="26"/>
  <c r="K4" i="26"/>
  <c r="L4" i="26"/>
  <c r="N4" i="26"/>
  <c r="X4" i="27"/>
  <c r="C28" i="26"/>
  <c r="F27" i="26"/>
  <c r="G27" i="26"/>
  <c r="E27" i="26"/>
  <c r="D27" i="26"/>
  <c r="H27" i="26"/>
  <c r="F4" i="19"/>
  <c r="E10" i="23"/>
  <c r="G10" i="23"/>
  <c r="D10" i="23"/>
  <c r="H10" i="23"/>
  <c r="F10" i="23"/>
  <c r="C4" i="19"/>
  <c r="E4" i="19"/>
  <c r="D4" i="19"/>
  <c r="R6" i="16"/>
  <c r="G4" i="24" s="1"/>
  <c r="H5" i="19"/>
  <c r="C5" i="19"/>
  <c r="D5" i="19"/>
  <c r="F5" i="19"/>
  <c r="G5" i="19"/>
  <c r="E5" i="19"/>
  <c r="P8" i="16"/>
  <c r="E6" i="24" s="1"/>
  <c r="Q8" i="16"/>
  <c r="F6" i="24" s="1"/>
  <c r="L8" i="16"/>
  <c r="O7" i="16"/>
  <c r="D5" i="24" s="1"/>
  <c r="N7" i="16"/>
  <c r="C5" i="24" s="1"/>
  <c r="R7" i="16"/>
  <c r="G5" i="24" s="1"/>
  <c r="I8" i="16"/>
  <c r="D9" i="16"/>
  <c r="E9" i="16"/>
  <c r="C9" i="16"/>
  <c r="F9" i="16"/>
  <c r="H9" i="16"/>
  <c r="G9" i="16"/>
  <c r="C7" i="10"/>
  <c r="D7" i="10"/>
  <c r="E7" i="10"/>
  <c r="G7" i="10"/>
  <c r="F7" i="10"/>
  <c r="H7" i="10"/>
  <c r="I14" i="3"/>
  <c r="I16" i="3" s="1"/>
  <c r="I18" i="3" s="1"/>
  <c r="J15" i="3"/>
  <c r="J17" i="3"/>
  <c r="J14" i="3"/>
  <c r="J16" i="3" s="1"/>
  <c r="E7" i="7"/>
  <c r="A8" i="7"/>
  <c r="A9" i="7" s="1"/>
  <c r="A8" i="8"/>
  <c r="E6" i="7"/>
  <c r="K20" i="11"/>
  <c r="K21" i="11"/>
  <c r="K57" i="11"/>
  <c r="K43" i="11"/>
  <c r="K18" i="11"/>
  <c r="K10" i="11"/>
  <c r="K29" i="11"/>
  <c r="K37" i="11"/>
  <c r="K48" i="11"/>
  <c r="K26" i="11"/>
  <c r="K56" i="11"/>
  <c r="K15" i="11"/>
  <c r="K53" i="11"/>
  <c r="K51" i="11"/>
  <c r="K5" i="11"/>
  <c r="K39" i="11"/>
  <c r="K55" i="11"/>
  <c r="K46" i="11"/>
  <c r="K16" i="11"/>
  <c r="K17" i="11"/>
  <c r="K9" i="11"/>
  <c r="K31" i="11"/>
  <c r="K28" i="11"/>
  <c r="K54" i="11"/>
  <c r="K45" i="11"/>
  <c r="K14" i="11"/>
  <c r="K11" i="11"/>
  <c r="K44" i="11"/>
  <c r="K34" i="11"/>
  <c r="K35" i="11"/>
  <c r="K7" i="11"/>
  <c r="K42" i="11"/>
  <c r="K38" i="11"/>
  <c r="K30" i="11"/>
  <c r="K50" i="11"/>
  <c r="K25" i="11"/>
  <c r="K33" i="11"/>
  <c r="K6" i="11"/>
  <c r="K40" i="11"/>
  <c r="K27" i="11"/>
  <c r="K49" i="11"/>
  <c r="K23" i="11"/>
  <c r="K32" i="11"/>
  <c r="K12" i="11"/>
  <c r="K19" i="11"/>
  <c r="K24" i="11"/>
  <c r="K52" i="11"/>
  <c r="K47" i="11"/>
  <c r="K22" i="11"/>
  <c r="K36" i="11"/>
  <c r="K13" i="11"/>
  <c r="K41" i="11"/>
  <c r="K8" i="11"/>
  <c r="C12" i="22"/>
  <c r="D12" i="22"/>
  <c r="C11" i="2"/>
  <c r="C11" i="23" s="1"/>
  <c r="E10" i="2"/>
  <c r="K53" i="12"/>
  <c r="K27" i="12"/>
  <c r="K39" i="12"/>
  <c r="K25" i="12"/>
  <c r="K11" i="12"/>
  <c r="K45" i="12"/>
  <c r="K5" i="12"/>
  <c r="K50" i="12"/>
  <c r="K23" i="12"/>
  <c r="K24" i="12"/>
  <c r="K7" i="12"/>
  <c r="K57" i="12"/>
  <c r="K48" i="12"/>
  <c r="K8" i="12"/>
  <c r="K18" i="12"/>
  <c r="K43" i="12"/>
  <c r="K40" i="12"/>
  <c r="K42" i="12"/>
  <c r="K20" i="12"/>
  <c r="K26" i="12"/>
  <c r="K55" i="12"/>
  <c r="K54" i="12"/>
  <c r="K52" i="12"/>
  <c r="K38" i="12"/>
  <c r="K33" i="12"/>
  <c r="K19" i="12"/>
  <c r="K17" i="12"/>
  <c r="K37" i="12"/>
  <c r="K29" i="12"/>
  <c r="K51" i="12"/>
  <c r="K32" i="12"/>
  <c r="K16" i="12"/>
  <c r="K9" i="12"/>
  <c r="K30" i="12"/>
  <c r="K14" i="12"/>
  <c r="K44" i="12"/>
  <c r="K21" i="12"/>
  <c r="K31" i="12"/>
  <c r="K28" i="12"/>
  <c r="K46" i="12"/>
  <c r="K34" i="12"/>
  <c r="K12" i="12"/>
  <c r="K13" i="12"/>
  <c r="K6" i="12"/>
  <c r="K41" i="12"/>
  <c r="K22" i="12"/>
  <c r="K56" i="12"/>
  <c r="K10" i="12"/>
  <c r="K36" i="12"/>
  <c r="K15" i="12"/>
  <c r="K49" i="12"/>
  <c r="K47" i="12"/>
  <c r="K35" i="12"/>
  <c r="F15" i="4"/>
  <c r="N8" i="33" s="1"/>
  <c r="K15" i="4"/>
  <c r="E4" i="28" s="1"/>
  <c r="C14" i="21"/>
  <c r="B14" i="21"/>
  <c r="A15" i="21"/>
  <c r="A11" i="18"/>
  <c r="A10" i="16"/>
  <c r="A9" i="15"/>
  <c r="A9" i="14"/>
  <c r="A9" i="13"/>
  <c r="A12" i="12"/>
  <c r="A10" i="11"/>
  <c r="A8" i="10"/>
  <c r="B16" i="4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A16" i="4"/>
  <c r="L55" i="33" l="1"/>
  <c r="P8" i="33"/>
  <c r="Y8" i="33" s="1"/>
  <c r="Q8" i="33"/>
  <c r="Z8" i="33" s="1"/>
  <c r="O8" i="33"/>
  <c r="F4" i="28"/>
  <c r="G4" i="28" s="1"/>
  <c r="M55" i="33"/>
  <c r="G56" i="33"/>
  <c r="K56" i="33"/>
  <c r="J57" i="33"/>
  <c r="E57" i="33"/>
  <c r="C58" i="33"/>
  <c r="F57" i="33"/>
  <c r="I57" i="33"/>
  <c r="H57" i="33"/>
  <c r="D57" i="33"/>
  <c r="C6" i="29"/>
  <c r="F6" i="29" s="1"/>
  <c r="N6" i="31"/>
  <c r="L35" i="31"/>
  <c r="C37" i="31"/>
  <c r="D36" i="31"/>
  <c r="K36" i="31"/>
  <c r="H36" i="31"/>
  <c r="G36" i="31"/>
  <c r="F36" i="31"/>
  <c r="J36" i="31"/>
  <c r="I36" i="31"/>
  <c r="E36" i="31"/>
  <c r="D6" i="29"/>
  <c r="G6" i="29" s="1"/>
  <c r="E6" i="29"/>
  <c r="H6" i="29" s="1"/>
  <c r="G5" i="17"/>
  <c r="F5" i="28"/>
  <c r="G5" i="28" s="1"/>
  <c r="D10" i="2"/>
  <c r="C10" i="28"/>
  <c r="A36" i="29"/>
  <c r="D4" i="6"/>
  <c r="F16" i="4"/>
  <c r="K5" i="26"/>
  <c r="L5" i="26"/>
  <c r="M5" i="26"/>
  <c r="J5" i="26"/>
  <c r="N5" i="26"/>
  <c r="G4" i="6"/>
  <c r="C5" i="17"/>
  <c r="H5" i="17"/>
  <c r="F5" i="17"/>
  <c r="E5" i="17"/>
  <c r="C29" i="26"/>
  <c r="F28" i="26"/>
  <c r="E28" i="26"/>
  <c r="G28" i="26"/>
  <c r="D28" i="26"/>
  <c r="H28" i="26"/>
  <c r="H11" i="23"/>
  <c r="F11" i="23"/>
  <c r="G11" i="23"/>
  <c r="D11" i="23"/>
  <c r="E11" i="23"/>
  <c r="G5" i="6"/>
  <c r="F4" i="6"/>
  <c r="D5" i="6"/>
  <c r="H4" i="6"/>
  <c r="C5" i="6"/>
  <c r="D5" i="17"/>
  <c r="H4" i="17"/>
  <c r="D4" i="17"/>
  <c r="E4" i="17"/>
  <c r="C4" i="6"/>
  <c r="F5" i="6"/>
  <c r="F4" i="17"/>
  <c r="G4" i="17"/>
  <c r="E5" i="6"/>
  <c r="C4" i="17"/>
  <c r="E4" i="6"/>
  <c r="H5" i="6"/>
  <c r="D6" i="19"/>
  <c r="E6" i="19"/>
  <c r="F6" i="19"/>
  <c r="H6" i="19"/>
  <c r="C6" i="19"/>
  <c r="G6" i="19"/>
  <c r="O8" i="16"/>
  <c r="D6" i="24" s="1"/>
  <c r="N8" i="16"/>
  <c r="C6" i="24" s="1"/>
  <c r="M9" i="16"/>
  <c r="R8" i="16"/>
  <c r="G6" i="24" s="1"/>
  <c r="I9" i="16"/>
  <c r="L9" i="16"/>
  <c r="D10" i="16"/>
  <c r="F10" i="16"/>
  <c r="M10" i="16" s="1"/>
  <c r="E10" i="16"/>
  <c r="G10" i="16"/>
  <c r="H10" i="16"/>
  <c r="C10" i="16"/>
  <c r="C8" i="10"/>
  <c r="D8" i="10"/>
  <c r="E8" i="10"/>
  <c r="F8" i="10"/>
  <c r="G8" i="10"/>
  <c r="H8" i="10"/>
  <c r="I7" i="10"/>
  <c r="H6" i="17" s="1"/>
  <c r="J18" i="3"/>
  <c r="F53" i="22" s="1"/>
  <c r="K17" i="3"/>
  <c r="K14" i="3"/>
  <c r="H14" i="3"/>
  <c r="F48" i="22"/>
  <c r="E22" i="22"/>
  <c r="E56" i="22"/>
  <c r="E37" i="22"/>
  <c r="E9" i="22"/>
  <c r="G9" i="22" s="1"/>
  <c r="E49" i="22"/>
  <c r="E24" i="22"/>
  <c r="E36" i="22"/>
  <c r="E38" i="22"/>
  <c r="E33" i="22"/>
  <c r="E10" i="22"/>
  <c r="G10" i="22" s="1"/>
  <c r="E11" i="22"/>
  <c r="G11" i="22" s="1"/>
  <c r="E55" i="22"/>
  <c r="E40" i="22"/>
  <c r="E7" i="22"/>
  <c r="G7" i="22" s="1"/>
  <c r="E54" i="22"/>
  <c r="E6" i="22"/>
  <c r="G6" i="22" s="1"/>
  <c r="E26" i="22"/>
  <c r="E43" i="22"/>
  <c r="E52" i="22"/>
  <c r="E19" i="22"/>
  <c r="E18" i="22"/>
  <c r="E44" i="22"/>
  <c r="E45" i="22"/>
  <c r="E15" i="22"/>
  <c r="E42" i="22"/>
  <c r="E16" i="22"/>
  <c r="E47" i="22"/>
  <c r="E51" i="22"/>
  <c r="E34" i="22"/>
  <c r="E12" i="22"/>
  <c r="G12" i="22" s="1"/>
  <c r="E35" i="22"/>
  <c r="E58" i="22"/>
  <c r="E32" i="22"/>
  <c r="E17" i="22"/>
  <c r="E14" i="22"/>
  <c r="E29" i="22"/>
  <c r="E28" i="22"/>
  <c r="E30" i="22"/>
  <c r="E48" i="22"/>
  <c r="E57" i="22"/>
  <c r="E46" i="22"/>
  <c r="E20" i="22"/>
  <c r="E25" i="22"/>
  <c r="E13" i="22"/>
  <c r="E41" i="22"/>
  <c r="E31" i="22"/>
  <c r="E21" i="22"/>
  <c r="E50" i="22"/>
  <c r="E27" i="22"/>
  <c r="E53" i="22"/>
  <c r="E39" i="22"/>
  <c r="E8" i="22"/>
  <c r="G8" i="22" s="1"/>
  <c r="E23" i="22"/>
  <c r="E7" i="8"/>
  <c r="F17" i="4" s="1"/>
  <c r="N10" i="33" s="1"/>
  <c r="K16" i="4"/>
  <c r="E5" i="28" s="1"/>
  <c r="A9" i="8"/>
  <c r="A10" i="7"/>
  <c r="E16" i="4"/>
  <c r="E15" i="4"/>
  <c r="C13" i="22"/>
  <c r="D13" i="22"/>
  <c r="C12" i="2"/>
  <c r="C12" i="23" s="1"/>
  <c r="E11" i="2"/>
  <c r="J15" i="4"/>
  <c r="A16" i="21"/>
  <c r="C15" i="21"/>
  <c r="B15" i="21"/>
  <c r="A12" i="18"/>
  <c r="A11" i="16"/>
  <c r="A10" i="15"/>
  <c r="A10" i="14"/>
  <c r="A10" i="13"/>
  <c r="A13" i="12"/>
  <c r="A11" i="11"/>
  <c r="A9" i="10"/>
  <c r="A17" i="4"/>
  <c r="F21" i="22" l="1"/>
  <c r="F7" i="22"/>
  <c r="H7" i="22" s="1"/>
  <c r="I7" i="22" s="1"/>
  <c r="F41" i="22"/>
  <c r="O10" i="33"/>
  <c r="P10" i="33"/>
  <c r="Y10" i="33" s="1"/>
  <c r="Q10" i="33"/>
  <c r="Z10" i="33" s="1"/>
  <c r="F42" i="22"/>
  <c r="F6" i="22"/>
  <c r="H6" i="22" s="1"/>
  <c r="F27" i="22"/>
  <c r="F10" i="22"/>
  <c r="H10" i="22" s="1"/>
  <c r="I10" i="22" s="1"/>
  <c r="F46" i="22"/>
  <c r="F56" i="22"/>
  <c r="F20" i="22"/>
  <c r="F22" i="22"/>
  <c r="F39" i="22"/>
  <c r="X8" i="33"/>
  <c r="R8" i="33"/>
  <c r="N7" i="31"/>
  <c r="N9" i="33"/>
  <c r="L56" i="33"/>
  <c r="G57" i="33"/>
  <c r="M57" i="33" s="1"/>
  <c r="K57" i="33"/>
  <c r="M56" i="33"/>
  <c r="C59" i="33"/>
  <c r="F58" i="33"/>
  <c r="E58" i="33"/>
  <c r="D58" i="33"/>
  <c r="H58" i="33"/>
  <c r="J58" i="33"/>
  <c r="I58" i="33"/>
  <c r="I6" i="29"/>
  <c r="D8" i="29"/>
  <c r="G8" i="29" s="1"/>
  <c r="N8" i="31"/>
  <c r="L36" i="31"/>
  <c r="C38" i="31"/>
  <c r="D37" i="31"/>
  <c r="K37" i="31"/>
  <c r="H37" i="31"/>
  <c r="G37" i="31"/>
  <c r="F37" i="31"/>
  <c r="I37" i="31"/>
  <c r="J37" i="31"/>
  <c r="E37" i="31"/>
  <c r="F54" i="22"/>
  <c r="F14" i="22"/>
  <c r="F36" i="22"/>
  <c r="F45" i="22"/>
  <c r="F34" i="22"/>
  <c r="F57" i="22"/>
  <c r="F37" i="22"/>
  <c r="F38" i="22"/>
  <c r="F31" i="22"/>
  <c r="F23" i="22"/>
  <c r="F30" i="22"/>
  <c r="F16" i="22"/>
  <c r="F33" i="22"/>
  <c r="F35" i="22"/>
  <c r="F9" i="22"/>
  <c r="H9" i="22" s="1"/>
  <c r="I9" i="22" s="1"/>
  <c r="F52" i="22"/>
  <c r="F32" i="22"/>
  <c r="E8" i="29"/>
  <c r="H8" i="29" s="1"/>
  <c r="C8" i="29"/>
  <c r="D11" i="2"/>
  <c r="C11" i="28"/>
  <c r="C7" i="29"/>
  <c r="D7" i="29"/>
  <c r="G7" i="29" s="1"/>
  <c r="E7" i="29"/>
  <c r="H7" i="29" s="1"/>
  <c r="F6" i="28"/>
  <c r="G6" i="28" s="1"/>
  <c r="A37" i="29"/>
  <c r="M6" i="26"/>
  <c r="J16" i="4"/>
  <c r="I16" i="4" s="1"/>
  <c r="E17" i="4"/>
  <c r="D17" i="4" s="1"/>
  <c r="J6" i="26"/>
  <c r="L6" i="26"/>
  <c r="G6" i="6"/>
  <c r="N6" i="26"/>
  <c r="C6" i="6"/>
  <c r="K6" i="26"/>
  <c r="C30" i="26"/>
  <c r="D29" i="26"/>
  <c r="E29" i="26"/>
  <c r="F29" i="26"/>
  <c r="G29" i="26"/>
  <c r="H29" i="26"/>
  <c r="F6" i="6"/>
  <c r="D6" i="17"/>
  <c r="F12" i="23"/>
  <c r="H12" i="23"/>
  <c r="G12" i="23"/>
  <c r="D12" i="23"/>
  <c r="E12" i="23"/>
  <c r="C6" i="17"/>
  <c r="D6" i="6"/>
  <c r="F6" i="17"/>
  <c r="E6" i="6"/>
  <c r="E6" i="17"/>
  <c r="H6" i="6"/>
  <c r="G6" i="17"/>
  <c r="D7" i="19"/>
  <c r="F7" i="19"/>
  <c r="G7" i="19"/>
  <c r="H7" i="19"/>
  <c r="C7" i="19"/>
  <c r="E7" i="19"/>
  <c r="Q10" i="16"/>
  <c r="F8" i="24" s="1"/>
  <c r="P10" i="16"/>
  <c r="E8" i="24" s="1"/>
  <c r="O9" i="16"/>
  <c r="D7" i="24" s="1"/>
  <c r="N9" i="16"/>
  <c r="C7" i="24" s="1"/>
  <c r="L10" i="16"/>
  <c r="Q9" i="16"/>
  <c r="F7" i="24" s="1"/>
  <c r="P9" i="16"/>
  <c r="E7" i="24" s="1"/>
  <c r="I10" i="16"/>
  <c r="F11" i="16"/>
  <c r="H11" i="16"/>
  <c r="G11" i="16"/>
  <c r="D11" i="16"/>
  <c r="E11" i="16"/>
  <c r="C11" i="16"/>
  <c r="E9" i="10"/>
  <c r="F9" i="10"/>
  <c r="G9" i="10"/>
  <c r="H9" i="10"/>
  <c r="C9" i="10"/>
  <c r="D9" i="10"/>
  <c r="I8" i="10"/>
  <c r="G7" i="17" s="1"/>
  <c r="F51" i="22"/>
  <c r="F18" i="22"/>
  <c r="F55" i="22"/>
  <c r="F13" i="22"/>
  <c r="H13" i="22" s="1"/>
  <c r="F28" i="22"/>
  <c r="F49" i="22"/>
  <c r="F26" i="22"/>
  <c r="F17" i="22"/>
  <c r="F50" i="22"/>
  <c r="F58" i="22"/>
  <c r="F44" i="22"/>
  <c r="F29" i="22"/>
  <c r="F24" i="22"/>
  <c r="F12" i="22"/>
  <c r="H12" i="22" s="1"/>
  <c r="I12" i="22" s="1"/>
  <c r="F40" i="22"/>
  <c r="F8" i="22"/>
  <c r="H8" i="22" s="1"/>
  <c r="I8" i="22" s="1"/>
  <c r="F47" i="22"/>
  <c r="F15" i="22"/>
  <c r="F11" i="22"/>
  <c r="H11" i="22" s="1"/>
  <c r="I11" i="22" s="1"/>
  <c r="F25" i="22"/>
  <c r="F19" i="22"/>
  <c r="F43" i="22"/>
  <c r="I6" i="22"/>
  <c r="H17" i="3"/>
  <c r="G13" i="22"/>
  <c r="E8" i="7"/>
  <c r="K17" i="4"/>
  <c r="E6" i="28" s="1"/>
  <c r="Q4" i="2"/>
  <c r="E8" i="8"/>
  <c r="A10" i="8"/>
  <c r="E9" i="7"/>
  <c r="A11" i="7"/>
  <c r="Q5" i="2"/>
  <c r="K4" i="2"/>
  <c r="K5" i="2"/>
  <c r="D15" i="4"/>
  <c r="J4" i="2"/>
  <c r="C14" i="22"/>
  <c r="G14" i="22" s="1"/>
  <c r="D14" i="22"/>
  <c r="C13" i="2"/>
  <c r="C13" i="23" s="1"/>
  <c r="E12" i="2"/>
  <c r="C12" i="28" s="1"/>
  <c r="D16" i="4"/>
  <c r="J5" i="2"/>
  <c r="I15" i="4"/>
  <c r="P4" i="2"/>
  <c r="A17" i="21"/>
  <c r="C16" i="21"/>
  <c r="B16" i="21"/>
  <c r="A13" i="18"/>
  <c r="A12" i="16"/>
  <c r="A11" i="15"/>
  <c r="A11" i="14"/>
  <c r="A11" i="13"/>
  <c r="A14" i="12"/>
  <c r="A12" i="11"/>
  <c r="A10" i="10"/>
  <c r="A18" i="4"/>
  <c r="A19" i="4" s="1"/>
  <c r="H14" i="22" l="1"/>
  <c r="U8" i="33"/>
  <c r="AD8" i="33" s="1"/>
  <c r="T8" i="33"/>
  <c r="AC8" i="33" s="1"/>
  <c r="S8" i="33"/>
  <c r="AA8" i="33"/>
  <c r="O9" i="33"/>
  <c r="P9" i="33"/>
  <c r="Y9" i="33" s="1"/>
  <c r="Q9" i="33"/>
  <c r="Z9" i="33" s="1"/>
  <c r="R10" i="33"/>
  <c r="X10" i="33"/>
  <c r="AA10" i="33" s="1"/>
  <c r="L57" i="33"/>
  <c r="K58" i="33"/>
  <c r="G58" i="33"/>
  <c r="M58" i="33" s="1"/>
  <c r="H59" i="33"/>
  <c r="E59" i="33"/>
  <c r="J59" i="33"/>
  <c r="C60" i="33"/>
  <c r="F59" i="33"/>
  <c r="D59" i="33"/>
  <c r="I59" i="33"/>
  <c r="L37" i="31"/>
  <c r="C39" i="31"/>
  <c r="D38" i="31"/>
  <c r="K38" i="31"/>
  <c r="H38" i="31"/>
  <c r="G38" i="31"/>
  <c r="F38" i="31"/>
  <c r="I38" i="31"/>
  <c r="E38" i="31"/>
  <c r="J38" i="31"/>
  <c r="F7" i="29"/>
  <c r="I7" i="29"/>
  <c r="J6" i="2"/>
  <c r="P5" i="2"/>
  <c r="M7" i="22" s="1"/>
  <c r="F8" i="29"/>
  <c r="I8" i="29"/>
  <c r="F7" i="28"/>
  <c r="G7" i="28" s="1"/>
  <c r="K6" i="2"/>
  <c r="A38" i="29"/>
  <c r="O4" i="2"/>
  <c r="R4" i="2" s="1"/>
  <c r="I4" i="2"/>
  <c r="L4" i="2" s="1"/>
  <c r="J17" i="4"/>
  <c r="P6" i="2" s="1"/>
  <c r="I5" i="2"/>
  <c r="L5" i="2" s="1"/>
  <c r="F7" i="6"/>
  <c r="G7" i="6"/>
  <c r="N7" i="26"/>
  <c r="L7" i="26"/>
  <c r="J7" i="26"/>
  <c r="M7" i="26"/>
  <c r="K7" i="26"/>
  <c r="F7" i="17"/>
  <c r="E7" i="17"/>
  <c r="H7" i="17"/>
  <c r="D7" i="17"/>
  <c r="C31" i="26"/>
  <c r="G30" i="26"/>
  <c r="H30" i="26"/>
  <c r="D30" i="26"/>
  <c r="F30" i="26"/>
  <c r="E30" i="26"/>
  <c r="E7" i="6"/>
  <c r="F13" i="23"/>
  <c r="E13" i="23"/>
  <c r="D13" i="23"/>
  <c r="H13" i="23"/>
  <c r="G13" i="23"/>
  <c r="C7" i="6"/>
  <c r="D7" i="6"/>
  <c r="H7" i="6"/>
  <c r="C7" i="17"/>
  <c r="F8" i="19"/>
  <c r="H8" i="19"/>
  <c r="D8" i="19"/>
  <c r="E8" i="19"/>
  <c r="C8" i="19"/>
  <c r="G8" i="19"/>
  <c r="I6" i="2"/>
  <c r="M11" i="16"/>
  <c r="L11" i="16"/>
  <c r="R9" i="16"/>
  <c r="G7" i="24" s="1"/>
  <c r="N10" i="16"/>
  <c r="C8" i="24" s="1"/>
  <c r="O10" i="16"/>
  <c r="D8" i="24" s="1"/>
  <c r="R10" i="16"/>
  <c r="G8" i="24" s="1"/>
  <c r="H12" i="16"/>
  <c r="C12" i="16"/>
  <c r="D12" i="16"/>
  <c r="F12" i="16"/>
  <c r="G12" i="16"/>
  <c r="E12" i="16"/>
  <c r="I11" i="16"/>
  <c r="G10" i="10"/>
  <c r="H10" i="10"/>
  <c r="C10" i="10"/>
  <c r="D10" i="10"/>
  <c r="E10" i="10"/>
  <c r="F10" i="10"/>
  <c r="I9" i="10"/>
  <c r="C8" i="6" s="1"/>
  <c r="I13" i="22"/>
  <c r="F18" i="4"/>
  <c r="Q6" i="2"/>
  <c r="N6" i="22"/>
  <c r="K18" i="4"/>
  <c r="E7" i="28" s="1"/>
  <c r="E10" i="7"/>
  <c r="N7" i="22"/>
  <c r="E9" i="8"/>
  <c r="F19" i="4" s="1"/>
  <c r="N12" i="33" s="1"/>
  <c r="A11" i="8"/>
  <c r="A12" i="7"/>
  <c r="G16" i="4"/>
  <c r="L15" i="4"/>
  <c r="H15" i="4" s="1"/>
  <c r="M6" i="22"/>
  <c r="I14" i="22"/>
  <c r="O5" i="2"/>
  <c r="L16" i="4"/>
  <c r="H16" i="4" s="1"/>
  <c r="D12" i="2"/>
  <c r="C15" i="22"/>
  <c r="G15" i="22" s="1"/>
  <c r="D15" i="22"/>
  <c r="H15" i="22" s="1"/>
  <c r="C14" i="2"/>
  <c r="C14" i="23" s="1"/>
  <c r="E13" i="2"/>
  <c r="G15" i="4"/>
  <c r="C15" i="4" s="1"/>
  <c r="B17" i="21"/>
  <c r="A18" i="21"/>
  <c r="C17" i="21"/>
  <c r="A14" i="18"/>
  <c r="A13" i="16"/>
  <c r="A12" i="15"/>
  <c r="A12" i="14"/>
  <c r="A12" i="13"/>
  <c r="A15" i="12"/>
  <c r="A13" i="11"/>
  <c r="A11" i="10"/>
  <c r="A20" i="4"/>
  <c r="L58" i="33" l="1"/>
  <c r="Q12" i="33"/>
  <c r="Z12" i="33" s="1"/>
  <c r="P12" i="33"/>
  <c r="O12" i="33"/>
  <c r="X12" i="33" s="1"/>
  <c r="R9" i="33"/>
  <c r="X9" i="33"/>
  <c r="N9" i="31"/>
  <c r="N11" i="33"/>
  <c r="S10" i="33"/>
  <c r="T10" i="33"/>
  <c r="AC10" i="33" s="1"/>
  <c r="U10" i="33"/>
  <c r="AD10" i="33" s="1"/>
  <c r="V8" i="33"/>
  <c r="W8" i="33" s="1"/>
  <c r="AB8" i="33"/>
  <c r="K59" i="33"/>
  <c r="G59" i="33"/>
  <c r="M59" i="33" s="1"/>
  <c r="E60" i="33"/>
  <c r="D60" i="33"/>
  <c r="I60" i="33"/>
  <c r="F60" i="33"/>
  <c r="J60" i="33"/>
  <c r="H60" i="33"/>
  <c r="E10" i="29"/>
  <c r="H10" i="29" s="1"/>
  <c r="N10" i="31"/>
  <c r="L38" i="31"/>
  <c r="C40" i="31"/>
  <c r="D39" i="31"/>
  <c r="K39" i="31"/>
  <c r="H39" i="31"/>
  <c r="G39" i="31"/>
  <c r="F39" i="31"/>
  <c r="J39" i="31"/>
  <c r="I39" i="31"/>
  <c r="E39" i="31"/>
  <c r="D13" i="2"/>
  <c r="C13" i="28"/>
  <c r="F8" i="28"/>
  <c r="G8" i="28" s="1"/>
  <c r="C10" i="29"/>
  <c r="D10" i="29"/>
  <c r="G10" i="29" s="1"/>
  <c r="R5" i="2"/>
  <c r="S5" i="2" s="1"/>
  <c r="J5" i="23" s="1"/>
  <c r="E9" i="29"/>
  <c r="H9" i="29" s="1"/>
  <c r="C9" i="29"/>
  <c r="D9" i="29"/>
  <c r="G9" i="29" s="1"/>
  <c r="L6" i="22"/>
  <c r="A39" i="29"/>
  <c r="E19" i="4"/>
  <c r="D19" i="4" s="1"/>
  <c r="N8" i="26"/>
  <c r="H4" i="2"/>
  <c r="G4" i="2" s="1"/>
  <c r="O6" i="31" s="1"/>
  <c r="M8" i="26"/>
  <c r="L8" i="26"/>
  <c r="E18" i="4"/>
  <c r="J7" i="2" s="1"/>
  <c r="J18" i="4"/>
  <c r="P7" i="2" s="1"/>
  <c r="I17" i="4"/>
  <c r="L17" i="4" s="1"/>
  <c r="H17" i="4" s="1"/>
  <c r="J8" i="26"/>
  <c r="K8" i="26"/>
  <c r="C32" i="26"/>
  <c r="G31" i="26"/>
  <c r="H31" i="26"/>
  <c r="D31" i="26"/>
  <c r="E31" i="26"/>
  <c r="F31" i="26"/>
  <c r="F8" i="6"/>
  <c r="C8" i="17"/>
  <c r="D8" i="17"/>
  <c r="E8" i="6"/>
  <c r="H8" i="17"/>
  <c r="D14" i="23"/>
  <c r="E14" i="23"/>
  <c r="G14" i="23"/>
  <c r="H14" i="23"/>
  <c r="F14" i="23"/>
  <c r="H8" i="6"/>
  <c r="G8" i="6"/>
  <c r="F8" i="17"/>
  <c r="D8" i="6"/>
  <c r="E8" i="17"/>
  <c r="G8" i="17"/>
  <c r="H9" i="19"/>
  <c r="C9" i="19"/>
  <c r="D9" i="19"/>
  <c r="F9" i="19"/>
  <c r="G9" i="19"/>
  <c r="E9" i="19"/>
  <c r="L12" i="16"/>
  <c r="N12" i="16" s="1"/>
  <c r="C10" i="24" s="1"/>
  <c r="N11" i="16"/>
  <c r="C9" i="24" s="1"/>
  <c r="O11" i="16"/>
  <c r="D9" i="24" s="1"/>
  <c r="M12" i="16"/>
  <c r="P11" i="16"/>
  <c r="E9" i="24" s="1"/>
  <c r="Q11" i="16"/>
  <c r="F9" i="24" s="1"/>
  <c r="D13" i="16"/>
  <c r="C13" i="16"/>
  <c r="E13" i="16"/>
  <c r="F13" i="16"/>
  <c r="H13" i="16"/>
  <c r="G13" i="16"/>
  <c r="I12" i="16"/>
  <c r="I10" i="10"/>
  <c r="C9" i="17" s="1"/>
  <c r="C11" i="10"/>
  <c r="D11" i="10"/>
  <c r="E11" i="10"/>
  <c r="G11" i="10"/>
  <c r="F11" i="10"/>
  <c r="H11" i="10"/>
  <c r="K7" i="2"/>
  <c r="K19" i="4"/>
  <c r="E8" i="28" s="1"/>
  <c r="Q7" i="2"/>
  <c r="A12" i="8"/>
  <c r="E10" i="8"/>
  <c r="J9" i="26" s="1"/>
  <c r="S4" i="2"/>
  <c r="J4" i="23" s="1"/>
  <c r="E11" i="7"/>
  <c r="A13" i="7"/>
  <c r="I15" i="22"/>
  <c r="L7" i="22"/>
  <c r="N5" i="2"/>
  <c r="M5" i="2" s="1"/>
  <c r="D5" i="28" s="1"/>
  <c r="H5" i="28" s="1"/>
  <c r="N4" i="2"/>
  <c r="C16" i="22"/>
  <c r="G16" i="22" s="1"/>
  <c r="D16" i="22"/>
  <c r="H16" i="22" s="1"/>
  <c r="C15" i="2"/>
  <c r="C15" i="23" s="1"/>
  <c r="E14" i="2"/>
  <c r="N8" i="22"/>
  <c r="G17" i="4"/>
  <c r="A19" i="21"/>
  <c r="C18" i="21"/>
  <c r="B18" i="21"/>
  <c r="A15" i="18"/>
  <c r="A14" i="16"/>
  <c r="A13" i="15"/>
  <c r="A13" i="14"/>
  <c r="A13" i="13"/>
  <c r="A16" i="12"/>
  <c r="A14" i="11"/>
  <c r="A12" i="10"/>
  <c r="C16" i="4"/>
  <c r="A21" i="4"/>
  <c r="L59" i="33" l="1"/>
  <c r="Q11" i="33"/>
  <c r="Z11" i="33" s="1"/>
  <c r="P11" i="33"/>
  <c r="Y11" i="33" s="1"/>
  <c r="O11" i="33"/>
  <c r="S9" i="33"/>
  <c r="T9" i="33"/>
  <c r="AC9" i="33" s="1"/>
  <c r="U9" i="33"/>
  <c r="AD9" i="33" s="1"/>
  <c r="AE8" i="33"/>
  <c r="AF8" i="33" s="1"/>
  <c r="AG8" i="33"/>
  <c r="V10" i="33"/>
  <c r="W10" i="33" s="1"/>
  <c r="AB10" i="33"/>
  <c r="K60" i="33"/>
  <c r="AA9" i="33"/>
  <c r="R12" i="33"/>
  <c r="Y12" i="33"/>
  <c r="AA12" i="33" s="1"/>
  <c r="G60" i="33"/>
  <c r="L60" i="33" s="1"/>
  <c r="W6" i="31"/>
  <c r="T6" i="31"/>
  <c r="U6" i="31"/>
  <c r="L39" i="31"/>
  <c r="C41" i="31"/>
  <c r="D40" i="31"/>
  <c r="K40" i="31"/>
  <c r="H40" i="31"/>
  <c r="G40" i="31"/>
  <c r="F40" i="31"/>
  <c r="E40" i="31"/>
  <c r="J40" i="31"/>
  <c r="I40" i="31"/>
  <c r="F9" i="28"/>
  <c r="G9" i="28" s="1"/>
  <c r="K6" i="22"/>
  <c r="J6" i="22" s="1"/>
  <c r="F10" i="29"/>
  <c r="I10" i="29"/>
  <c r="D14" i="2"/>
  <c r="C14" i="28"/>
  <c r="F9" i="29"/>
  <c r="I9" i="29"/>
  <c r="N9" i="26"/>
  <c r="A40" i="29"/>
  <c r="D18" i="4"/>
  <c r="K8" i="2"/>
  <c r="D9" i="6"/>
  <c r="O6" i="2"/>
  <c r="R6" i="2" s="1"/>
  <c r="G9" i="17"/>
  <c r="N6" i="2"/>
  <c r="J8" i="2"/>
  <c r="H5" i="2"/>
  <c r="K7" i="22" s="1"/>
  <c r="L9" i="26"/>
  <c r="I18" i="4"/>
  <c r="L18" i="4" s="1"/>
  <c r="H18" i="4" s="1"/>
  <c r="M9" i="26"/>
  <c r="E9" i="17"/>
  <c r="K9" i="26"/>
  <c r="C33" i="26"/>
  <c r="E32" i="26"/>
  <c r="F32" i="26"/>
  <c r="G32" i="26"/>
  <c r="D32" i="26"/>
  <c r="H32" i="26"/>
  <c r="D9" i="17"/>
  <c r="D15" i="23"/>
  <c r="F15" i="23"/>
  <c r="E15" i="23"/>
  <c r="H15" i="23"/>
  <c r="G15" i="23"/>
  <c r="E9" i="6"/>
  <c r="O12" i="16"/>
  <c r="D10" i="24" s="1"/>
  <c r="H9" i="6"/>
  <c r="C9" i="6"/>
  <c r="F9" i="17"/>
  <c r="G9" i="6"/>
  <c r="H9" i="17"/>
  <c r="F9" i="6"/>
  <c r="D10" i="19"/>
  <c r="E10" i="19"/>
  <c r="F10" i="19"/>
  <c r="C10" i="19"/>
  <c r="H10" i="19"/>
  <c r="G10" i="19"/>
  <c r="L13" i="16"/>
  <c r="R11" i="16"/>
  <c r="G9" i="24" s="1"/>
  <c r="P12" i="16"/>
  <c r="E10" i="24" s="1"/>
  <c r="Q12" i="16"/>
  <c r="F10" i="24" s="1"/>
  <c r="M13" i="16"/>
  <c r="Q8" i="2"/>
  <c r="I13" i="16"/>
  <c r="D14" i="16"/>
  <c r="G14" i="16"/>
  <c r="E14" i="16"/>
  <c r="F14" i="16"/>
  <c r="H14" i="16"/>
  <c r="C14" i="16"/>
  <c r="C12" i="10"/>
  <c r="D12" i="10"/>
  <c r="E12" i="10"/>
  <c r="F12" i="10"/>
  <c r="G12" i="10"/>
  <c r="H12" i="10"/>
  <c r="I8" i="2"/>
  <c r="I11" i="10"/>
  <c r="E10" i="6" s="1"/>
  <c r="J19" i="4"/>
  <c r="E11" i="8"/>
  <c r="K21" i="4" s="1"/>
  <c r="E10" i="28" s="1"/>
  <c r="A13" i="8"/>
  <c r="K20" i="4"/>
  <c r="E9" i="28" s="1"/>
  <c r="F20" i="4"/>
  <c r="A14" i="7"/>
  <c r="E12" i="7"/>
  <c r="C17" i="22"/>
  <c r="G17" i="22" s="1"/>
  <c r="D17" i="22"/>
  <c r="H17" i="22" s="1"/>
  <c r="C16" i="2"/>
  <c r="C16" i="23" s="1"/>
  <c r="E15" i="2"/>
  <c r="I16" i="22"/>
  <c r="M4" i="2"/>
  <c r="N9" i="22"/>
  <c r="G19" i="4"/>
  <c r="C19" i="4" s="1"/>
  <c r="L6" i="2"/>
  <c r="M8" i="22"/>
  <c r="G5" i="2"/>
  <c r="A20" i="21"/>
  <c r="C19" i="21"/>
  <c r="B19" i="21"/>
  <c r="A16" i="18"/>
  <c r="A15" i="16"/>
  <c r="A14" i="15"/>
  <c r="A14" i="14"/>
  <c r="A14" i="13"/>
  <c r="A17" i="12"/>
  <c r="A15" i="11"/>
  <c r="A13" i="10"/>
  <c r="C17" i="4"/>
  <c r="A22" i="4"/>
  <c r="AE10" i="33" l="1"/>
  <c r="AF10" i="33" s="1"/>
  <c r="AG10" i="33"/>
  <c r="R11" i="33"/>
  <c r="X11" i="33"/>
  <c r="N11" i="31"/>
  <c r="N13" i="33"/>
  <c r="U12" i="33"/>
  <c r="AD12" i="33" s="1"/>
  <c r="S12" i="33"/>
  <c r="T12" i="33"/>
  <c r="AC12" i="33" s="1"/>
  <c r="V9" i="33"/>
  <c r="W9" i="33" s="1"/>
  <c r="AB9" i="33"/>
  <c r="M60" i="33"/>
  <c r="O6" i="22"/>
  <c r="P6" i="22" s="1"/>
  <c r="S6" i="22"/>
  <c r="F5" i="2"/>
  <c r="O7" i="31"/>
  <c r="L40" i="31"/>
  <c r="C42" i="31"/>
  <c r="D41" i="31"/>
  <c r="K41" i="31"/>
  <c r="H41" i="31"/>
  <c r="G41" i="31"/>
  <c r="F41" i="31"/>
  <c r="E41" i="31"/>
  <c r="J41" i="31"/>
  <c r="I41" i="31"/>
  <c r="T6" i="22"/>
  <c r="N10" i="22"/>
  <c r="L8" i="22"/>
  <c r="F10" i="28"/>
  <c r="G10" i="28" s="1"/>
  <c r="C11" i="29"/>
  <c r="D11" i="29"/>
  <c r="G11" i="29" s="1"/>
  <c r="E11" i="29"/>
  <c r="H11" i="29" s="1"/>
  <c r="C10" i="6"/>
  <c r="D10" i="17"/>
  <c r="H10" i="6"/>
  <c r="L10" i="26"/>
  <c r="D15" i="2"/>
  <c r="C15" i="28"/>
  <c r="N10" i="26"/>
  <c r="M6" i="2"/>
  <c r="D6" i="28" s="1"/>
  <c r="H6" i="28" s="1"/>
  <c r="F4" i="2"/>
  <c r="D4" i="28"/>
  <c r="H4" i="28" s="1"/>
  <c r="A41" i="29"/>
  <c r="H8" i="2"/>
  <c r="G8" i="2" s="1"/>
  <c r="O10" i="31" s="1"/>
  <c r="J10" i="26"/>
  <c r="N7" i="2"/>
  <c r="O7" i="2"/>
  <c r="I19" i="4"/>
  <c r="L19" i="4" s="1"/>
  <c r="H19" i="4" s="1"/>
  <c r="H6" i="2"/>
  <c r="K8" i="22" s="1"/>
  <c r="I7" i="2"/>
  <c r="L7" i="2" s="1"/>
  <c r="I4" i="26"/>
  <c r="E10" i="17"/>
  <c r="M10" i="26"/>
  <c r="K10" i="26"/>
  <c r="C34" i="26"/>
  <c r="H33" i="26"/>
  <c r="E33" i="26"/>
  <c r="F33" i="26"/>
  <c r="G33" i="26"/>
  <c r="D33" i="26"/>
  <c r="D10" i="6"/>
  <c r="C10" i="17"/>
  <c r="H16" i="23"/>
  <c r="D16" i="23"/>
  <c r="G16" i="23"/>
  <c r="F16" i="23"/>
  <c r="E16" i="23"/>
  <c r="G10" i="6"/>
  <c r="G10" i="17"/>
  <c r="H10" i="17"/>
  <c r="F10" i="6"/>
  <c r="F10" i="17"/>
  <c r="D11" i="19"/>
  <c r="F11" i="19"/>
  <c r="G11" i="19"/>
  <c r="H11" i="19"/>
  <c r="C11" i="19"/>
  <c r="E11" i="19"/>
  <c r="L14" i="16"/>
  <c r="Q13" i="16"/>
  <c r="F11" i="24" s="1"/>
  <c r="P13" i="16"/>
  <c r="E11" i="24" s="1"/>
  <c r="R12" i="16"/>
  <c r="G10" i="24" s="1"/>
  <c r="M14" i="16"/>
  <c r="N13" i="16"/>
  <c r="C11" i="24" s="1"/>
  <c r="O13" i="16"/>
  <c r="D11" i="24" s="1"/>
  <c r="F15" i="16"/>
  <c r="H15" i="16"/>
  <c r="G15" i="16"/>
  <c r="D15" i="16"/>
  <c r="E15" i="16"/>
  <c r="C15" i="16"/>
  <c r="I14" i="16"/>
  <c r="E13" i="10"/>
  <c r="F13" i="10"/>
  <c r="G13" i="10"/>
  <c r="H13" i="10"/>
  <c r="C13" i="10"/>
  <c r="I13" i="10" s="1"/>
  <c r="D13" i="10"/>
  <c r="I12" i="10"/>
  <c r="E11" i="6" s="1"/>
  <c r="P8" i="2"/>
  <c r="F21" i="4"/>
  <c r="E12" i="8"/>
  <c r="F22" i="4" s="1"/>
  <c r="N15" i="33" s="1"/>
  <c r="E13" i="7"/>
  <c r="J20" i="4"/>
  <c r="Q9" i="2"/>
  <c r="E13" i="8"/>
  <c r="A14" i="8"/>
  <c r="E20" i="4"/>
  <c r="K9" i="2"/>
  <c r="A15" i="7"/>
  <c r="J21" i="4"/>
  <c r="I17" i="22"/>
  <c r="C18" i="22"/>
  <c r="G18" i="22" s="1"/>
  <c r="D18" i="22"/>
  <c r="H18" i="22" s="1"/>
  <c r="C17" i="2"/>
  <c r="C17" i="23" s="1"/>
  <c r="E16" i="2"/>
  <c r="S6" i="2"/>
  <c r="J6" i="23" s="1"/>
  <c r="L8" i="2"/>
  <c r="G18" i="4"/>
  <c r="C18" i="4" s="1"/>
  <c r="M9" i="22"/>
  <c r="J7" i="22"/>
  <c r="A21" i="21"/>
  <c r="C20" i="21"/>
  <c r="B20" i="21"/>
  <c r="A17" i="18"/>
  <c r="A16" i="16"/>
  <c r="A15" i="15"/>
  <c r="A15" i="14"/>
  <c r="A15" i="13"/>
  <c r="A18" i="12"/>
  <c r="A16" i="11"/>
  <c r="A14" i="10"/>
  <c r="A23" i="4"/>
  <c r="Q6" i="22" l="1"/>
  <c r="W6" i="22" s="1"/>
  <c r="Y6" i="22" s="1"/>
  <c r="U6" i="22"/>
  <c r="O15" i="33"/>
  <c r="P15" i="33"/>
  <c r="Y15" i="33" s="1"/>
  <c r="Q15" i="33"/>
  <c r="Z15" i="33" s="1"/>
  <c r="M7" i="2"/>
  <c r="D7" i="28" s="1"/>
  <c r="H7" i="28" s="1"/>
  <c r="AE9" i="33"/>
  <c r="AF9" i="33" s="1"/>
  <c r="AG9" i="33"/>
  <c r="U11" i="33"/>
  <c r="AD11" i="33" s="1"/>
  <c r="S11" i="33"/>
  <c r="T11" i="33"/>
  <c r="AC11" i="33" s="1"/>
  <c r="N12" i="31"/>
  <c r="N14" i="33"/>
  <c r="P13" i="33"/>
  <c r="Y13" i="33" s="1"/>
  <c r="O13" i="33"/>
  <c r="Q13" i="33"/>
  <c r="Z13" i="33" s="1"/>
  <c r="V12" i="33"/>
  <c r="W12" i="33" s="1"/>
  <c r="AB12" i="33"/>
  <c r="AA11" i="33"/>
  <c r="Q10" i="2"/>
  <c r="W10" i="31"/>
  <c r="T10" i="31"/>
  <c r="U10" i="31"/>
  <c r="I4" i="23"/>
  <c r="K4" i="23" s="1"/>
  <c r="M6" i="31"/>
  <c r="I5" i="23"/>
  <c r="K5" i="23" s="1"/>
  <c r="M7" i="31"/>
  <c r="AA7" i="31" s="1"/>
  <c r="E13" i="29"/>
  <c r="H13" i="29" s="1"/>
  <c r="N13" i="31"/>
  <c r="W7" i="31"/>
  <c r="U7" i="31"/>
  <c r="T7" i="31"/>
  <c r="G6" i="2"/>
  <c r="O8" i="31" s="1"/>
  <c r="L41" i="31"/>
  <c r="C43" i="31"/>
  <c r="D42" i="31"/>
  <c r="K42" i="31"/>
  <c r="H42" i="31"/>
  <c r="G42" i="31"/>
  <c r="F42" i="31"/>
  <c r="J42" i="31"/>
  <c r="E42" i="31"/>
  <c r="I42" i="31"/>
  <c r="L11" i="26"/>
  <c r="F11" i="29"/>
  <c r="I11" i="29"/>
  <c r="F11" i="28"/>
  <c r="G11" i="28" s="1"/>
  <c r="C13" i="29"/>
  <c r="F6" i="2"/>
  <c r="C12" i="29"/>
  <c r="E12" i="29"/>
  <c r="H12" i="29" s="1"/>
  <c r="D12" i="29"/>
  <c r="G12" i="29" s="1"/>
  <c r="D13" i="29"/>
  <c r="G13" i="29" s="1"/>
  <c r="F12" i="28"/>
  <c r="G12" i="28" s="1"/>
  <c r="D16" i="2"/>
  <c r="C16" i="28"/>
  <c r="R7" i="2"/>
  <c r="S7" i="2" s="1"/>
  <c r="J7" i="23" s="1"/>
  <c r="L9" i="22"/>
  <c r="A42" i="29"/>
  <c r="M11" i="26"/>
  <c r="E21" i="4"/>
  <c r="J10" i="2" s="1"/>
  <c r="K11" i="26"/>
  <c r="O8" i="2"/>
  <c r="L10" i="22" s="1"/>
  <c r="J11" i="26"/>
  <c r="C11" i="6"/>
  <c r="E11" i="17"/>
  <c r="N11" i="26"/>
  <c r="G11" i="6"/>
  <c r="M12" i="26"/>
  <c r="J12" i="26"/>
  <c r="L12" i="26"/>
  <c r="K12" i="26"/>
  <c r="N12" i="26"/>
  <c r="G11" i="17"/>
  <c r="S4" i="26"/>
  <c r="P4" i="26"/>
  <c r="O4" i="26"/>
  <c r="Q4" i="26"/>
  <c r="R4" i="26"/>
  <c r="C11" i="17"/>
  <c r="H11" i="17"/>
  <c r="F11" i="6"/>
  <c r="C35" i="26"/>
  <c r="D34" i="26"/>
  <c r="H34" i="26"/>
  <c r="F34" i="26"/>
  <c r="G34" i="26"/>
  <c r="E34" i="26"/>
  <c r="F17" i="23"/>
  <c r="H17" i="23"/>
  <c r="G17" i="23"/>
  <c r="E17" i="23"/>
  <c r="D17" i="23"/>
  <c r="D11" i="6"/>
  <c r="F11" i="17"/>
  <c r="H11" i="6"/>
  <c r="D11" i="17"/>
  <c r="D12" i="17"/>
  <c r="F12" i="19"/>
  <c r="F12" i="17"/>
  <c r="H12" i="19"/>
  <c r="G12" i="17"/>
  <c r="H12" i="17"/>
  <c r="D12" i="19"/>
  <c r="E12" i="19"/>
  <c r="G12" i="19"/>
  <c r="C12" i="17"/>
  <c r="E12" i="17"/>
  <c r="C12" i="19"/>
  <c r="R13" i="16"/>
  <c r="G11" i="24" s="1"/>
  <c r="M15" i="16"/>
  <c r="N14" i="16"/>
  <c r="C12" i="24" s="1"/>
  <c r="O14" i="16"/>
  <c r="D12" i="24" s="1"/>
  <c r="L15" i="16"/>
  <c r="Q14" i="16"/>
  <c r="F12" i="24" s="1"/>
  <c r="P14" i="16"/>
  <c r="E12" i="24" s="1"/>
  <c r="E12" i="6"/>
  <c r="F12" i="6"/>
  <c r="C12" i="6"/>
  <c r="D12" i="6"/>
  <c r="H12" i="6"/>
  <c r="G12" i="6"/>
  <c r="I15" i="16"/>
  <c r="H16" i="16"/>
  <c r="C16" i="16"/>
  <c r="D16" i="16"/>
  <c r="F16" i="16"/>
  <c r="E16" i="16"/>
  <c r="G16" i="16"/>
  <c r="G14" i="10"/>
  <c r="H14" i="10"/>
  <c r="C14" i="10"/>
  <c r="E14" i="10"/>
  <c r="D14" i="10"/>
  <c r="F14" i="10"/>
  <c r="R6" i="22"/>
  <c r="M10" i="22"/>
  <c r="K10" i="2"/>
  <c r="K22" i="4"/>
  <c r="E11" i="28" s="1"/>
  <c r="F23" i="4"/>
  <c r="N16" i="33" s="1"/>
  <c r="N11" i="22"/>
  <c r="K23" i="4"/>
  <c r="E12" i="28" s="1"/>
  <c r="D20" i="4"/>
  <c r="J9" i="2"/>
  <c r="A15" i="8"/>
  <c r="P9" i="2"/>
  <c r="I20" i="4"/>
  <c r="I21" i="4"/>
  <c r="P10" i="2"/>
  <c r="E14" i="7"/>
  <c r="A16" i="7"/>
  <c r="E22" i="4"/>
  <c r="V6" i="22"/>
  <c r="X6" i="22" s="1"/>
  <c r="N8" i="2"/>
  <c r="I18" i="22"/>
  <c r="H7" i="2"/>
  <c r="K9" i="22" s="1"/>
  <c r="S7" i="22"/>
  <c r="T7" i="22"/>
  <c r="C19" i="22"/>
  <c r="G19" i="22" s="1"/>
  <c r="D19" i="22"/>
  <c r="H19" i="22" s="1"/>
  <c r="E17" i="2"/>
  <c r="C18" i="2"/>
  <c r="C18" i="23" s="1"/>
  <c r="O7" i="22"/>
  <c r="J8" i="22"/>
  <c r="A22" i="21"/>
  <c r="C21" i="21"/>
  <c r="B21" i="21"/>
  <c r="A18" i="18"/>
  <c r="A17" i="16"/>
  <c r="A16" i="15"/>
  <c r="A16" i="14"/>
  <c r="A16" i="13"/>
  <c r="A19" i="12"/>
  <c r="A17" i="11"/>
  <c r="A15" i="10"/>
  <c r="A24" i="4"/>
  <c r="Q16" i="33" l="1"/>
  <c r="O16" i="33"/>
  <c r="X16" i="33" s="1"/>
  <c r="P16" i="33"/>
  <c r="Y16" i="33" s="1"/>
  <c r="AE12" i="33"/>
  <c r="AF12" i="33" s="1"/>
  <c r="AG12" i="33"/>
  <c r="V11" i="33"/>
  <c r="W11" i="33" s="1"/>
  <c r="AB11" i="33"/>
  <c r="Q14" i="33"/>
  <c r="Z14" i="33" s="1"/>
  <c r="P14" i="33"/>
  <c r="Y14" i="33" s="1"/>
  <c r="O14" i="33"/>
  <c r="R13" i="33"/>
  <c r="X13" i="33"/>
  <c r="R15" i="33"/>
  <c r="X15" i="33"/>
  <c r="W8" i="31"/>
  <c r="T8" i="31"/>
  <c r="U8" i="31"/>
  <c r="O4" i="23"/>
  <c r="L4" i="23"/>
  <c r="N4" i="23"/>
  <c r="M4" i="23"/>
  <c r="P4" i="23"/>
  <c r="N12" i="22"/>
  <c r="AC7" i="31"/>
  <c r="AB7" i="31"/>
  <c r="M5" i="23"/>
  <c r="O5" i="23"/>
  <c r="P5" i="23"/>
  <c r="N5" i="23"/>
  <c r="L5" i="23"/>
  <c r="I6" i="23"/>
  <c r="K6" i="23" s="1"/>
  <c r="N6" i="23" s="1"/>
  <c r="M8" i="31"/>
  <c r="AA8" i="31" s="1"/>
  <c r="E14" i="29"/>
  <c r="H14" i="29" s="1"/>
  <c r="N14" i="31"/>
  <c r="AA6" i="31"/>
  <c r="AC6" i="31"/>
  <c r="AB6" i="31"/>
  <c r="L42" i="31"/>
  <c r="C44" i="31"/>
  <c r="D43" i="31"/>
  <c r="K43" i="31"/>
  <c r="H43" i="31"/>
  <c r="G43" i="31"/>
  <c r="F43" i="31"/>
  <c r="J43" i="31"/>
  <c r="I43" i="31"/>
  <c r="E43" i="31"/>
  <c r="C14" i="29"/>
  <c r="F14" i="29" s="1"/>
  <c r="D14" i="29"/>
  <c r="G14" i="29" s="1"/>
  <c r="D17" i="2"/>
  <c r="C17" i="28"/>
  <c r="J9" i="22"/>
  <c r="S9" i="22" s="1"/>
  <c r="D21" i="4"/>
  <c r="I10" i="2" s="1"/>
  <c r="L10" i="2" s="1"/>
  <c r="F12" i="29"/>
  <c r="I12" i="29"/>
  <c r="F13" i="29"/>
  <c r="I13" i="29"/>
  <c r="O6" i="23"/>
  <c r="R8" i="2"/>
  <c r="S8" i="2" s="1"/>
  <c r="J8" i="23" s="1"/>
  <c r="M8" i="2"/>
  <c r="F8" i="2" s="1"/>
  <c r="A43" i="29"/>
  <c r="E23" i="4"/>
  <c r="D23" i="4" s="1"/>
  <c r="O9" i="2"/>
  <c r="R9" i="2" s="1"/>
  <c r="K11" i="2"/>
  <c r="O10" i="2"/>
  <c r="R10" i="2" s="1"/>
  <c r="Q7" i="22"/>
  <c r="W7" i="22" s="1"/>
  <c r="Y7" i="22" s="1"/>
  <c r="I5" i="26"/>
  <c r="T4" i="26"/>
  <c r="C36" i="26"/>
  <c r="F35" i="26"/>
  <c r="G35" i="26"/>
  <c r="D35" i="26"/>
  <c r="H35" i="26"/>
  <c r="E35" i="26"/>
  <c r="F18" i="23"/>
  <c r="E18" i="23"/>
  <c r="D18" i="23"/>
  <c r="G18" i="23"/>
  <c r="H18" i="23"/>
  <c r="H13" i="19"/>
  <c r="C13" i="19"/>
  <c r="D13" i="19"/>
  <c r="F13" i="19"/>
  <c r="G13" i="19"/>
  <c r="E13" i="19"/>
  <c r="R14" i="16"/>
  <c r="G12" i="24" s="1"/>
  <c r="O15" i="16"/>
  <c r="D13" i="24" s="1"/>
  <c r="N15" i="16"/>
  <c r="C13" i="24" s="1"/>
  <c r="Q15" i="16"/>
  <c r="F13" i="24" s="1"/>
  <c r="P15" i="16"/>
  <c r="E13" i="24" s="1"/>
  <c r="M16" i="16"/>
  <c r="L16" i="16"/>
  <c r="I16" i="16"/>
  <c r="D17" i="16"/>
  <c r="C17" i="16"/>
  <c r="E17" i="16"/>
  <c r="F17" i="16"/>
  <c r="H17" i="16"/>
  <c r="G17" i="16"/>
  <c r="Q11" i="2"/>
  <c r="I14" i="10"/>
  <c r="H13" i="17" s="1"/>
  <c r="C15" i="10"/>
  <c r="I15" i="10" s="1"/>
  <c r="D15" i="10"/>
  <c r="E15" i="10"/>
  <c r="F15" i="10"/>
  <c r="G15" i="10"/>
  <c r="H15" i="10"/>
  <c r="Z6" i="22"/>
  <c r="J22" i="4"/>
  <c r="Q12" i="2"/>
  <c r="K12" i="2"/>
  <c r="J23" i="4"/>
  <c r="E14" i="8"/>
  <c r="F24" i="4" s="1"/>
  <c r="N17" i="33" s="1"/>
  <c r="M11" i="22"/>
  <c r="L20" i="4"/>
  <c r="H20" i="4" s="1"/>
  <c r="A16" i="8"/>
  <c r="I9" i="2"/>
  <c r="G20" i="4"/>
  <c r="C20" i="4" s="1"/>
  <c r="D22" i="4"/>
  <c r="J11" i="2"/>
  <c r="L21" i="4"/>
  <c r="H21" i="4" s="1"/>
  <c r="E15" i="7"/>
  <c r="A17" i="7"/>
  <c r="K10" i="22"/>
  <c r="J10" i="22" s="1"/>
  <c r="C20" i="22"/>
  <c r="G20" i="22" s="1"/>
  <c r="D20" i="22"/>
  <c r="H20" i="22" s="1"/>
  <c r="C19" i="2"/>
  <c r="C19" i="23" s="1"/>
  <c r="E18" i="2"/>
  <c r="G7" i="2"/>
  <c r="U7" i="22"/>
  <c r="S8" i="22"/>
  <c r="T8" i="22"/>
  <c r="I19" i="22"/>
  <c r="M12" i="22"/>
  <c r="P7" i="22"/>
  <c r="O8" i="22"/>
  <c r="C22" i="21"/>
  <c r="B22" i="21"/>
  <c r="A19" i="18"/>
  <c r="A18" i="16"/>
  <c r="A17" i="15"/>
  <c r="A17" i="14"/>
  <c r="A17" i="13"/>
  <c r="A20" i="12"/>
  <c r="A18" i="11"/>
  <c r="A16" i="10"/>
  <c r="A25" i="4"/>
  <c r="P6" i="23" l="1"/>
  <c r="L6" i="23"/>
  <c r="G21" i="4"/>
  <c r="C21" i="4" s="1"/>
  <c r="H10" i="2" s="1"/>
  <c r="M6" i="23"/>
  <c r="AD7" i="31"/>
  <c r="D8" i="28"/>
  <c r="H8" i="28" s="1"/>
  <c r="AA13" i="33"/>
  <c r="O17" i="33"/>
  <c r="P17" i="33"/>
  <c r="Y17" i="33" s="1"/>
  <c r="Q17" i="33"/>
  <c r="Z17" i="33" s="1"/>
  <c r="S13" i="33"/>
  <c r="AB13" i="33" s="1"/>
  <c r="U13" i="33"/>
  <c r="AD13" i="33" s="1"/>
  <c r="T13" i="33"/>
  <c r="AE11" i="33"/>
  <c r="AF11" i="33" s="1"/>
  <c r="AG11" i="33"/>
  <c r="AA15" i="33"/>
  <c r="R14" i="33"/>
  <c r="X14" i="33"/>
  <c r="S15" i="33"/>
  <c r="AB15" i="33" s="1"/>
  <c r="T15" i="33"/>
  <c r="AC15" i="33" s="1"/>
  <c r="U15" i="33"/>
  <c r="R16" i="33"/>
  <c r="Z16" i="33"/>
  <c r="AA16" i="33" s="1"/>
  <c r="U4" i="26"/>
  <c r="P6" i="31"/>
  <c r="F7" i="2"/>
  <c r="O9" i="31"/>
  <c r="I8" i="23"/>
  <c r="K8" i="23" s="1"/>
  <c r="M10" i="31"/>
  <c r="D15" i="29"/>
  <c r="G15" i="29" s="1"/>
  <c r="N15" i="31"/>
  <c r="AD6" i="31"/>
  <c r="AC8" i="31"/>
  <c r="AB8" i="31"/>
  <c r="L43" i="31"/>
  <c r="C45" i="31"/>
  <c r="D44" i="31"/>
  <c r="K44" i="31"/>
  <c r="H44" i="31"/>
  <c r="G44" i="31"/>
  <c r="F44" i="31"/>
  <c r="J44" i="31"/>
  <c r="I44" i="31"/>
  <c r="E44" i="31"/>
  <c r="T9" i="22"/>
  <c r="O9" i="22"/>
  <c r="P9" i="22" s="1"/>
  <c r="V9" i="22" s="1"/>
  <c r="X9" i="22" s="1"/>
  <c r="C13" i="17"/>
  <c r="I14" i="29"/>
  <c r="D18" i="2"/>
  <c r="C18" i="28"/>
  <c r="F13" i="28"/>
  <c r="G13" i="28" s="1"/>
  <c r="C15" i="29"/>
  <c r="E15" i="29"/>
  <c r="H15" i="29" s="1"/>
  <c r="L12" i="22"/>
  <c r="A44" i="29"/>
  <c r="P12" i="2"/>
  <c r="H9" i="2"/>
  <c r="M13" i="26"/>
  <c r="I11" i="2"/>
  <c r="L11" i="2" s="1"/>
  <c r="N13" i="26"/>
  <c r="P11" i="2"/>
  <c r="M13" i="22" s="1"/>
  <c r="L13" i="26"/>
  <c r="N10" i="2"/>
  <c r="M10" i="2" s="1"/>
  <c r="D10" i="28" s="1"/>
  <c r="H10" i="28" s="1"/>
  <c r="J12" i="2"/>
  <c r="N9" i="2"/>
  <c r="M9" i="2" s="1"/>
  <c r="D9" i="28" s="1"/>
  <c r="H9" i="28" s="1"/>
  <c r="N13" i="22"/>
  <c r="I12" i="2"/>
  <c r="G13" i="6"/>
  <c r="D13" i="6"/>
  <c r="P5" i="26"/>
  <c r="O5" i="26"/>
  <c r="S5" i="26"/>
  <c r="R5" i="26"/>
  <c r="Q5" i="26"/>
  <c r="K13" i="26"/>
  <c r="Q8" i="22"/>
  <c r="W8" i="22" s="1"/>
  <c r="Y8" i="22" s="1"/>
  <c r="I6" i="26"/>
  <c r="C13" i="6"/>
  <c r="J13" i="26"/>
  <c r="G13" i="17"/>
  <c r="C37" i="26"/>
  <c r="F36" i="26"/>
  <c r="H36" i="26"/>
  <c r="D36" i="26"/>
  <c r="E36" i="26"/>
  <c r="G36" i="26"/>
  <c r="D19" i="23"/>
  <c r="E19" i="23"/>
  <c r="H19" i="23"/>
  <c r="G19" i="23"/>
  <c r="F19" i="23"/>
  <c r="F13" i="6"/>
  <c r="E13" i="17"/>
  <c r="E13" i="6"/>
  <c r="F13" i="17"/>
  <c r="H13" i="6"/>
  <c r="D13" i="17"/>
  <c r="H14" i="17"/>
  <c r="D14" i="19"/>
  <c r="E14" i="17"/>
  <c r="C14" i="17"/>
  <c r="E14" i="19"/>
  <c r="D14" i="17"/>
  <c r="F14" i="19"/>
  <c r="F14" i="17"/>
  <c r="H14" i="19"/>
  <c r="G14" i="17"/>
  <c r="C14" i="19"/>
  <c r="G14" i="19"/>
  <c r="E14" i="6"/>
  <c r="F14" i="6"/>
  <c r="C14" i="6"/>
  <c r="G14" i="6"/>
  <c r="H14" i="6"/>
  <c r="D14" i="6"/>
  <c r="N16" i="16"/>
  <c r="C14" i="24" s="1"/>
  <c r="O16" i="16"/>
  <c r="D14" i="24" s="1"/>
  <c r="R15" i="16"/>
  <c r="G13" i="24" s="1"/>
  <c r="P16" i="16"/>
  <c r="E14" i="24" s="1"/>
  <c r="Q16" i="16"/>
  <c r="F14" i="24" s="1"/>
  <c r="M17" i="16"/>
  <c r="L17" i="16"/>
  <c r="I17" i="16"/>
  <c r="D18" i="16"/>
  <c r="G18" i="16"/>
  <c r="E18" i="16"/>
  <c r="F18" i="16"/>
  <c r="H18" i="16"/>
  <c r="C18" i="16"/>
  <c r="C16" i="10"/>
  <c r="D16" i="10"/>
  <c r="E16" i="10"/>
  <c r="F16" i="10"/>
  <c r="G16" i="10"/>
  <c r="H16" i="10"/>
  <c r="R7" i="22"/>
  <c r="I22" i="4"/>
  <c r="I23" i="4"/>
  <c r="K24" i="4"/>
  <c r="E13" i="28" s="1"/>
  <c r="G22" i="4"/>
  <c r="C22" i="4" s="1"/>
  <c r="G9" i="2"/>
  <c r="O11" i="31" s="1"/>
  <c r="E16" i="7"/>
  <c r="E15" i="8"/>
  <c r="K25" i="4" s="1"/>
  <c r="E14" i="28" s="1"/>
  <c r="L9" i="2"/>
  <c r="S9" i="2" s="1"/>
  <c r="J9" i="23" s="1"/>
  <c r="L11" i="22"/>
  <c r="A17" i="8"/>
  <c r="G23" i="4"/>
  <c r="A18" i="7"/>
  <c r="E24" i="4"/>
  <c r="O10" i="22"/>
  <c r="S10" i="22"/>
  <c r="T10" i="22"/>
  <c r="C21" i="22"/>
  <c r="G21" i="22" s="1"/>
  <c r="D21" i="22"/>
  <c r="H21" i="22" s="1"/>
  <c r="C20" i="2"/>
  <c r="C20" i="23" s="1"/>
  <c r="E19" i="2"/>
  <c r="V7" i="22"/>
  <c r="X7" i="22" s="1"/>
  <c r="U9" i="22"/>
  <c r="I20" i="22"/>
  <c r="U8" i="22"/>
  <c r="S10" i="2"/>
  <c r="J10" i="23" s="1"/>
  <c r="N14" i="22"/>
  <c r="P8" i="22"/>
  <c r="Q9" i="22"/>
  <c r="W9" i="22" s="1"/>
  <c r="Y9" i="22" s="1"/>
  <c r="A20" i="18"/>
  <c r="A19" i="16"/>
  <c r="A18" i="15"/>
  <c r="A18" i="14"/>
  <c r="A18" i="13"/>
  <c r="A21" i="12"/>
  <c r="A19" i="11"/>
  <c r="A17" i="10"/>
  <c r="A26" i="4"/>
  <c r="M14" i="22" l="1"/>
  <c r="P8" i="23"/>
  <c r="M8" i="23"/>
  <c r="AD8" i="31"/>
  <c r="S16" i="33"/>
  <c r="T16" i="33"/>
  <c r="AC16" i="33" s="1"/>
  <c r="U16" i="33"/>
  <c r="AD16" i="33" s="1"/>
  <c r="V13" i="33"/>
  <c r="W13" i="33" s="1"/>
  <c r="AC13" i="33"/>
  <c r="AG13" i="33" s="1"/>
  <c r="V15" i="33"/>
  <c r="W15" i="33" s="1"/>
  <c r="AD15" i="33"/>
  <c r="AG15" i="33" s="1"/>
  <c r="R17" i="33"/>
  <c r="X17" i="33"/>
  <c r="AA14" i="33"/>
  <c r="U14" i="33"/>
  <c r="AD14" i="33" s="1"/>
  <c r="S14" i="33"/>
  <c r="T14" i="33"/>
  <c r="AC14" i="33" s="1"/>
  <c r="S6" i="31"/>
  <c r="R6" i="31"/>
  <c r="V6" i="31"/>
  <c r="X6" i="31"/>
  <c r="Y6" i="31"/>
  <c r="T11" i="31"/>
  <c r="W11" i="31"/>
  <c r="U11" i="31"/>
  <c r="I7" i="26"/>
  <c r="O7" i="26" s="1"/>
  <c r="AC10" i="31"/>
  <c r="AB10" i="31"/>
  <c r="AA10" i="31"/>
  <c r="I7" i="23"/>
  <c r="K7" i="23" s="1"/>
  <c r="M9" i="31"/>
  <c r="W9" i="31"/>
  <c r="T9" i="31"/>
  <c r="U9" i="31"/>
  <c r="AA9" i="31"/>
  <c r="L44" i="31"/>
  <c r="C46" i="31"/>
  <c r="D45" i="31"/>
  <c r="K45" i="31"/>
  <c r="H45" i="31"/>
  <c r="G45" i="31"/>
  <c r="F45" i="31"/>
  <c r="I45" i="31"/>
  <c r="J45" i="31"/>
  <c r="E45" i="31"/>
  <c r="O8" i="23"/>
  <c r="L8" i="23"/>
  <c r="N8" i="23"/>
  <c r="K12" i="22"/>
  <c r="J12" i="22" s="1"/>
  <c r="K11" i="22"/>
  <c r="J11" i="22" s="1"/>
  <c r="D19" i="2"/>
  <c r="C19" i="28"/>
  <c r="F15" i="29"/>
  <c r="I15" i="29"/>
  <c r="G10" i="2"/>
  <c r="F14" i="28"/>
  <c r="G14" i="28" s="1"/>
  <c r="J14" i="26"/>
  <c r="K13" i="2"/>
  <c r="K14" i="26"/>
  <c r="F9" i="2"/>
  <c r="L12" i="2"/>
  <c r="A45" i="29"/>
  <c r="H11" i="2"/>
  <c r="J24" i="4"/>
  <c r="O12" i="2"/>
  <c r="L14" i="22" s="1"/>
  <c r="O11" i="2"/>
  <c r="L13" i="22" s="1"/>
  <c r="M14" i="26"/>
  <c r="T5" i="26"/>
  <c r="N14" i="26"/>
  <c r="S7" i="26"/>
  <c r="L14" i="26"/>
  <c r="P10" i="22"/>
  <c r="V10" i="22" s="1"/>
  <c r="X10" i="22" s="1"/>
  <c r="I8" i="26"/>
  <c r="Q6" i="26"/>
  <c r="P6" i="26"/>
  <c r="O6" i="26"/>
  <c r="S6" i="26"/>
  <c r="R6" i="26"/>
  <c r="C38" i="26"/>
  <c r="D37" i="26"/>
  <c r="E37" i="26"/>
  <c r="G37" i="26"/>
  <c r="F37" i="26"/>
  <c r="H37" i="26"/>
  <c r="D20" i="23"/>
  <c r="H20" i="23"/>
  <c r="G20" i="23"/>
  <c r="E20" i="23"/>
  <c r="F20" i="23"/>
  <c r="L18" i="16"/>
  <c r="N18" i="16" s="1"/>
  <c r="C16" i="24" s="1"/>
  <c r="M18" i="16"/>
  <c r="Q18" i="16" s="1"/>
  <c r="F16" i="24" s="1"/>
  <c r="D15" i="19"/>
  <c r="F15" i="19"/>
  <c r="G15" i="19"/>
  <c r="H15" i="19"/>
  <c r="C15" i="19"/>
  <c r="E15" i="19"/>
  <c r="O17" i="16"/>
  <c r="D15" i="24" s="1"/>
  <c r="N17" i="16"/>
  <c r="C15" i="24" s="1"/>
  <c r="P17" i="16"/>
  <c r="E15" i="24" s="1"/>
  <c r="Q17" i="16"/>
  <c r="F15" i="24" s="1"/>
  <c r="R16" i="16"/>
  <c r="G14" i="24" s="1"/>
  <c r="I18" i="16"/>
  <c r="F19" i="16"/>
  <c r="H19" i="16"/>
  <c r="G19" i="16"/>
  <c r="D19" i="16"/>
  <c r="C19" i="16"/>
  <c r="E19" i="16"/>
  <c r="I16" i="10"/>
  <c r="H15" i="17" s="1"/>
  <c r="E17" i="10"/>
  <c r="F17" i="10"/>
  <c r="G17" i="10"/>
  <c r="H17" i="10"/>
  <c r="C17" i="10"/>
  <c r="D17" i="10"/>
  <c r="R8" i="22"/>
  <c r="Z7" i="22"/>
  <c r="R9" i="22"/>
  <c r="L22" i="4"/>
  <c r="H22" i="4" s="1"/>
  <c r="L23" i="4"/>
  <c r="H23" i="4" s="1"/>
  <c r="Q13" i="2"/>
  <c r="F25" i="4"/>
  <c r="E17" i="7"/>
  <c r="E16" i="8"/>
  <c r="K26" i="4" s="1"/>
  <c r="E15" i="28" s="1"/>
  <c r="A18" i="8"/>
  <c r="D24" i="4"/>
  <c r="J13" i="2"/>
  <c r="J25" i="4"/>
  <c r="Q14" i="2"/>
  <c r="A19" i="7"/>
  <c r="Q10" i="22"/>
  <c r="W10" i="22" s="1"/>
  <c r="Y10" i="22" s="1"/>
  <c r="U10" i="22"/>
  <c r="I21" i="22"/>
  <c r="V8" i="22"/>
  <c r="X8" i="22" s="1"/>
  <c r="C22" i="22"/>
  <c r="G22" i="22" s="1"/>
  <c r="D22" i="22"/>
  <c r="H22" i="22" s="1"/>
  <c r="C21" i="2"/>
  <c r="C21" i="23" s="1"/>
  <c r="E20" i="2"/>
  <c r="Z9" i="22"/>
  <c r="G11" i="2"/>
  <c r="O13" i="31" s="1"/>
  <c r="A21" i="18"/>
  <c r="A20" i="16"/>
  <c r="A19" i="15"/>
  <c r="A19" i="14"/>
  <c r="A19" i="13"/>
  <c r="A22" i="12"/>
  <c r="A20" i="11"/>
  <c r="A18" i="10"/>
  <c r="C23" i="4"/>
  <c r="A27" i="4"/>
  <c r="AE13" i="33" l="1"/>
  <c r="AF13" i="33" s="1"/>
  <c r="Q7" i="26"/>
  <c r="R7" i="26"/>
  <c r="AE15" i="33"/>
  <c r="AF15" i="33" s="1"/>
  <c r="AD10" i="31"/>
  <c r="N16" i="31"/>
  <c r="N18" i="33"/>
  <c r="AA17" i="33"/>
  <c r="V16" i="33"/>
  <c r="W16" i="33" s="1"/>
  <c r="AB16" i="33"/>
  <c r="V14" i="33"/>
  <c r="W14" i="33" s="1"/>
  <c r="AB14" i="33"/>
  <c r="S17" i="33"/>
  <c r="T17" i="33"/>
  <c r="AC17" i="33" s="1"/>
  <c r="U17" i="33"/>
  <c r="AD17" i="33" s="1"/>
  <c r="T13" i="31"/>
  <c r="W13" i="31"/>
  <c r="U13" i="31"/>
  <c r="P7" i="26"/>
  <c r="T7" i="26" s="1"/>
  <c r="F10" i="2"/>
  <c r="O12" i="31"/>
  <c r="AC9" i="31"/>
  <c r="AB9" i="31"/>
  <c r="Z6" i="31"/>
  <c r="AE6" i="31" s="1"/>
  <c r="M7" i="23"/>
  <c r="L7" i="23"/>
  <c r="N7" i="23"/>
  <c r="P7" i="23"/>
  <c r="O7" i="23"/>
  <c r="U5" i="26"/>
  <c r="P7" i="31"/>
  <c r="I9" i="23"/>
  <c r="K9" i="23" s="1"/>
  <c r="M9" i="23" s="1"/>
  <c r="M11" i="31"/>
  <c r="L45" i="31"/>
  <c r="C47" i="31"/>
  <c r="D46" i="31"/>
  <c r="K46" i="31"/>
  <c r="H46" i="31"/>
  <c r="G46" i="31"/>
  <c r="F46" i="31"/>
  <c r="I46" i="31"/>
  <c r="E46" i="31"/>
  <c r="J46" i="31"/>
  <c r="N15" i="22"/>
  <c r="E16" i="29"/>
  <c r="H16" i="29" s="1"/>
  <c r="C16" i="29"/>
  <c r="D16" i="29"/>
  <c r="G16" i="29" s="1"/>
  <c r="F15" i="28"/>
  <c r="G15" i="28" s="1"/>
  <c r="D20" i="2"/>
  <c r="C20" i="28"/>
  <c r="R11" i="2"/>
  <c r="S11" i="2" s="1"/>
  <c r="J11" i="23" s="1"/>
  <c r="A46" i="29"/>
  <c r="J26" i="4"/>
  <c r="I26" i="4" s="1"/>
  <c r="H12" i="2"/>
  <c r="G12" i="2" s="1"/>
  <c r="O14" i="31" s="1"/>
  <c r="N12" i="2"/>
  <c r="M12" i="2" s="1"/>
  <c r="D12" i="28" s="1"/>
  <c r="H12" i="28" s="1"/>
  <c r="N15" i="26"/>
  <c r="E25" i="4"/>
  <c r="D25" i="4" s="1"/>
  <c r="P13" i="2"/>
  <c r="M15" i="22" s="1"/>
  <c r="I24" i="4"/>
  <c r="L24" i="4" s="1"/>
  <c r="H24" i="4" s="1"/>
  <c r="N11" i="2"/>
  <c r="M11" i="2" s="1"/>
  <c r="M15" i="26"/>
  <c r="R12" i="2"/>
  <c r="S12" i="2" s="1"/>
  <c r="J12" i="23" s="1"/>
  <c r="S8" i="26"/>
  <c r="R8" i="26"/>
  <c r="O8" i="26"/>
  <c r="Q8" i="26"/>
  <c r="P8" i="26"/>
  <c r="E15" i="17"/>
  <c r="J15" i="26"/>
  <c r="C15" i="17"/>
  <c r="O18" i="16"/>
  <c r="D16" i="24" s="1"/>
  <c r="L15" i="26"/>
  <c r="T6" i="26"/>
  <c r="F15" i="6"/>
  <c r="G15" i="6"/>
  <c r="D15" i="17"/>
  <c r="K15" i="26"/>
  <c r="C39" i="26"/>
  <c r="G38" i="26"/>
  <c r="H38" i="26"/>
  <c r="D38" i="26"/>
  <c r="F38" i="26"/>
  <c r="E38" i="26"/>
  <c r="T11" i="22"/>
  <c r="D15" i="6"/>
  <c r="C15" i="6"/>
  <c r="F15" i="17"/>
  <c r="H15" i="6"/>
  <c r="Q15" i="2" s="1"/>
  <c r="G15" i="17"/>
  <c r="G21" i="23"/>
  <c r="D21" i="23"/>
  <c r="E21" i="23"/>
  <c r="F21" i="23"/>
  <c r="H21" i="23"/>
  <c r="E15" i="6"/>
  <c r="F16" i="19"/>
  <c r="H16" i="19"/>
  <c r="D16" i="19"/>
  <c r="E16" i="19"/>
  <c r="C16" i="19"/>
  <c r="G16" i="19"/>
  <c r="P18" i="16"/>
  <c r="E16" i="24" s="1"/>
  <c r="R18" i="16"/>
  <c r="G16" i="24" s="1"/>
  <c r="L19" i="16"/>
  <c r="R17" i="16"/>
  <c r="G15" i="24" s="1"/>
  <c r="M19" i="16"/>
  <c r="I19" i="16"/>
  <c r="H20" i="16"/>
  <c r="C20" i="16"/>
  <c r="D20" i="16"/>
  <c r="F20" i="16"/>
  <c r="G20" i="16"/>
  <c r="E20" i="16"/>
  <c r="I17" i="10"/>
  <c r="H16" i="17" s="1"/>
  <c r="G18" i="10"/>
  <c r="H18" i="10"/>
  <c r="C18" i="10"/>
  <c r="D18" i="10"/>
  <c r="E18" i="10"/>
  <c r="F18" i="10"/>
  <c r="Z8" i="22"/>
  <c r="R10" i="22"/>
  <c r="K14" i="2"/>
  <c r="N16" i="22" s="1"/>
  <c r="S11" i="22"/>
  <c r="O11" i="22"/>
  <c r="F26" i="4"/>
  <c r="E17" i="8"/>
  <c r="F27" i="4" s="1"/>
  <c r="N20" i="33" s="1"/>
  <c r="A19" i="8"/>
  <c r="E18" i="7"/>
  <c r="I13" i="2"/>
  <c r="L13" i="2" s="1"/>
  <c r="G24" i="4"/>
  <c r="C24" i="4" s="1"/>
  <c r="I25" i="4"/>
  <c r="P14" i="2"/>
  <c r="A20" i="7"/>
  <c r="Z10" i="22"/>
  <c r="T12" i="22"/>
  <c r="S12" i="22"/>
  <c r="C23" i="22"/>
  <c r="G23" i="22" s="1"/>
  <c r="D23" i="22"/>
  <c r="H23" i="22" s="1"/>
  <c r="E21" i="2"/>
  <c r="C22" i="2"/>
  <c r="C22" i="23" s="1"/>
  <c r="I22" i="22"/>
  <c r="O12" i="22"/>
  <c r="A22" i="18"/>
  <c r="A21" i="16"/>
  <c r="A20" i="15"/>
  <c r="A20" i="14"/>
  <c r="A20" i="13"/>
  <c r="A23" i="12"/>
  <c r="A21" i="11"/>
  <c r="A19" i="10"/>
  <c r="A28" i="4"/>
  <c r="J14" i="2" l="1"/>
  <c r="Q20" i="33"/>
  <c r="Z20" i="33" s="1"/>
  <c r="P20" i="33"/>
  <c r="O20" i="33"/>
  <c r="X20" i="33" s="1"/>
  <c r="AE14" i="33"/>
  <c r="AF14" i="33" s="1"/>
  <c r="AG14" i="33"/>
  <c r="N17" i="31"/>
  <c r="N19" i="33"/>
  <c r="AD9" i="31"/>
  <c r="AE16" i="33"/>
  <c r="AF16" i="33" s="1"/>
  <c r="AG16" i="33"/>
  <c r="P18" i="33"/>
  <c r="Y18" i="33" s="1"/>
  <c r="O18" i="33"/>
  <c r="Q18" i="33"/>
  <c r="Z18" i="33" s="1"/>
  <c r="V17" i="33"/>
  <c r="W17" i="33" s="1"/>
  <c r="AB17" i="33"/>
  <c r="U6" i="26"/>
  <c r="P8" i="31"/>
  <c r="X7" i="31"/>
  <c r="Y7" i="31"/>
  <c r="S7" i="31"/>
  <c r="R7" i="31"/>
  <c r="V7" i="31"/>
  <c r="L9" i="23"/>
  <c r="U7" i="26"/>
  <c r="P9" i="31"/>
  <c r="O9" i="23"/>
  <c r="P9" i="23"/>
  <c r="D18" i="29"/>
  <c r="G18" i="29" s="1"/>
  <c r="N18" i="31"/>
  <c r="N9" i="23"/>
  <c r="W14" i="31"/>
  <c r="T14" i="31"/>
  <c r="U14" i="31"/>
  <c r="I10" i="23"/>
  <c r="K10" i="23" s="1"/>
  <c r="M12" i="31"/>
  <c r="AA12" i="31" s="1"/>
  <c r="AC11" i="31"/>
  <c r="AB11" i="31"/>
  <c r="AA11" i="31"/>
  <c r="T12" i="31"/>
  <c r="U12" i="31"/>
  <c r="W12" i="31"/>
  <c r="L46" i="31"/>
  <c r="C48" i="31"/>
  <c r="D47" i="31"/>
  <c r="K47" i="31"/>
  <c r="H47" i="31"/>
  <c r="G47" i="31"/>
  <c r="F47" i="31"/>
  <c r="J47" i="31"/>
  <c r="I47" i="31"/>
  <c r="E47" i="31"/>
  <c r="C18" i="29"/>
  <c r="D17" i="29"/>
  <c r="G17" i="29" s="1"/>
  <c r="C17" i="29"/>
  <c r="E17" i="29"/>
  <c r="H17" i="29" s="1"/>
  <c r="D16" i="17"/>
  <c r="F16" i="29"/>
  <c r="I16" i="29"/>
  <c r="L16" i="26"/>
  <c r="E18" i="29"/>
  <c r="H18" i="29" s="1"/>
  <c r="D21" i="2"/>
  <c r="C21" i="28"/>
  <c r="P15" i="2"/>
  <c r="F16" i="28"/>
  <c r="G16" i="28" s="1"/>
  <c r="F11" i="2"/>
  <c r="D11" i="28"/>
  <c r="H11" i="28" s="1"/>
  <c r="A47" i="29"/>
  <c r="N13" i="2"/>
  <c r="K16" i="26"/>
  <c r="E26" i="4"/>
  <c r="D26" i="4" s="1"/>
  <c r="D16" i="6"/>
  <c r="M16" i="26"/>
  <c r="K13" i="22"/>
  <c r="J13" i="22" s="1"/>
  <c r="T13" i="22" s="1"/>
  <c r="I14" i="2"/>
  <c r="L14" i="2" s="1"/>
  <c r="F12" i="2"/>
  <c r="O14" i="2"/>
  <c r="R14" i="2" s="1"/>
  <c r="O13" i="2"/>
  <c r="R13" i="2" s="1"/>
  <c r="S13" i="2" s="1"/>
  <c r="J13" i="23" s="1"/>
  <c r="K14" i="22"/>
  <c r="J14" i="22" s="1"/>
  <c r="H13" i="2"/>
  <c r="E27" i="4"/>
  <c r="G16" i="17"/>
  <c r="T8" i="26"/>
  <c r="J16" i="26"/>
  <c r="Q12" i="22"/>
  <c r="W12" i="22" s="1"/>
  <c r="Y12" i="22" s="1"/>
  <c r="I10" i="26"/>
  <c r="C16" i="6"/>
  <c r="N16" i="26"/>
  <c r="E16" i="6"/>
  <c r="P11" i="22"/>
  <c r="V11" i="22" s="1"/>
  <c r="X11" i="22" s="1"/>
  <c r="I9" i="26"/>
  <c r="E16" i="17"/>
  <c r="C40" i="26"/>
  <c r="G39" i="26"/>
  <c r="F39" i="26"/>
  <c r="H39" i="26"/>
  <c r="D39" i="26"/>
  <c r="E39" i="26"/>
  <c r="F16" i="6"/>
  <c r="F16" i="17"/>
  <c r="H16" i="6"/>
  <c r="C16" i="17"/>
  <c r="E22" i="23"/>
  <c r="G22" i="23"/>
  <c r="D22" i="23"/>
  <c r="F22" i="23"/>
  <c r="H22" i="23"/>
  <c r="G16" i="6"/>
  <c r="H17" i="19"/>
  <c r="C17" i="19"/>
  <c r="D17" i="19"/>
  <c r="F17" i="19"/>
  <c r="G17" i="19"/>
  <c r="E17" i="19"/>
  <c r="L20" i="16"/>
  <c r="Q19" i="16"/>
  <c r="F17" i="24" s="1"/>
  <c r="P19" i="16"/>
  <c r="E17" i="24" s="1"/>
  <c r="O19" i="16"/>
  <c r="D17" i="24" s="1"/>
  <c r="N19" i="16"/>
  <c r="C17" i="24" s="1"/>
  <c r="M20" i="16"/>
  <c r="I20" i="16"/>
  <c r="E21" i="16"/>
  <c r="C21" i="16"/>
  <c r="D21" i="16"/>
  <c r="F21" i="16"/>
  <c r="H21" i="16"/>
  <c r="G21" i="16"/>
  <c r="I18" i="10"/>
  <c r="F17" i="17" s="1"/>
  <c r="O15" i="2"/>
  <c r="C19" i="10"/>
  <c r="D19" i="10"/>
  <c r="E19" i="10"/>
  <c r="G19" i="10"/>
  <c r="F19" i="10"/>
  <c r="H19" i="10"/>
  <c r="U11" i="22"/>
  <c r="Q11" i="22"/>
  <c r="W11" i="22" s="1"/>
  <c r="Y11" i="22" s="1"/>
  <c r="E18" i="8"/>
  <c r="F28" i="4" s="1"/>
  <c r="N21" i="33" s="1"/>
  <c r="K27" i="4"/>
  <c r="E16" i="28" s="1"/>
  <c r="K15" i="2"/>
  <c r="N17" i="22" s="1"/>
  <c r="A20" i="8"/>
  <c r="G25" i="4"/>
  <c r="C25" i="4" s="1"/>
  <c r="M16" i="22"/>
  <c r="L25" i="4"/>
  <c r="H25" i="4" s="1"/>
  <c r="E19" i="7"/>
  <c r="A21" i="7"/>
  <c r="U12" i="22"/>
  <c r="C24" i="22"/>
  <c r="G24" i="22" s="1"/>
  <c r="D24" i="22"/>
  <c r="H24" i="22" s="1"/>
  <c r="C23" i="2"/>
  <c r="C23" i="23" s="1"/>
  <c r="E22" i="2"/>
  <c r="I23" i="22"/>
  <c r="P12" i="22"/>
  <c r="A23" i="18"/>
  <c r="A22" i="16"/>
  <c r="A21" i="15"/>
  <c r="A21" i="14"/>
  <c r="A21" i="13"/>
  <c r="A24" i="12"/>
  <c r="A22" i="11"/>
  <c r="A20" i="10"/>
  <c r="A29" i="4"/>
  <c r="O13" i="22" l="1"/>
  <c r="Q13" i="22" s="1"/>
  <c r="W13" i="22" s="1"/>
  <c r="Y13" i="22" s="1"/>
  <c r="AE17" i="33"/>
  <c r="AF17" i="33" s="1"/>
  <c r="AG17" i="33"/>
  <c r="P21" i="33"/>
  <c r="Y21" i="33" s="1"/>
  <c r="O21" i="33"/>
  <c r="Q21" i="33"/>
  <c r="Z21" i="33" s="1"/>
  <c r="Q19" i="33"/>
  <c r="Z19" i="33" s="1"/>
  <c r="P19" i="33"/>
  <c r="Y19" i="33" s="1"/>
  <c r="O19" i="33"/>
  <c r="R20" i="33"/>
  <c r="Y20" i="33"/>
  <c r="AA20" i="33" s="1"/>
  <c r="R18" i="33"/>
  <c r="X18" i="33"/>
  <c r="C19" i="29"/>
  <c r="F19" i="29" s="1"/>
  <c r="N19" i="31"/>
  <c r="U8" i="26"/>
  <c r="P10" i="31"/>
  <c r="I11" i="23"/>
  <c r="K11" i="23" s="1"/>
  <c r="O11" i="23" s="1"/>
  <c r="M13" i="31"/>
  <c r="AD11" i="31"/>
  <c r="AC12" i="31"/>
  <c r="AB12" i="31"/>
  <c r="M10" i="23"/>
  <c r="N10" i="23"/>
  <c r="O10" i="23"/>
  <c r="P10" i="23"/>
  <c r="L10" i="23"/>
  <c r="R8" i="31"/>
  <c r="X8" i="31"/>
  <c r="Y8" i="31"/>
  <c r="S8" i="31"/>
  <c r="V8" i="31"/>
  <c r="Z7" i="31"/>
  <c r="AE7" i="31" s="1"/>
  <c r="I12" i="23"/>
  <c r="K12" i="23" s="1"/>
  <c r="P12" i="23" s="1"/>
  <c r="M14" i="31"/>
  <c r="S9" i="31"/>
  <c r="R9" i="31"/>
  <c r="Y9" i="31"/>
  <c r="X9" i="31"/>
  <c r="V9" i="31"/>
  <c r="L47" i="31"/>
  <c r="C49" i="31"/>
  <c r="D48" i="31"/>
  <c r="K48" i="31"/>
  <c r="H48" i="31"/>
  <c r="G48" i="31"/>
  <c r="F48" i="31"/>
  <c r="E48" i="31"/>
  <c r="J48" i="31"/>
  <c r="I48" i="31"/>
  <c r="K15" i="22"/>
  <c r="S13" i="22"/>
  <c r="U13" i="22" s="1"/>
  <c r="F17" i="28"/>
  <c r="G17" i="28" s="1"/>
  <c r="L11" i="23"/>
  <c r="E19" i="29"/>
  <c r="H19" i="29" s="1"/>
  <c r="G13" i="2"/>
  <c r="O15" i="31" s="1"/>
  <c r="D19" i="29"/>
  <c r="G19" i="29" s="1"/>
  <c r="F17" i="29"/>
  <c r="I17" i="29"/>
  <c r="D22" i="2"/>
  <c r="C22" i="28"/>
  <c r="K17" i="26"/>
  <c r="F18" i="29"/>
  <c r="I18" i="29"/>
  <c r="L15" i="22"/>
  <c r="L16" i="22"/>
  <c r="A48" i="29"/>
  <c r="D17" i="17"/>
  <c r="I15" i="2"/>
  <c r="L17" i="22" s="1"/>
  <c r="E17" i="6"/>
  <c r="K16" i="2"/>
  <c r="G17" i="17"/>
  <c r="D27" i="4"/>
  <c r="H14" i="2"/>
  <c r="G14" i="2" s="1"/>
  <c r="O16" i="31" s="1"/>
  <c r="J15" i="2"/>
  <c r="M17" i="22" s="1"/>
  <c r="N14" i="2"/>
  <c r="M14" i="2" s="1"/>
  <c r="D14" i="28" s="1"/>
  <c r="H14" i="28" s="1"/>
  <c r="J16" i="2"/>
  <c r="N17" i="26"/>
  <c r="M13" i="2"/>
  <c r="D13" i="28" s="1"/>
  <c r="H13" i="28" s="1"/>
  <c r="H17" i="6"/>
  <c r="O10" i="26"/>
  <c r="S10" i="26"/>
  <c r="P10" i="26"/>
  <c r="Q10" i="26"/>
  <c r="R10" i="26"/>
  <c r="G17" i="6"/>
  <c r="J17" i="26"/>
  <c r="R9" i="26"/>
  <c r="Q9" i="26"/>
  <c r="P9" i="26"/>
  <c r="S9" i="26"/>
  <c r="O9" i="26"/>
  <c r="V11" i="26"/>
  <c r="M17" i="26"/>
  <c r="H17" i="17"/>
  <c r="L17" i="26"/>
  <c r="F17" i="6"/>
  <c r="E17" i="17"/>
  <c r="C41" i="26"/>
  <c r="E40" i="26"/>
  <c r="F40" i="26"/>
  <c r="D40" i="26"/>
  <c r="G40" i="26"/>
  <c r="H40" i="26"/>
  <c r="C17" i="6"/>
  <c r="C17" i="17"/>
  <c r="G23" i="23"/>
  <c r="E23" i="23"/>
  <c r="D23" i="23"/>
  <c r="F23" i="23"/>
  <c r="H23" i="23"/>
  <c r="D17" i="6"/>
  <c r="D18" i="19"/>
  <c r="E18" i="19"/>
  <c r="F18" i="19"/>
  <c r="C18" i="19"/>
  <c r="H18" i="19"/>
  <c r="G18" i="19"/>
  <c r="L21" i="16"/>
  <c r="P20" i="16"/>
  <c r="E18" i="24" s="1"/>
  <c r="Q20" i="16"/>
  <c r="F18" i="24" s="1"/>
  <c r="R19" i="16"/>
  <c r="G17" i="24" s="1"/>
  <c r="M21" i="16"/>
  <c r="O20" i="16"/>
  <c r="D18" i="24" s="1"/>
  <c r="N20" i="16"/>
  <c r="C18" i="24" s="1"/>
  <c r="D22" i="16"/>
  <c r="F22" i="16"/>
  <c r="E22" i="16"/>
  <c r="G22" i="16"/>
  <c r="H22" i="16"/>
  <c r="C22" i="16"/>
  <c r="I21" i="16"/>
  <c r="I19" i="10"/>
  <c r="E18" i="17" s="1"/>
  <c r="C20" i="10"/>
  <c r="D20" i="10"/>
  <c r="E20" i="10"/>
  <c r="F20" i="10"/>
  <c r="G20" i="10"/>
  <c r="H20" i="10"/>
  <c r="R12" i="22"/>
  <c r="R11" i="22"/>
  <c r="Z11" i="22"/>
  <c r="K28" i="4"/>
  <c r="E17" i="28" s="1"/>
  <c r="G26" i="4"/>
  <c r="C26" i="4" s="1"/>
  <c r="Q16" i="2"/>
  <c r="J27" i="4"/>
  <c r="S14" i="2"/>
  <c r="J14" i="23" s="1"/>
  <c r="A21" i="8"/>
  <c r="E19" i="8"/>
  <c r="F29" i="4" s="1"/>
  <c r="N22" i="33" s="1"/>
  <c r="E20" i="7"/>
  <c r="A22" i="7"/>
  <c r="E28" i="4"/>
  <c r="V12" i="22"/>
  <c r="X12" i="22" s="1"/>
  <c r="C25" i="22"/>
  <c r="G25" i="22" s="1"/>
  <c r="D25" i="22"/>
  <c r="H25" i="22" s="1"/>
  <c r="C24" i="2"/>
  <c r="C24" i="23" s="1"/>
  <c r="E23" i="2"/>
  <c r="I24" i="22"/>
  <c r="T14" i="22"/>
  <c r="S14" i="22"/>
  <c r="R15" i="2"/>
  <c r="L26" i="4"/>
  <c r="H26" i="4" s="1"/>
  <c r="P13" i="22"/>
  <c r="O14" i="22"/>
  <c r="A24" i="18"/>
  <c r="A23" i="16"/>
  <c r="A22" i="15"/>
  <c r="A22" i="14"/>
  <c r="A22" i="13"/>
  <c r="A25" i="12"/>
  <c r="A23" i="11"/>
  <c r="A21" i="10"/>
  <c r="A30" i="4"/>
  <c r="I11" i="26" l="1"/>
  <c r="S11" i="26" s="1"/>
  <c r="P11" i="23"/>
  <c r="N11" i="23"/>
  <c r="M11" i="23"/>
  <c r="Q22" i="33"/>
  <c r="Z22" i="33" s="1"/>
  <c r="O22" i="33"/>
  <c r="P22" i="33"/>
  <c r="Y22" i="33" s="1"/>
  <c r="R19" i="33"/>
  <c r="X19" i="33"/>
  <c r="R21" i="33"/>
  <c r="X21" i="33"/>
  <c r="AD12" i="31"/>
  <c r="U20" i="33"/>
  <c r="AD20" i="33" s="1"/>
  <c r="T20" i="33"/>
  <c r="AC20" i="33" s="1"/>
  <c r="S20" i="33"/>
  <c r="AA18" i="33"/>
  <c r="S18" i="33"/>
  <c r="T18" i="33"/>
  <c r="AC18" i="33" s="1"/>
  <c r="U18" i="33"/>
  <c r="AD18" i="33" s="1"/>
  <c r="W15" i="31"/>
  <c r="T15" i="31"/>
  <c r="U15" i="31"/>
  <c r="X10" i="31"/>
  <c r="S10" i="31"/>
  <c r="V10" i="31"/>
  <c r="R10" i="31"/>
  <c r="Y10" i="31"/>
  <c r="N12" i="23"/>
  <c r="M12" i="23"/>
  <c r="J15" i="22"/>
  <c r="O15" i="22" s="1"/>
  <c r="Z9" i="31"/>
  <c r="AE9" i="31" s="1"/>
  <c r="AC13" i="31"/>
  <c r="AB13" i="31"/>
  <c r="AA13" i="31"/>
  <c r="W16" i="31"/>
  <c r="T16" i="31"/>
  <c r="U16" i="31"/>
  <c r="O12" i="23"/>
  <c r="E20" i="29"/>
  <c r="H20" i="29" s="1"/>
  <c r="N20" i="31"/>
  <c r="L12" i="23"/>
  <c r="AC14" i="31"/>
  <c r="AB14" i="31"/>
  <c r="AA14" i="31"/>
  <c r="Z8" i="31"/>
  <c r="AE8" i="31" s="1"/>
  <c r="L48" i="31"/>
  <c r="C50" i="31"/>
  <c r="D49" i="31"/>
  <c r="K49" i="31"/>
  <c r="H49" i="31"/>
  <c r="G49" i="31"/>
  <c r="F49" i="31"/>
  <c r="E49" i="31"/>
  <c r="J49" i="31"/>
  <c r="I49" i="31"/>
  <c r="K17" i="2"/>
  <c r="D20" i="29"/>
  <c r="G20" i="29" s="1"/>
  <c r="G18" i="6"/>
  <c r="H18" i="17"/>
  <c r="C20" i="29"/>
  <c r="F20" i="29" s="1"/>
  <c r="D23" i="2"/>
  <c r="C23" i="28"/>
  <c r="F18" i="28"/>
  <c r="G18" i="28" s="1"/>
  <c r="I19" i="29"/>
  <c r="K16" i="22"/>
  <c r="J16" i="22" s="1"/>
  <c r="F13" i="2"/>
  <c r="F14" i="2"/>
  <c r="A49" i="29"/>
  <c r="L15" i="2"/>
  <c r="S15" i="2" s="1"/>
  <c r="J15" i="23" s="1"/>
  <c r="M18" i="26"/>
  <c r="G27" i="4"/>
  <c r="H15" i="2"/>
  <c r="G15" i="2" s="1"/>
  <c r="O17" i="31" s="1"/>
  <c r="K18" i="26"/>
  <c r="I16" i="2"/>
  <c r="L16" i="2" s="1"/>
  <c r="J28" i="4"/>
  <c r="I28" i="4" s="1"/>
  <c r="G18" i="17"/>
  <c r="L18" i="26"/>
  <c r="J18" i="26"/>
  <c r="E18" i="6"/>
  <c r="K18" i="2" s="1"/>
  <c r="D18" i="17"/>
  <c r="N18" i="26"/>
  <c r="T10" i="26"/>
  <c r="P14" i="22"/>
  <c r="V14" i="22" s="1"/>
  <c r="X14" i="22" s="1"/>
  <c r="I12" i="26"/>
  <c r="O11" i="26"/>
  <c r="Q11" i="26"/>
  <c r="T9" i="26"/>
  <c r="C42" i="26"/>
  <c r="H41" i="26"/>
  <c r="E41" i="26"/>
  <c r="D41" i="26"/>
  <c r="F41" i="26"/>
  <c r="G41" i="26"/>
  <c r="H18" i="6"/>
  <c r="F18" i="6"/>
  <c r="F18" i="17"/>
  <c r="E24" i="23"/>
  <c r="G24" i="23"/>
  <c r="F24" i="23"/>
  <c r="H24" i="23"/>
  <c r="D24" i="23"/>
  <c r="D18" i="6"/>
  <c r="C18" i="17"/>
  <c r="C18" i="6"/>
  <c r="D19" i="19"/>
  <c r="F19" i="19"/>
  <c r="G19" i="19"/>
  <c r="H19" i="19"/>
  <c r="C19" i="19"/>
  <c r="E19" i="19"/>
  <c r="M22" i="16"/>
  <c r="Q22" i="16" s="1"/>
  <c r="F20" i="24" s="1"/>
  <c r="L22" i="16"/>
  <c r="P21" i="16"/>
  <c r="E19" i="24" s="1"/>
  <c r="Q21" i="16"/>
  <c r="F19" i="24" s="1"/>
  <c r="R20" i="16"/>
  <c r="G18" i="24" s="1"/>
  <c r="N21" i="16"/>
  <c r="C19" i="24" s="1"/>
  <c r="O21" i="16"/>
  <c r="D19" i="24" s="1"/>
  <c r="F23" i="16"/>
  <c r="G23" i="16"/>
  <c r="H23" i="16"/>
  <c r="D23" i="16"/>
  <c r="C23" i="16"/>
  <c r="E23" i="16"/>
  <c r="I22" i="16"/>
  <c r="I20" i="10"/>
  <c r="E19" i="17" s="1"/>
  <c r="E21" i="10"/>
  <c r="F21" i="10"/>
  <c r="G21" i="10"/>
  <c r="H21" i="10"/>
  <c r="C21" i="10"/>
  <c r="D21" i="10"/>
  <c r="Z12" i="22"/>
  <c r="R13" i="22"/>
  <c r="K29" i="4"/>
  <c r="E18" i="28" s="1"/>
  <c r="Q17" i="2"/>
  <c r="N18" i="22"/>
  <c r="P16" i="2"/>
  <c r="M18" i="22" s="1"/>
  <c r="I27" i="4"/>
  <c r="E20" i="8"/>
  <c r="K30" i="4" s="1"/>
  <c r="E19" i="28" s="1"/>
  <c r="A22" i="8"/>
  <c r="D28" i="4"/>
  <c r="J17" i="2"/>
  <c r="E21" i="7"/>
  <c r="A23" i="7"/>
  <c r="E29" i="4"/>
  <c r="V13" i="22"/>
  <c r="X13" i="22" s="1"/>
  <c r="I25" i="22"/>
  <c r="U14" i="22"/>
  <c r="N15" i="2"/>
  <c r="M15" i="2" s="1"/>
  <c r="D15" i="28" s="1"/>
  <c r="H15" i="28" s="1"/>
  <c r="C26" i="22"/>
  <c r="G26" i="22" s="1"/>
  <c r="D26" i="22"/>
  <c r="H26" i="22" s="1"/>
  <c r="C25" i="2"/>
  <c r="C25" i="23" s="1"/>
  <c r="E24" i="2"/>
  <c r="Q14" i="22"/>
  <c r="A25" i="18"/>
  <c r="A24" i="16"/>
  <c r="A23" i="15"/>
  <c r="A23" i="14"/>
  <c r="A23" i="13"/>
  <c r="A26" i="12"/>
  <c r="A24" i="11"/>
  <c r="A22" i="10"/>
  <c r="C27" i="4"/>
  <c r="A31" i="4"/>
  <c r="R11" i="26" l="1"/>
  <c r="P11" i="26"/>
  <c r="P17" i="2"/>
  <c r="AD13" i="31"/>
  <c r="V20" i="33"/>
  <c r="W20" i="33" s="1"/>
  <c r="AB20" i="33"/>
  <c r="AG20" i="33" s="1"/>
  <c r="AA21" i="33"/>
  <c r="V18" i="33"/>
  <c r="W18" i="33" s="1"/>
  <c r="AB18" i="33"/>
  <c r="AE20" i="33"/>
  <c r="AF20" i="33" s="1"/>
  <c r="S21" i="33"/>
  <c r="AB21" i="33" s="1"/>
  <c r="U21" i="33"/>
  <c r="AD21" i="33" s="1"/>
  <c r="T21" i="33"/>
  <c r="R22" i="33"/>
  <c r="X22" i="33"/>
  <c r="AA19" i="33"/>
  <c r="U19" i="33"/>
  <c r="AD19" i="33" s="1"/>
  <c r="S19" i="33"/>
  <c r="T19" i="33"/>
  <c r="AC19" i="33" s="1"/>
  <c r="S15" i="22"/>
  <c r="W17" i="31"/>
  <c r="T17" i="31"/>
  <c r="U17" i="31"/>
  <c r="T15" i="22"/>
  <c r="U15" i="22" s="1"/>
  <c r="AD14" i="31"/>
  <c r="I14" i="23"/>
  <c r="K14" i="23" s="1"/>
  <c r="L14" i="23" s="1"/>
  <c r="M16" i="31"/>
  <c r="U9" i="26"/>
  <c r="P11" i="31"/>
  <c r="U10" i="26"/>
  <c r="P12" i="31"/>
  <c r="I13" i="23"/>
  <c r="K13" i="23" s="1"/>
  <c r="N13" i="23" s="1"/>
  <c r="M15" i="31"/>
  <c r="Z10" i="31"/>
  <c r="AE10" i="31" s="1"/>
  <c r="C51" i="31"/>
  <c r="D50" i="31"/>
  <c r="K50" i="31"/>
  <c r="H50" i="31"/>
  <c r="G50" i="31"/>
  <c r="F50" i="31"/>
  <c r="J50" i="31"/>
  <c r="I50" i="31"/>
  <c r="E50" i="31"/>
  <c r="L49" i="31"/>
  <c r="I20" i="29"/>
  <c r="N19" i="22"/>
  <c r="D24" i="2"/>
  <c r="C24" i="28"/>
  <c r="F19" i="28"/>
  <c r="G19" i="28" s="1"/>
  <c r="A50" i="29"/>
  <c r="H16" i="2"/>
  <c r="G16" i="2" s="1"/>
  <c r="O18" i="31" s="1"/>
  <c r="O17" i="2"/>
  <c r="R17" i="2" s="1"/>
  <c r="O16" i="2"/>
  <c r="L18" i="22" s="1"/>
  <c r="J19" i="26"/>
  <c r="M19" i="26"/>
  <c r="I17" i="2"/>
  <c r="L17" i="2" s="1"/>
  <c r="P22" i="16"/>
  <c r="E20" i="24" s="1"/>
  <c r="P15" i="22"/>
  <c r="I13" i="26"/>
  <c r="L19" i="26"/>
  <c r="K19" i="26"/>
  <c r="N19" i="26"/>
  <c r="Q12" i="26"/>
  <c r="O12" i="26"/>
  <c r="R12" i="26"/>
  <c r="S12" i="26"/>
  <c r="P12" i="26"/>
  <c r="Q15" i="22"/>
  <c r="T11" i="26"/>
  <c r="C43" i="26"/>
  <c r="D42" i="26"/>
  <c r="H42" i="26"/>
  <c r="E42" i="26"/>
  <c r="G42" i="26"/>
  <c r="F42" i="26"/>
  <c r="H19" i="17"/>
  <c r="D19" i="17"/>
  <c r="C19" i="17"/>
  <c r="D19" i="6"/>
  <c r="G19" i="17"/>
  <c r="G19" i="6"/>
  <c r="E19" i="6"/>
  <c r="F19" i="17"/>
  <c r="C19" i="6"/>
  <c r="F19" i="6"/>
  <c r="E25" i="23"/>
  <c r="D25" i="23"/>
  <c r="F25" i="23"/>
  <c r="G25" i="23"/>
  <c r="H25" i="23"/>
  <c r="H19" i="6"/>
  <c r="F20" i="19"/>
  <c r="H20" i="19"/>
  <c r="D20" i="19"/>
  <c r="E20" i="19"/>
  <c r="G20" i="19"/>
  <c r="C20" i="19"/>
  <c r="M23" i="16"/>
  <c r="P23" i="16" s="1"/>
  <c r="E21" i="24" s="1"/>
  <c r="L23" i="16"/>
  <c r="O22" i="16"/>
  <c r="D20" i="24" s="1"/>
  <c r="N22" i="16"/>
  <c r="C20" i="24" s="1"/>
  <c r="R21" i="16"/>
  <c r="G19" i="24" s="1"/>
  <c r="R22" i="16"/>
  <c r="G20" i="24" s="1"/>
  <c r="H24" i="16"/>
  <c r="C24" i="16"/>
  <c r="D24" i="16"/>
  <c r="F24" i="16"/>
  <c r="G24" i="16"/>
  <c r="E24" i="16"/>
  <c r="I23" i="16"/>
  <c r="G22" i="10"/>
  <c r="H22" i="10"/>
  <c r="C22" i="10"/>
  <c r="E22" i="10"/>
  <c r="D22" i="10"/>
  <c r="F22" i="10"/>
  <c r="I21" i="10"/>
  <c r="G20" i="6" s="1"/>
  <c r="Q18" i="2"/>
  <c r="N20" i="22" s="1"/>
  <c r="J29" i="4"/>
  <c r="Z13" i="22"/>
  <c r="R14" i="22"/>
  <c r="L27" i="4"/>
  <c r="H27" i="4" s="1"/>
  <c r="M19" i="22"/>
  <c r="E21" i="8"/>
  <c r="F31" i="4" s="1"/>
  <c r="N24" i="33" s="1"/>
  <c r="E22" i="7"/>
  <c r="F30" i="4"/>
  <c r="A23" i="8"/>
  <c r="J30" i="4"/>
  <c r="D29" i="4"/>
  <c r="J18" i="2"/>
  <c r="G28" i="4"/>
  <c r="C28" i="4" s="1"/>
  <c r="A24" i="7"/>
  <c r="K17" i="22"/>
  <c r="J17" i="22" s="1"/>
  <c r="S16" i="22"/>
  <c r="T16" i="22"/>
  <c r="F15" i="2"/>
  <c r="C27" i="22"/>
  <c r="G27" i="22" s="1"/>
  <c r="D27" i="22"/>
  <c r="H27" i="22" s="1"/>
  <c r="C26" i="2"/>
  <c r="C26" i="23" s="1"/>
  <c r="E25" i="2"/>
  <c r="I26" i="22"/>
  <c r="W14" i="22"/>
  <c r="Y14" i="22" s="1"/>
  <c r="L28" i="4"/>
  <c r="H28" i="4" s="1"/>
  <c r="O16" i="22"/>
  <c r="I14" i="26" s="1"/>
  <c r="A26" i="18"/>
  <c r="A25" i="16"/>
  <c r="A24" i="15"/>
  <c r="A24" i="14"/>
  <c r="A24" i="13"/>
  <c r="A27" i="12"/>
  <c r="A25" i="11"/>
  <c r="A23" i="10"/>
  <c r="A32" i="4"/>
  <c r="V15" i="22" l="1"/>
  <c r="X15" i="22" s="1"/>
  <c r="N14" i="23"/>
  <c r="P14" i="23"/>
  <c r="N21" i="31"/>
  <c r="N23" i="33"/>
  <c r="U22" i="33"/>
  <c r="AD22" i="33" s="1"/>
  <c r="S22" i="33"/>
  <c r="T22" i="33"/>
  <c r="AC22" i="33" s="1"/>
  <c r="V21" i="33"/>
  <c r="W21" i="33" s="1"/>
  <c r="AC21" i="33"/>
  <c r="AG21" i="33" s="1"/>
  <c r="AE18" i="33"/>
  <c r="AF18" i="33" s="1"/>
  <c r="AG18" i="33"/>
  <c r="Q24" i="33"/>
  <c r="O24" i="33"/>
  <c r="X24" i="33" s="1"/>
  <c r="P24" i="33"/>
  <c r="Y24" i="33" s="1"/>
  <c r="W15" i="22"/>
  <c r="Y15" i="22" s="1"/>
  <c r="O14" i="23"/>
  <c r="V19" i="33"/>
  <c r="W19" i="33" s="1"/>
  <c r="AB19" i="33"/>
  <c r="AA22" i="33"/>
  <c r="W18" i="31"/>
  <c r="T18" i="31"/>
  <c r="U18" i="31"/>
  <c r="M14" i="23"/>
  <c r="S11" i="31"/>
  <c r="V11" i="31"/>
  <c r="Y11" i="31"/>
  <c r="X11" i="31"/>
  <c r="R11" i="31"/>
  <c r="L13" i="23"/>
  <c r="M13" i="23"/>
  <c r="O13" i="23"/>
  <c r="AC16" i="31"/>
  <c r="AB16" i="31"/>
  <c r="AA16" i="31"/>
  <c r="X12" i="31"/>
  <c r="S12" i="31"/>
  <c r="Y12" i="31"/>
  <c r="R12" i="31"/>
  <c r="V12" i="31"/>
  <c r="I15" i="23"/>
  <c r="K15" i="23" s="1"/>
  <c r="O15" i="23" s="1"/>
  <c r="M17" i="31"/>
  <c r="E22" i="29"/>
  <c r="H22" i="29" s="1"/>
  <c r="N22" i="31"/>
  <c r="U11" i="26"/>
  <c r="P13" i="31"/>
  <c r="P13" i="23"/>
  <c r="AC15" i="31"/>
  <c r="AB15" i="31"/>
  <c r="AA15" i="31"/>
  <c r="L50" i="31"/>
  <c r="C52" i="31"/>
  <c r="D51" i="31"/>
  <c r="K51" i="31"/>
  <c r="H51" i="31"/>
  <c r="G51" i="31"/>
  <c r="F51" i="31"/>
  <c r="J51" i="31"/>
  <c r="I51" i="31"/>
  <c r="E51" i="31"/>
  <c r="D22" i="29"/>
  <c r="G22" i="29" s="1"/>
  <c r="R16" i="2"/>
  <c r="C22" i="29"/>
  <c r="F22" i="29" s="1"/>
  <c r="K20" i="26"/>
  <c r="E21" i="29"/>
  <c r="H21" i="29" s="1"/>
  <c r="D21" i="29"/>
  <c r="G21" i="29" s="1"/>
  <c r="C21" i="29"/>
  <c r="F20" i="28"/>
  <c r="G20" i="28" s="1"/>
  <c r="D25" i="2"/>
  <c r="C25" i="28"/>
  <c r="R15" i="22"/>
  <c r="Q19" i="2"/>
  <c r="L19" i="22"/>
  <c r="A51" i="29"/>
  <c r="I29" i="4"/>
  <c r="L29" i="4" s="1"/>
  <c r="H29" i="4" s="1"/>
  <c r="E30" i="4"/>
  <c r="C20" i="6"/>
  <c r="N16" i="2"/>
  <c r="M16" i="2" s="1"/>
  <c r="Q23" i="16"/>
  <c r="F21" i="24" s="1"/>
  <c r="H17" i="2"/>
  <c r="G17" i="2" s="1"/>
  <c r="O19" i="31" s="1"/>
  <c r="J20" i="26"/>
  <c r="S14" i="26"/>
  <c r="P14" i="26"/>
  <c r="Q14" i="26"/>
  <c r="R14" i="26"/>
  <c r="O14" i="26"/>
  <c r="L20" i="26"/>
  <c r="T12" i="26"/>
  <c r="R13" i="26"/>
  <c r="O13" i="26"/>
  <c r="Q13" i="26"/>
  <c r="S13" i="26"/>
  <c r="P13" i="26"/>
  <c r="M20" i="26"/>
  <c r="N20" i="26"/>
  <c r="C44" i="26"/>
  <c r="F43" i="26"/>
  <c r="G43" i="26"/>
  <c r="H43" i="26"/>
  <c r="D43" i="26"/>
  <c r="E43" i="26"/>
  <c r="L15" i="23"/>
  <c r="D20" i="6"/>
  <c r="E20" i="17"/>
  <c r="F20" i="17"/>
  <c r="C20" i="17"/>
  <c r="F20" i="6"/>
  <c r="D20" i="17"/>
  <c r="E20" i="6"/>
  <c r="H20" i="17"/>
  <c r="H26" i="23"/>
  <c r="G26" i="23"/>
  <c r="D26" i="23"/>
  <c r="E26" i="23"/>
  <c r="F26" i="23"/>
  <c r="H20" i="6"/>
  <c r="G20" i="17"/>
  <c r="H21" i="19"/>
  <c r="C21" i="19"/>
  <c r="D21" i="19"/>
  <c r="F21" i="19"/>
  <c r="G21" i="19"/>
  <c r="E21" i="19"/>
  <c r="M24" i="16"/>
  <c r="L24" i="16"/>
  <c r="O23" i="16"/>
  <c r="D21" i="24" s="1"/>
  <c r="N23" i="16"/>
  <c r="C21" i="24" s="1"/>
  <c r="I24" i="16"/>
  <c r="D25" i="16"/>
  <c r="C25" i="16"/>
  <c r="E25" i="16"/>
  <c r="F25" i="16"/>
  <c r="G25" i="16"/>
  <c r="H25" i="16"/>
  <c r="C23" i="10"/>
  <c r="D23" i="10"/>
  <c r="E23" i="10"/>
  <c r="F23" i="10"/>
  <c r="G23" i="10"/>
  <c r="H23" i="10"/>
  <c r="I22" i="10"/>
  <c r="C21" i="6" s="1"/>
  <c r="P18" i="2"/>
  <c r="Z14" i="22"/>
  <c r="S16" i="2"/>
  <c r="K31" i="4"/>
  <c r="E20" i="28" s="1"/>
  <c r="S17" i="2"/>
  <c r="J17" i="23" s="1"/>
  <c r="K19" i="2"/>
  <c r="E22" i="8"/>
  <c r="F32" i="4" s="1"/>
  <c r="N25" i="33" s="1"/>
  <c r="A24" i="8"/>
  <c r="A25" i="7"/>
  <c r="I18" i="2"/>
  <c r="G29" i="4"/>
  <c r="C29" i="4" s="1"/>
  <c r="I30" i="4"/>
  <c r="P19" i="2"/>
  <c r="E23" i="7"/>
  <c r="E31" i="4"/>
  <c r="I27" i="22"/>
  <c r="S17" i="22"/>
  <c r="T17" i="22"/>
  <c r="U16" i="22"/>
  <c r="N17" i="2"/>
  <c r="C28" i="22"/>
  <c r="G28" i="22" s="1"/>
  <c r="D28" i="22"/>
  <c r="H28" i="22" s="1"/>
  <c r="E26" i="2"/>
  <c r="C27" i="2"/>
  <c r="C27" i="23" s="1"/>
  <c r="O17" i="22"/>
  <c r="Q16" i="22"/>
  <c r="W16" i="22" s="1"/>
  <c r="Y16" i="22" s="1"/>
  <c r="P16" i="22"/>
  <c r="A27" i="18"/>
  <c r="A26" i="16"/>
  <c r="A25" i="15"/>
  <c r="A25" i="14"/>
  <c r="A25" i="13"/>
  <c r="A28" i="12"/>
  <c r="A26" i="11"/>
  <c r="A24" i="10"/>
  <c r="A33" i="4"/>
  <c r="M15" i="23" l="1"/>
  <c r="Z15" i="22"/>
  <c r="N15" i="23"/>
  <c r="P15" i="23"/>
  <c r="AE21" i="33"/>
  <c r="AF21" i="33" s="1"/>
  <c r="AD16" i="31"/>
  <c r="R24" i="33"/>
  <c r="Z24" i="33"/>
  <c r="AA24" i="33" s="1"/>
  <c r="P23" i="33"/>
  <c r="Y23" i="33" s="1"/>
  <c r="Q23" i="33"/>
  <c r="Z23" i="33" s="1"/>
  <c r="O23" i="33"/>
  <c r="P25" i="33"/>
  <c r="Y25" i="33" s="1"/>
  <c r="Q25" i="33"/>
  <c r="Z25" i="33" s="1"/>
  <c r="O25" i="33"/>
  <c r="Z11" i="31"/>
  <c r="AE11" i="31" s="1"/>
  <c r="AE19" i="33"/>
  <c r="AF19" i="33" s="1"/>
  <c r="AG19" i="33"/>
  <c r="V22" i="33"/>
  <c r="W22" i="33" s="1"/>
  <c r="AB22" i="33"/>
  <c r="AE22" i="33" s="1"/>
  <c r="AF22" i="33" s="1"/>
  <c r="C23" i="29"/>
  <c r="F23" i="29" s="1"/>
  <c r="N23" i="31"/>
  <c r="U12" i="26"/>
  <c r="P14" i="31"/>
  <c r="X13" i="31"/>
  <c r="Y13" i="31"/>
  <c r="V13" i="31"/>
  <c r="R13" i="31"/>
  <c r="S13" i="31"/>
  <c r="W19" i="31"/>
  <c r="U19" i="31"/>
  <c r="T19" i="31"/>
  <c r="AD15" i="31"/>
  <c r="Z12" i="31"/>
  <c r="AE12" i="31" s="1"/>
  <c r="AC17" i="31"/>
  <c r="AB17" i="31"/>
  <c r="AA17" i="31"/>
  <c r="L51" i="31"/>
  <c r="C53" i="31"/>
  <c r="D52" i="31"/>
  <c r="K52" i="31"/>
  <c r="H52" i="31"/>
  <c r="G52" i="31"/>
  <c r="F52" i="31"/>
  <c r="J52" i="31"/>
  <c r="I52" i="31"/>
  <c r="E52" i="31"/>
  <c r="I22" i="29"/>
  <c r="N21" i="22"/>
  <c r="R23" i="16"/>
  <c r="G21" i="24" s="1"/>
  <c r="K18" i="22"/>
  <c r="J18" i="22" s="1"/>
  <c r="I21" i="29"/>
  <c r="F21" i="29"/>
  <c r="K19" i="22"/>
  <c r="J19" i="22" s="1"/>
  <c r="S19" i="22" s="1"/>
  <c r="D23" i="29"/>
  <c r="G23" i="29" s="1"/>
  <c r="D26" i="2"/>
  <c r="C26" i="28"/>
  <c r="F21" i="28"/>
  <c r="G21" i="28" s="1"/>
  <c r="E23" i="29"/>
  <c r="H23" i="29" s="1"/>
  <c r="F16" i="2"/>
  <c r="D16" i="28"/>
  <c r="H16" i="28" s="1"/>
  <c r="A52" i="29"/>
  <c r="O19" i="2"/>
  <c r="R19" i="2" s="1"/>
  <c r="T14" i="26"/>
  <c r="H18" i="2"/>
  <c r="J19" i="2"/>
  <c r="M21" i="22" s="1"/>
  <c r="D30" i="4"/>
  <c r="G30" i="4" s="1"/>
  <c r="C30" i="4" s="1"/>
  <c r="N18" i="2"/>
  <c r="E21" i="6"/>
  <c r="F21" i="17"/>
  <c r="O18" i="2"/>
  <c r="R18" i="2" s="1"/>
  <c r="J31" i="4"/>
  <c r="D21" i="17"/>
  <c r="K21" i="26"/>
  <c r="L21" i="26"/>
  <c r="H21" i="6"/>
  <c r="H21" i="17"/>
  <c r="M21" i="26"/>
  <c r="K20" i="2"/>
  <c r="Q17" i="22"/>
  <c r="W17" i="22" s="1"/>
  <c r="Y17" i="22" s="1"/>
  <c r="I15" i="26"/>
  <c r="N21" i="26"/>
  <c r="G21" i="17"/>
  <c r="J21" i="26"/>
  <c r="T13" i="26"/>
  <c r="C45" i="26"/>
  <c r="F44" i="26"/>
  <c r="G44" i="26"/>
  <c r="H44" i="26"/>
  <c r="D44" i="26"/>
  <c r="E44" i="26"/>
  <c r="J16" i="23"/>
  <c r="F21" i="6"/>
  <c r="G21" i="6"/>
  <c r="E21" i="17"/>
  <c r="D21" i="6"/>
  <c r="C21" i="17"/>
  <c r="S18" i="22"/>
  <c r="G27" i="23"/>
  <c r="H27" i="23"/>
  <c r="D27" i="23"/>
  <c r="E27" i="23"/>
  <c r="F27" i="23"/>
  <c r="D22" i="19"/>
  <c r="E22" i="19"/>
  <c r="F22" i="19"/>
  <c r="H22" i="19"/>
  <c r="C22" i="19"/>
  <c r="G22" i="19"/>
  <c r="L25" i="16"/>
  <c r="P24" i="16"/>
  <c r="E22" i="24" s="1"/>
  <c r="Q24" i="16"/>
  <c r="F22" i="24" s="1"/>
  <c r="N24" i="16"/>
  <c r="C22" i="24" s="1"/>
  <c r="O24" i="16"/>
  <c r="D22" i="24" s="1"/>
  <c r="M25" i="16"/>
  <c r="I25" i="16"/>
  <c r="D26" i="16"/>
  <c r="F26" i="16"/>
  <c r="M26" i="16" s="1"/>
  <c r="E26" i="16"/>
  <c r="G26" i="16"/>
  <c r="H26" i="16"/>
  <c r="C26" i="16"/>
  <c r="I23" i="10"/>
  <c r="C22" i="17" s="1"/>
  <c r="C24" i="10"/>
  <c r="D24" i="10"/>
  <c r="E24" i="10"/>
  <c r="F24" i="10"/>
  <c r="G24" i="10"/>
  <c r="H24" i="10"/>
  <c r="M20" i="22"/>
  <c r="R16" i="22"/>
  <c r="T18" i="22"/>
  <c r="Q20" i="2"/>
  <c r="E32" i="4"/>
  <c r="E23" i="8"/>
  <c r="K33" i="4" s="1"/>
  <c r="E22" i="28" s="1"/>
  <c r="K32" i="4"/>
  <c r="E21" i="28" s="1"/>
  <c r="E24" i="7"/>
  <c r="A25" i="8"/>
  <c r="L30" i="4"/>
  <c r="H30" i="4" s="1"/>
  <c r="D31" i="4"/>
  <c r="J20" i="2"/>
  <c r="L18" i="2"/>
  <c r="A26" i="7"/>
  <c r="M17" i="2"/>
  <c r="C29" i="22"/>
  <c r="G29" i="22" s="1"/>
  <c r="D29" i="22"/>
  <c r="H29" i="22" s="1"/>
  <c r="E27" i="2"/>
  <c r="C28" i="2"/>
  <c r="C28" i="23" s="1"/>
  <c r="I28" i="22"/>
  <c r="V16" i="22"/>
  <c r="X16" i="22" s="1"/>
  <c r="U17" i="22"/>
  <c r="P17" i="22"/>
  <c r="A28" i="18"/>
  <c r="A27" i="16"/>
  <c r="A26" i="15"/>
  <c r="A26" i="14"/>
  <c r="A26" i="13"/>
  <c r="A29" i="12"/>
  <c r="A27" i="11"/>
  <c r="A25" i="10"/>
  <c r="A34" i="4"/>
  <c r="N22" i="22" l="1"/>
  <c r="AD17" i="31"/>
  <c r="T19" i="22"/>
  <c r="U19" i="22" s="1"/>
  <c r="R25" i="33"/>
  <c r="X25" i="33"/>
  <c r="R23" i="33"/>
  <c r="X23" i="33"/>
  <c r="S24" i="33"/>
  <c r="T24" i="33"/>
  <c r="AC24" i="33" s="1"/>
  <c r="U24" i="33"/>
  <c r="AD24" i="33" s="1"/>
  <c r="AG22" i="33"/>
  <c r="I16" i="23"/>
  <c r="K16" i="23" s="1"/>
  <c r="M18" i="31"/>
  <c r="U13" i="26"/>
  <c r="P15" i="31"/>
  <c r="X14" i="31"/>
  <c r="S14" i="31"/>
  <c r="Y14" i="31"/>
  <c r="R14" i="31"/>
  <c r="V14" i="31"/>
  <c r="Z13" i="31"/>
  <c r="AE13" i="31" s="1"/>
  <c r="U14" i="26"/>
  <c r="P16" i="31"/>
  <c r="L52" i="31"/>
  <c r="C54" i="31"/>
  <c r="D53" i="31"/>
  <c r="K53" i="31"/>
  <c r="H53" i="31"/>
  <c r="G53" i="31"/>
  <c r="F53" i="31"/>
  <c r="I53" i="31"/>
  <c r="J53" i="31"/>
  <c r="E53" i="31"/>
  <c r="K21" i="2"/>
  <c r="O19" i="22"/>
  <c r="Q19" i="22" s="1"/>
  <c r="O18" i="22"/>
  <c r="Q18" i="22" s="1"/>
  <c r="W18" i="22" s="1"/>
  <c r="Y18" i="22" s="1"/>
  <c r="K20" i="22"/>
  <c r="D27" i="2"/>
  <c r="C27" i="28"/>
  <c r="F22" i="28"/>
  <c r="G22" i="28" s="1"/>
  <c r="I23" i="29"/>
  <c r="F17" i="2"/>
  <c r="D17" i="28"/>
  <c r="H17" i="28" s="1"/>
  <c r="L20" i="22"/>
  <c r="M18" i="2"/>
  <c r="D18" i="28" s="1"/>
  <c r="H18" i="28" s="1"/>
  <c r="A53" i="29"/>
  <c r="N19" i="2"/>
  <c r="M19" i="2" s="1"/>
  <c r="D19" i="28" s="1"/>
  <c r="H19" i="28" s="1"/>
  <c r="D32" i="4"/>
  <c r="I21" i="2" s="1"/>
  <c r="S18" i="2"/>
  <c r="J18" i="23" s="1"/>
  <c r="G18" i="2"/>
  <c r="O20" i="31" s="1"/>
  <c r="H19" i="2"/>
  <c r="I20" i="2"/>
  <c r="L20" i="2" s="1"/>
  <c r="K22" i="26"/>
  <c r="P20" i="2"/>
  <c r="M22" i="22" s="1"/>
  <c r="N22" i="26"/>
  <c r="I31" i="4"/>
  <c r="L31" i="4" s="1"/>
  <c r="H31" i="4" s="1"/>
  <c r="J32" i="4"/>
  <c r="P21" i="2" s="1"/>
  <c r="I19" i="2"/>
  <c r="J22" i="26"/>
  <c r="M22" i="26"/>
  <c r="L22" i="26"/>
  <c r="O15" i="26"/>
  <c r="Q15" i="26"/>
  <c r="P15" i="26"/>
  <c r="R15" i="26"/>
  <c r="S15" i="26"/>
  <c r="C46" i="26"/>
  <c r="D45" i="26"/>
  <c r="E45" i="26"/>
  <c r="F45" i="26"/>
  <c r="H45" i="26"/>
  <c r="G45" i="26"/>
  <c r="F22" i="6"/>
  <c r="D22" i="17"/>
  <c r="U18" i="22"/>
  <c r="G22" i="6"/>
  <c r="E22" i="17"/>
  <c r="F22" i="17"/>
  <c r="C22" i="6"/>
  <c r="G22" i="17"/>
  <c r="H22" i="17"/>
  <c r="E22" i="6"/>
  <c r="D22" i="6"/>
  <c r="G28" i="23"/>
  <c r="D28" i="23"/>
  <c r="E28" i="23"/>
  <c r="H28" i="23"/>
  <c r="F28" i="23"/>
  <c r="H22" i="6"/>
  <c r="D23" i="19"/>
  <c r="F23" i="19"/>
  <c r="G23" i="19"/>
  <c r="H23" i="19"/>
  <c r="C23" i="19"/>
  <c r="E23" i="19"/>
  <c r="Q26" i="16"/>
  <c r="F24" i="24" s="1"/>
  <c r="P26" i="16"/>
  <c r="E24" i="24" s="1"/>
  <c r="Q25" i="16"/>
  <c r="F23" i="24" s="1"/>
  <c r="P25" i="16"/>
  <c r="E23" i="24" s="1"/>
  <c r="R24" i="16"/>
  <c r="G22" i="24" s="1"/>
  <c r="L26" i="16"/>
  <c r="O25" i="16"/>
  <c r="D23" i="24" s="1"/>
  <c r="N25" i="16"/>
  <c r="C23" i="24" s="1"/>
  <c r="I26" i="16"/>
  <c r="F27" i="16"/>
  <c r="G27" i="16"/>
  <c r="H27" i="16"/>
  <c r="D27" i="16"/>
  <c r="E27" i="16"/>
  <c r="C27" i="16"/>
  <c r="L27" i="16" s="1"/>
  <c r="E25" i="10"/>
  <c r="F25" i="10"/>
  <c r="G25" i="10"/>
  <c r="H25" i="10"/>
  <c r="C25" i="10"/>
  <c r="D25" i="10"/>
  <c r="I24" i="10"/>
  <c r="E23" i="17" s="1"/>
  <c r="Z16" i="22"/>
  <c r="R17" i="22"/>
  <c r="F33" i="4"/>
  <c r="J21" i="2"/>
  <c r="Q21" i="2"/>
  <c r="E24" i="8"/>
  <c r="K23" i="26" s="1"/>
  <c r="A26" i="8"/>
  <c r="G31" i="4"/>
  <c r="C31" i="4" s="1"/>
  <c r="E25" i="7"/>
  <c r="J33" i="4"/>
  <c r="A27" i="7"/>
  <c r="V17" i="22"/>
  <c r="X17" i="22" s="1"/>
  <c r="C30" i="22"/>
  <c r="G30" i="22" s="1"/>
  <c r="D30" i="22"/>
  <c r="H30" i="22" s="1"/>
  <c r="E28" i="2"/>
  <c r="C28" i="28" s="1"/>
  <c r="C29" i="2"/>
  <c r="C29" i="23" s="1"/>
  <c r="I29" i="22"/>
  <c r="A29" i="18"/>
  <c r="A28" i="16"/>
  <c r="A27" i="15"/>
  <c r="A27" i="14"/>
  <c r="A27" i="13"/>
  <c r="A30" i="12"/>
  <c r="A28" i="11"/>
  <c r="A26" i="10"/>
  <c r="A35" i="4"/>
  <c r="I16" i="26" l="1"/>
  <c r="R16" i="26" s="1"/>
  <c r="P18" i="22"/>
  <c r="V18" i="22" s="1"/>
  <c r="X18" i="22" s="1"/>
  <c r="M16" i="23"/>
  <c r="L16" i="23"/>
  <c r="P16" i="23"/>
  <c r="N16" i="23"/>
  <c r="I32" i="4"/>
  <c r="O16" i="23"/>
  <c r="N23" i="22"/>
  <c r="W19" i="22"/>
  <c r="Y19" i="22" s="1"/>
  <c r="N24" i="31"/>
  <c r="N26" i="33"/>
  <c r="S23" i="33"/>
  <c r="AB23" i="33" s="1"/>
  <c r="T23" i="33"/>
  <c r="U23" i="33"/>
  <c r="AD23" i="33" s="1"/>
  <c r="V24" i="33"/>
  <c r="W24" i="33" s="1"/>
  <c r="AB24" i="33"/>
  <c r="AA25" i="33"/>
  <c r="AA23" i="33"/>
  <c r="S25" i="33"/>
  <c r="T25" i="33"/>
  <c r="AC25" i="33" s="1"/>
  <c r="U25" i="33"/>
  <c r="AD25" i="33" s="1"/>
  <c r="G19" i="2"/>
  <c r="O21" i="31" s="1"/>
  <c r="W20" i="31"/>
  <c r="U20" i="31"/>
  <c r="T20" i="31"/>
  <c r="I17" i="23"/>
  <c r="K17" i="23" s="1"/>
  <c r="M19" i="31"/>
  <c r="X16" i="31"/>
  <c r="R16" i="31"/>
  <c r="V16" i="31"/>
  <c r="S16" i="31"/>
  <c r="Y16" i="31"/>
  <c r="Z14" i="31"/>
  <c r="AE14" i="31" s="1"/>
  <c r="AC18" i="31"/>
  <c r="AB18" i="31"/>
  <c r="AA18" i="31"/>
  <c r="I17" i="26"/>
  <c r="P17" i="26" s="1"/>
  <c r="P19" i="22"/>
  <c r="J20" i="22"/>
  <c r="O20" i="22" s="1"/>
  <c r="R15" i="31"/>
  <c r="V15" i="31"/>
  <c r="Y15" i="31"/>
  <c r="S15" i="31"/>
  <c r="X15" i="31"/>
  <c r="L53" i="31"/>
  <c r="C55" i="31"/>
  <c r="D54" i="31"/>
  <c r="K54" i="31"/>
  <c r="H54" i="31"/>
  <c r="G54" i="31"/>
  <c r="F54" i="31"/>
  <c r="I54" i="31"/>
  <c r="E54" i="31"/>
  <c r="J54" i="31"/>
  <c r="K21" i="22"/>
  <c r="E24" i="29"/>
  <c r="H24" i="29" s="1"/>
  <c r="D24" i="29"/>
  <c r="G24" i="29" s="1"/>
  <c r="C24" i="29"/>
  <c r="F23" i="28"/>
  <c r="G23" i="28" s="1"/>
  <c r="F18" i="2"/>
  <c r="Q22" i="2"/>
  <c r="A54" i="29"/>
  <c r="J23" i="26"/>
  <c r="L19" i="2"/>
  <c r="S19" i="2" s="1"/>
  <c r="J19" i="23" s="1"/>
  <c r="L21" i="22"/>
  <c r="O21" i="2"/>
  <c r="L23" i="22" s="1"/>
  <c r="M23" i="26"/>
  <c r="H20" i="2"/>
  <c r="G20" i="2" s="1"/>
  <c r="O22" i="31" s="1"/>
  <c r="O20" i="2"/>
  <c r="S17" i="26"/>
  <c r="N23" i="26"/>
  <c r="S16" i="26"/>
  <c r="P16" i="26"/>
  <c r="L23" i="26"/>
  <c r="T15" i="26"/>
  <c r="C47" i="26"/>
  <c r="G46" i="26"/>
  <c r="H46" i="26"/>
  <c r="D46" i="26"/>
  <c r="E46" i="26"/>
  <c r="F46" i="26"/>
  <c r="H23" i="6"/>
  <c r="E23" i="6"/>
  <c r="C23" i="17"/>
  <c r="D23" i="6"/>
  <c r="D23" i="17"/>
  <c r="K22" i="2"/>
  <c r="C23" i="6"/>
  <c r="G23" i="6"/>
  <c r="F23" i="17"/>
  <c r="G23" i="17"/>
  <c r="E29" i="23"/>
  <c r="G29" i="23"/>
  <c r="F29" i="23"/>
  <c r="D29" i="23"/>
  <c r="H29" i="23"/>
  <c r="F23" i="6"/>
  <c r="H23" i="17"/>
  <c r="F24" i="19"/>
  <c r="H24" i="19"/>
  <c r="D24" i="19"/>
  <c r="E24" i="19"/>
  <c r="C24" i="19"/>
  <c r="G24" i="19"/>
  <c r="O27" i="16"/>
  <c r="D25" i="24" s="1"/>
  <c r="N27" i="16"/>
  <c r="C25" i="24" s="1"/>
  <c r="N26" i="16"/>
  <c r="C24" i="24" s="1"/>
  <c r="O26" i="16"/>
  <c r="D24" i="24" s="1"/>
  <c r="M27" i="16"/>
  <c r="R25" i="16"/>
  <c r="G23" i="24" s="1"/>
  <c r="R26" i="16"/>
  <c r="G24" i="24" s="1"/>
  <c r="H28" i="16"/>
  <c r="C28" i="16"/>
  <c r="D28" i="16"/>
  <c r="F28" i="16"/>
  <c r="E28" i="16"/>
  <c r="G28" i="16"/>
  <c r="I27" i="16"/>
  <c r="I25" i="10"/>
  <c r="D24" i="17" s="1"/>
  <c r="G26" i="10"/>
  <c r="H26" i="10"/>
  <c r="C26" i="10"/>
  <c r="E26" i="10"/>
  <c r="D26" i="10"/>
  <c r="F26" i="10"/>
  <c r="Z17" i="22"/>
  <c r="R19" i="22"/>
  <c r="R18" i="22"/>
  <c r="Z18" i="22"/>
  <c r="E33" i="4"/>
  <c r="A27" i="8"/>
  <c r="E25" i="8"/>
  <c r="F35" i="4" s="1"/>
  <c r="N28" i="33" s="1"/>
  <c r="K34" i="4"/>
  <c r="E23" i="28" s="1"/>
  <c r="F34" i="4"/>
  <c r="E26" i="7"/>
  <c r="A28" i="7"/>
  <c r="I33" i="4"/>
  <c r="P22" i="2"/>
  <c r="V19" i="22"/>
  <c r="X19" i="22" s="1"/>
  <c r="N20" i="2"/>
  <c r="D28" i="2"/>
  <c r="I30" i="22"/>
  <c r="C31" i="22"/>
  <c r="G31" i="22" s="1"/>
  <c r="D31" i="22"/>
  <c r="H31" i="22" s="1"/>
  <c r="C30" i="2"/>
  <c r="C30" i="23" s="1"/>
  <c r="E29" i="2"/>
  <c r="L21" i="2"/>
  <c r="M23" i="22"/>
  <c r="G32" i="4"/>
  <c r="C32" i="4" s="1"/>
  <c r="L32" i="4"/>
  <c r="H32" i="4" s="1"/>
  <c r="A30" i="18"/>
  <c r="A29" i="16"/>
  <c r="A28" i="15"/>
  <c r="A28" i="14"/>
  <c r="A28" i="13"/>
  <c r="A31" i="12"/>
  <c r="A29" i="11"/>
  <c r="A27" i="10"/>
  <c r="A36" i="4"/>
  <c r="O16" i="26" l="1"/>
  <c r="Q16" i="26"/>
  <c r="T16" i="26" s="1"/>
  <c r="R17" i="26"/>
  <c r="O17" i="26"/>
  <c r="T20" i="22"/>
  <c r="S20" i="22"/>
  <c r="Q17" i="26"/>
  <c r="F19" i="2"/>
  <c r="M21" i="31" s="1"/>
  <c r="AA21" i="31" s="1"/>
  <c r="N25" i="31"/>
  <c r="N27" i="33"/>
  <c r="V25" i="33"/>
  <c r="W25" i="33" s="1"/>
  <c r="AB25" i="33"/>
  <c r="V23" i="33"/>
  <c r="W23" i="33" s="1"/>
  <c r="AC23" i="33"/>
  <c r="AG23" i="33" s="1"/>
  <c r="Q28" i="33"/>
  <c r="Z28" i="33" s="1"/>
  <c r="P28" i="33"/>
  <c r="O28" i="33"/>
  <c r="X28" i="33" s="1"/>
  <c r="AE24" i="33"/>
  <c r="AF24" i="33" s="1"/>
  <c r="AG24" i="33"/>
  <c r="P26" i="33"/>
  <c r="Y26" i="33" s="1"/>
  <c r="O26" i="33"/>
  <c r="Q26" i="33"/>
  <c r="Z26" i="33" s="1"/>
  <c r="AD18" i="31"/>
  <c r="L17" i="23"/>
  <c r="M17" i="23"/>
  <c r="N17" i="23"/>
  <c r="O17" i="23"/>
  <c r="I19" i="23"/>
  <c r="K19" i="23" s="1"/>
  <c r="D26" i="29"/>
  <c r="G26" i="29" s="1"/>
  <c r="N26" i="31"/>
  <c r="Z16" i="31"/>
  <c r="AE16" i="31" s="1"/>
  <c r="AC19" i="31"/>
  <c r="AB19" i="31"/>
  <c r="AA19" i="31"/>
  <c r="P17" i="23"/>
  <c r="U15" i="26"/>
  <c r="P17" i="31"/>
  <c r="Z15" i="31"/>
  <c r="AE15" i="31" s="1"/>
  <c r="W22" i="31"/>
  <c r="T22" i="31"/>
  <c r="U22" i="31"/>
  <c r="I18" i="23"/>
  <c r="K18" i="23" s="1"/>
  <c r="N18" i="23" s="1"/>
  <c r="M20" i="31"/>
  <c r="W21" i="31"/>
  <c r="U21" i="31"/>
  <c r="T21" i="31"/>
  <c r="L54" i="31"/>
  <c r="C56" i="31"/>
  <c r="D55" i="31"/>
  <c r="K55" i="31"/>
  <c r="H55" i="31"/>
  <c r="G55" i="31"/>
  <c r="F55" i="31"/>
  <c r="J55" i="31"/>
  <c r="E55" i="31"/>
  <c r="I55" i="31"/>
  <c r="N24" i="22"/>
  <c r="K22" i="22"/>
  <c r="D29" i="2"/>
  <c r="C29" i="28"/>
  <c r="F24" i="28"/>
  <c r="G24" i="28" s="1"/>
  <c r="E26" i="29"/>
  <c r="H26" i="29" s="1"/>
  <c r="C26" i="29"/>
  <c r="C25" i="29"/>
  <c r="D25" i="29"/>
  <c r="G25" i="29" s="1"/>
  <c r="E25" i="29"/>
  <c r="H25" i="29" s="1"/>
  <c r="J21" i="22"/>
  <c r="S21" i="22" s="1"/>
  <c r="F24" i="29"/>
  <c r="I24" i="29"/>
  <c r="T17" i="26"/>
  <c r="R21" i="2"/>
  <c r="S21" i="2" s="1"/>
  <c r="J21" i="23" s="1"/>
  <c r="A55" i="29"/>
  <c r="O22" i="2"/>
  <c r="R22" i="2" s="1"/>
  <c r="L22" i="22"/>
  <c r="R20" i="2"/>
  <c r="S20" i="2" s="1"/>
  <c r="J20" i="23" s="1"/>
  <c r="J22" i="2"/>
  <c r="M24" i="22" s="1"/>
  <c r="H24" i="6"/>
  <c r="G24" i="6"/>
  <c r="J24" i="26"/>
  <c r="F24" i="17"/>
  <c r="P20" i="22"/>
  <c r="I18" i="26"/>
  <c r="F24" i="6"/>
  <c r="N24" i="26"/>
  <c r="C24" i="6"/>
  <c r="K24" i="26"/>
  <c r="M24" i="26"/>
  <c r="L24" i="26"/>
  <c r="H24" i="17"/>
  <c r="C48" i="26"/>
  <c r="G47" i="26"/>
  <c r="E47" i="26"/>
  <c r="H47" i="26"/>
  <c r="F47" i="26"/>
  <c r="D47" i="26"/>
  <c r="D24" i="6"/>
  <c r="G24" i="17"/>
  <c r="E24" i="6"/>
  <c r="E24" i="17"/>
  <c r="C24" i="17"/>
  <c r="E30" i="23"/>
  <c r="G30" i="23"/>
  <c r="D30" i="23"/>
  <c r="F30" i="23"/>
  <c r="H30" i="23"/>
  <c r="H25" i="19"/>
  <c r="C25" i="19"/>
  <c r="D25" i="19"/>
  <c r="F25" i="19"/>
  <c r="G25" i="19"/>
  <c r="E25" i="19"/>
  <c r="Q27" i="16"/>
  <c r="F25" i="24" s="1"/>
  <c r="P27" i="16"/>
  <c r="E25" i="24" s="1"/>
  <c r="M28" i="16"/>
  <c r="L28" i="16"/>
  <c r="D29" i="16"/>
  <c r="C29" i="16"/>
  <c r="L29" i="16" s="1"/>
  <c r="E29" i="16"/>
  <c r="F29" i="16"/>
  <c r="G29" i="16"/>
  <c r="H29" i="16"/>
  <c r="I28" i="16"/>
  <c r="C27" i="10"/>
  <c r="D27" i="10"/>
  <c r="E27" i="10"/>
  <c r="F27" i="10"/>
  <c r="G27" i="10"/>
  <c r="H27" i="10"/>
  <c r="I26" i="10"/>
  <c r="C25" i="6" s="1"/>
  <c r="Z19" i="22"/>
  <c r="D33" i="4"/>
  <c r="Q20" i="22"/>
  <c r="W20" i="22" s="1"/>
  <c r="Y20" i="22" s="1"/>
  <c r="K35" i="4"/>
  <c r="E24" i="28" s="1"/>
  <c r="E26" i="8"/>
  <c r="K36" i="4" s="1"/>
  <c r="E25" i="28" s="1"/>
  <c r="E34" i="4"/>
  <c r="K23" i="2"/>
  <c r="J34" i="4"/>
  <c r="Q23" i="2"/>
  <c r="A28" i="8"/>
  <c r="E27" i="7"/>
  <c r="A29" i="7"/>
  <c r="E35" i="4"/>
  <c r="M20" i="2"/>
  <c r="I31" i="22"/>
  <c r="N21" i="2"/>
  <c r="M21" i="2" s="1"/>
  <c r="D21" i="28" s="1"/>
  <c r="H21" i="28" s="1"/>
  <c r="H21" i="2"/>
  <c r="G21" i="2" s="1"/>
  <c r="O23" i="31" s="1"/>
  <c r="C32" i="22"/>
  <c r="G32" i="22" s="1"/>
  <c r="D32" i="22"/>
  <c r="H32" i="22" s="1"/>
  <c r="C31" i="2"/>
  <c r="C31" i="23" s="1"/>
  <c r="E30" i="2"/>
  <c r="L33" i="4"/>
  <c r="H33" i="4" s="1"/>
  <c r="A31" i="18"/>
  <c r="A30" i="16"/>
  <c r="A29" i="15"/>
  <c r="A29" i="14"/>
  <c r="A29" i="13"/>
  <c r="A32" i="12"/>
  <c r="A30" i="11"/>
  <c r="A28" i="10"/>
  <c r="A37" i="4"/>
  <c r="U20" i="22" l="1"/>
  <c r="V20" i="22"/>
  <c r="X20" i="22" s="1"/>
  <c r="AE23" i="33"/>
  <c r="AF23" i="33" s="1"/>
  <c r="R28" i="33"/>
  <c r="Y28" i="33"/>
  <c r="AE25" i="33"/>
  <c r="AF25" i="33" s="1"/>
  <c r="AG25" i="33"/>
  <c r="R26" i="33"/>
  <c r="X26" i="33"/>
  <c r="O27" i="33"/>
  <c r="Q27" i="33"/>
  <c r="Z27" i="33" s="1"/>
  <c r="P27" i="33"/>
  <c r="Y27" i="33" s="1"/>
  <c r="AA28" i="33"/>
  <c r="P19" i="23"/>
  <c r="O19" i="23"/>
  <c r="M19" i="23"/>
  <c r="L19" i="23"/>
  <c r="N19" i="23"/>
  <c r="U17" i="26"/>
  <c r="P19" i="31"/>
  <c r="P18" i="23"/>
  <c r="Y17" i="31"/>
  <c r="X17" i="31"/>
  <c r="V17" i="31"/>
  <c r="S17" i="31"/>
  <c r="R17" i="31"/>
  <c r="O18" i="23"/>
  <c r="U23" i="31"/>
  <c r="T23" i="31"/>
  <c r="W23" i="31"/>
  <c r="L18" i="23"/>
  <c r="AC20" i="31"/>
  <c r="AB20" i="31"/>
  <c r="AA20" i="31"/>
  <c r="M18" i="23"/>
  <c r="U16" i="26"/>
  <c r="P18" i="31"/>
  <c r="AD19" i="31"/>
  <c r="AC21" i="31"/>
  <c r="AB21" i="31"/>
  <c r="L55" i="31"/>
  <c r="C57" i="31"/>
  <c r="D56" i="31"/>
  <c r="K56" i="31"/>
  <c r="H56" i="31"/>
  <c r="G56" i="31"/>
  <c r="F56" i="31"/>
  <c r="E56" i="31"/>
  <c r="J56" i="31"/>
  <c r="I56" i="31"/>
  <c r="T21" i="22"/>
  <c r="U21" i="22" s="1"/>
  <c r="J22" i="22"/>
  <c r="S22" i="22" s="1"/>
  <c r="O21" i="22"/>
  <c r="F25" i="28"/>
  <c r="G25" i="28" s="1"/>
  <c r="J25" i="26"/>
  <c r="F25" i="29"/>
  <c r="I25" i="29"/>
  <c r="D30" i="2"/>
  <c r="C30" i="28"/>
  <c r="F26" i="29"/>
  <c r="I26" i="29"/>
  <c r="F20" i="2"/>
  <c r="D20" i="28"/>
  <c r="H20" i="28" s="1"/>
  <c r="A56" i="29"/>
  <c r="I22" i="2"/>
  <c r="L22" i="2" s="1"/>
  <c r="S22" i="2" s="1"/>
  <c r="J22" i="23" s="1"/>
  <c r="K24" i="2"/>
  <c r="Q24" i="2"/>
  <c r="G25" i="17"/>
  <c r="S18" i="26"/>
  <c r="P18" i="26"/>
  <c r="R18" i="26"/>
  <c r="O18" i="26"/>
  <c r="Q18" i="26"/>
  <c r="D25" i="17"/>
  <c r="F25" i="6"/>
  <c r="M25" i="26"/>
  <c r="H25" i="6"/>
  <c r="K25" i="26"/>
  <c r="G25" i="6"/>
  <c r="H25" i="17"/>
  <c r="L25" i="26"/>
  <c r="N25" i="26"/>
  <c r="C49" i="26"/>
  <c r="E48" i="26"/>
  <c r="F48" i="26"/>
  <c r="H48" i="26"/>
  <c r="D48" i="26"/>
  <c r="G48" i="26"/>
  <c r="E25" i="6"/>
  <c r="E25" i="17"/>
  <c r="F25" i="17"/>
  <c r="H31" i="23"/>
  <c r="F31" i="23"/>
  <c r="G31" i="23"/>
  <c r="D31" i="23"/>
  <c r="E31" i="23"/>
  <c r="D25" i="6"/>
  <c r="C25" i="17"/>
  <c r="D26" i="19"/>
  <c r="E26" i="19"/>
  <c r="F26" i="19"/>
  <c r="C26" i="19"/>
  <c r="H26" i="19"/>
  <c r="G26" i="19"/>
  <c r="M29" i="16"/>
  <c r="R27" i="16"/>
  <c r="G25" i="24" s="1"/>
  <c r="O28" i="16"/>
  <c r="D26" i="24" s="1"/>
  <c r="N28" i="16"/>
  <c r="C26" i="24" s="1"/>
  <c r="N29" i="16"/>
  <c r="C27" i="24" s="1"/>
  <c r="O29" i="16"/>
  <c r="D27" i="24" s="1"/>
  <c r="P28" i="16"/>
  <c r="E26" i="24" s="1"/>
  <c r="Q28" i="16"/>
  <c r="F26" i="24" s="1"/>
  <c r="D30" i="16"/>
  <c r="G30" i="16"/>
  <c r="E30" i="16"/>
  <c r="F30" i="16"/>
  <c r="H30" i="16"/>
  <c r="C30" i="16"/>
  <c r="I29" i="16"/>
  <c r="I27" i="10"/>
  <c r="D26" i="6" s="1"/>
  <c r="C28" i="10"/>
  <c r="D28" i="10"/>
  <c r="E28" i="10"/>
  <c r="F28" i="10"/>
  <c r="G28" i="10"/>
  <c r="H28" i="10"/>
  <c r="F36" i="4"/>
  <c r="R20" i="22"/>
  <c r="G33" i="4"/>
  <c r="C33" i="4" s="1"/>
  <c r="Z20" i="22"/>
  <c r="J35" i="4"/>
  <c r="N25" i="22"/>
  <c r="E28" i="7"/>
  <c r="E27" i="8"/>
  <c r="F37" i="4" s="1"/>
  <c r="N30" i="33" s="1"/>
  <c r="A29" i="8"/>
  <c r="I34" i="4"/>
  <c r="P23" i="2"/>
  <c r="D34" i="4"/>
  <c r="J23" i="2"/>
  <c r="A30" i="7"/>
  <c r="J36" i="4"/>
  <c r="D35" i="4"/>
  <c r="J24" i="2"/>
  <c r="F21" i="2"/>
  <c r="K23" i="22"/>
  <c r="J23" i="22" s="1"/>
  <c r="C33" i="22"/>
  <c r="G33" i="22" s="1"/>
  <c r="D33" i="22"/>
  <c r="H33" i="22" s="1"/>
  <c r="C32" i="2"/>
  <c r="C32" i="23" s="1"/>
  <c r="E31" i="2"/>
  <c r="I32" i="22"/>
  <c r="N22" i="2"/>
  <c r="M22" i="2" s="1"/>
  <c r="D22" i="28" s="1"/>
  <c r="H22" i="28" s="1"/>
  <c r="A32" i="18"/>
  <c r="A31" i="16"/>
  <c r="A30" i="15"/>
  <c r="A30" i="14"/>
  <c r="A30" i="13"/>
  <c r="A33" i="12"/>
  <c r="A31" i="11"/>
  <c r="A29" i="10"/>
  <c r="A38" i="4"/>
  <c r="Z17" i="31" l="1"/>
  <c r="AE17" i="31" s="1"/>
  <c r="O22" i="22"/>
  <c r="P22" i="22" s="1"/>
  <c r="Q30" i="33"/>
  <c r="Z30" i="33" s="1"/>
  <c r="O30" i="33"/>
  <c r="P30" i="33"/>
  <c r="Y30" i="33" s="1"/>
  <c r="R27" i="33"/>
  <c r="X27" i="33"/>
  <c r="N27" i="31"/>
  <c r="N29" i="33"/>
  <c r="AD21" i="31"/>
  <c r="AA26" i="33"/>
  <c r="S26" i="33"/>
  <c r="T26" i="33"/>
  <c r="AC26" i="33" s="1"/>
  <c r="U26" i="33"/>
  <c r="AD26" i="33" s="1"/>
  <c r="S28" i="33"/>
  <c r="T28" i="33"/>
  <c r="AC28" i="33" s="1"/>
  <c r="U28" i="33"/>
  <c r="AD28" i="33" s="1"/>
  <c r="C28" i="29"/>
  <c r="F28" i="29" s="1"/>
  <c r="N28" i="31"/>
  <c r="S19" i="31"/>
  <c r="V19" i="31"/>
  <c r="Y19" i="31"/>
  <c r="X19" i="31"/>
  <c r="R19" i="31"/>
  <c r="D28" i="29"/>
  <c r="G28" i="29" s="1"/>
  <c r="E28" i="29"/>
  <c r="H28" i="29" s="1"/>
  <c r="V18" i="31"/>
  <c r="Y18" i="31"/>
  <c r="X18" i="31"/>
  <c r="R18" i="31"/>
  <c r="S18" i="31"/>
  <c r="I20" i="23"/>
  <c r="K20" i="23" s="1"/>
  <c r="P20" i="23" s="1"/>
  <c r="M22" i="31"/>
  <c r="I21" i="23"/>
  <c r="K21" i="23" s="1"/>
  <c r="P21" i="23" s="1"/>
  <c r="M23" i="31"/>
  <c r="AD20" i="31"/>
  <c r="C58" i="31"/>
  <c r="D57" i="31"/>
  <c r="K57" i="31"/>
  <c r="H57" i="31"/>
  <c r="G57" i="31"/>
  <c r="F57" i="31"/>
  <c r="E57" i="31"/>
  <c r="J57" i="31"/>
  <c r="I57" i="31"/>
  <c r="L56" i="31"/>
  <c r="T22" i="22"/>
  <c r="U22" i="22" s="1"/>
  <c r="I19" i="26"/>
  <c r="P21" i="22"/>
  <c r="V21" i="22" s="1"/>
  <c r="X21" i="22" s="1"/>
  <c r="Q21" i="22"/>
  <c r="W21" i="22" s="1"/>
  <c r="Y21" i="22" s="1"/>
  <c r="M26" i="26"/>
  <c r="AG4" i="27" s="1"/>
  <c r="N26" i="22"/>
  <c r="L26" i="26"/>
  <c r="AF4" i="27" s="1"/>
  <c r="H26" i="6"/>
  <c r="F26" i="28"/>
  <c r="G26" i="28" s="1"/>
  <c r="E27" i="29"/>
  <c r="H27" i="29" s="1"/>
  <c r="C27" i="29"/>
  <c r="D27" i="29"/>
  <c r="G27" i="29" s="1"/>
  <c r="D31" i="2"/>
  <c r="C31" i="28"/>
  <c r="E26" i="6"/>
  <c r="G26" i="17"/>
  <c r="I20" i="26"/>
  <c r="O20" i="26" s="1"/>
  <c r="L24" i="22"/>
  <c r="Q25" i="2"/>
  <c r="A57" i="29"/>
  <c r="I23" i="2"/>
  <c r="L23" i="2" s="1"/>
  <c r="H22" i="2"/>
  <c r="K24" i="22" s="1"/>
  <c r="I24" i="2"/>
  <c r="L24" i="2" s="1"/>
  <c r="C26" i="17"/>
  <c r="I35" i="4"/>
  <c r="L35" i="4" s="1"/>
  <c r="H35" i="4" s="1"/>
  <c r="O23" i="2"/>
  <c r="R23" i="2" s="1"/>
  <c r="C26" i="6"/>
  <c r="N26" i="26"/>
  <c r="AH4" i="27" s="1"/>
  <c r="F26" i="6"/>
  <c r="T18" i="26"/>
  <c r="K26" i="26"/>
  <c r="AE4" i="27" s="1"/>
  <c r="E26" i="17"/>
  <c r="J26" i="26"/>
  <c r="AD4" i="27" s="1"/>
  <c r="C50" i="26"/>
  <c r="H49" i="26"/>
  <c r="E49" i="26"/>
  <c r="G49" i="26"/>
  <c r="D49" i="26"/>
  <c r="F49" i="26"/>
  <c r="O21" i="23"/>
  <c r="N21" i="23"/>
  <c r="M21" i="23"/>
  <c r="L21" i="23"/>
  <c r="G26" i="6"/>
  <c r="D26" i="17"/>
  <c r="F26" i="17"/>
  <c r="H26" i="17"/>
  <c r="D32" i="23"/>
  <c r="F32" i="23"/>
  <c r="G32" i="23"/>
  <c r="H32" i="23"/>
  <c r="E32" i="23"/>
  <c r="D27" i="19"/>
  <c r="F27" i="19"/>
  <c r="G27" i="19"/>
  <c r="H27" i="19"/>
  <c r="C27" i="19"/>
  <c r="E27" i="19"/>
  <c r="R28" i="16"/>
  <c r="G26" i="24" s="1"/>
  <c r="L30" i="16"/>
  <c r="M30" i="16"/>
  <c r="P29" i="16"/>
  <c r="E27" i="24" s="1"/>
  <c r="Q29" i="16"/>
  <c r="F27" i="24" s="1"/>
  <c r="K25" i="2"/>
  <c r="F31" i="16"/>
  <c r="H31" i="16"/>
  <c r="G31" i="16"/>
  <c r="D31" i="16"/>
  <c r="C31" i="16"/>
  <c r="E31" i="16"/>
  <c r="I30" i="16"/>
  <c r="E29" i="10"/>
  <c r="F29" i="10"/>
  <c r="G29" i="10"/>
  <c r="H29" i="10"/>
  <c r="C29" i="10"/>
  <c r="D29" i="10"/>
  <c r="I28" i="10"/>
  <c r="E27" i="17" s="1"/>
  <c r="E36" i="4"/>
  <c r="P24" i="2"/>
  <c r="M26" i="22" s="1"/>
  <c r="M25" i="22"/>
  <c r="E29" i="7"/>
  <c r="G35" i="4"/>
  <c r="C35" i="4" s="1"/>
  <c r="L34" i="4"/>
  <c r="H34" i="4" s="1"/>
  <c r="G34" i="4"/>
  <c r="C34" i="4" s="1"/>
  <c r="K37" i="4"/>
  <c r="E26" i="28" s="1"/>
  <c r="A30" i="8"/>
  <c r="E28" i="8"/>
  <c r="M27" i="26" s="1"/>
  <c r="I36" i="4"/>
  <c r="P25" i="2"/>
  <c r="E37" i="4"/>
  <c r="A31" i="7"/>
  <c r="O23" i="22"/>
  <c r="I33" i="22"/>
  <c r="V22" i="22"/>
  <c r="X22" i="22" s="1"/>
  <c r="S23" i="22"/>
  <c r="T23" i="22"/>
  <c r="C34" i="22"/>
  <c r="G34" i="22" s="1"/>
  <c r="D34" i="22"/>
  <c r="H34" i="22" s="1"/>
  <c r="C33" i="2"/>
  <c r="C33" i="23" s="1"/>
  <c r="E32" i="2"/>
  <c r="A33" i="18"/>
  <c r="A32" i="16"/>
  <c r="A31" i="15"/>
  <c r="A31" i="14"/>
  <c r="A31" i="13"/>
  <c r="A34" i="12"/>
  <c r="A32" i="11"/>
  <c r="A30" i="10"/>
  <c r="A39" i="4"/>
  <c r="K26" i="2" l="1"/>
  <c r="AE4" i="5" s="1"/>
  <c r="Q22" i="22"/>
  <c r="W22" i="22" s="1"/>
  <c r="Y22" i="22" s="1"/>
  <c r="Z21" i="22"/>
  <c r="I28" i="29"/>
  <c r="S27" i="33"/>
  <c r="T27" i="33"/>
  <c r="AC27" i="33" s="1"/>
  <c r="U27" i="33"/>
  <c r="AD27" i="33" s="1"/>
  <c r="V26" i="33"/>
  <c r="W26" i="33" s="1"/>
  <c r="AB26" i="33"/>
  <c r="AE26" i="33" s="1"/>
  <c r="AF26" i="33" s="1"/>
  <c r="Q29" i="33"/>
  <c r="Z29" i="33" s="1"/>
  <c r="P29" i="33"/>
  <c r="Y29" i="33" s="1"/>
  <c r="O29" i="33"/>
  <c r="V28" i="33"/>
  <c r="W28" i="33" s="1"/>
  <c r="AB28" i="33"/>
  <c r="R30" i="33"/>
  <c r="X30" i="33"/>
  <c r="AA27" i="33"/>
  <c r="L20" i="23"/>
  <c r="AC22" i="31"/>
  <c r="AB22" i="31"/>
  <c r="AA22" i="31"/>
  <c r="Z19" i="31"/>
  <c r="AE19" i="31" s="1"/>
  <c r="N41" i="32"/>
  <c r="M20" i="23"/>
  <c r="N20" i="23"/>
  <c r="O20" i="23"/>
  <c r="AC23" i="31"/>
  <c r="AB23" i="31"/>
  <c r="AA23" i="31"/>
  <c r="U18" i="26"/>
  <c r="P20" i="31"/>
  <c r="Z18" i="31"/>
  <c r="AE18" i="31" s="1"/>
  <c r="L57" i="31"/>
  <c r="D58" i="31"/>
  <c r="K58" i="31"/>
  <c r="H58" i="31"/>
  <c r="G58" i="31"/>
  <c r="F58" i="31"/>
  <c r="J58" i="31"/>
  <c r="I58" i="31"/>
  <c r="E58" i="31"/>
  <c r="P20" i="26"/>
  <c r="R20" i="26"/>
  <c r="G22" i="2"/>
  <c r="P19" i="26"/>
  <c r="O19" i="26"/>
  <c r="R19" i="26"/>
  <c r="S19" i="26"/>
  <c r="Q19" i="26"/>
  <c r="R21" i="22"/>
  <c r="F27" i="29"/>
  <c r="I27" i="29"/>
  <c r="S20" i="26"/>
  <c r="Q20" i="26"/>
  <c r="D32" i="2"/>
  <c r="C32" i="28"/>
  <c r="N27" i="22"/>
  <c r="F27" i="28"/>
  <c r="G27" i="28" s="1"/>
  <c r="L25" i="22"/>
  <c r="A58" i="29"/>
  <c r="H23" i="2"/>
  <c r="G23" i="2" s="1"/>
  <c r="O25" i="31" s="1"/>
  <c r="J25" i="2"/>
  <c r="N23" i="2"/>
  <c r="M23" i="2" s="1"/>
  <c r="H24" i="2"/>
  <c r="G24" i="2" s="1"/>
  <c r="O26" i="31" s="1"/>
  <c r="O24" i="2"/>
  <c r="R24" i="2" s="1"/>
  <c r="S24" i="2" s="1"/>
  <c r="J24" i="23" s="1"/>
  <c r="L26" i="22"/>
  <c r="J37" i="4"/>
  <c r="I37" i="4" s="1"/>
  <c r="O25" i="2"/>
  <c r="R25" i="2" s="1"/>
  <c r="K27" i="26"/>
  <c r="H27" i="17"/>
  <c r="P23" i="22"/>
  <c r="V23" i="22" s="1"/>
  <c r="X23" i="22" s="1"/>
  <c r="I21" i="26"/>
  <c r="J27" i="26"/>
  <c r="N27" i="26"/>
  <c r="E27" i="6"/>
  <c r="L27" i="26"/>
  <c r="D27" i="6"/>
  <c r="C51" i="26"/>
  <c r="D50" i="26"/>
  <c r="H50" i="26"/>
  <c r="E50" i="26"/>
  <c r="F50" i="26"/>
  <c r="G50" i="26"/>
  <c r="C27" i="6"/>
  <c r="G27" i="17"/>
  <c r="H33" i="23"/>
  <c r="G33" i="23"/>
  <c r="F33" i="23"/>
  <c r="E33" i="23"/>
  <c r="D33" i="23"/>
  <c r="F27" i="6"/>
  <c r="C27" i="17"/>
  <c r="D27" i="17"/>
  <c r="H27" i="6"/>
  <c r="F27" i="17"/>
  <c r="G27" i="6"/>
  <c r="F28" i="19"/>
  <c r="H28" i="19"/>
  <c r="D28" i="19"/>
  <c r="E28" i="19"/>
  <c r="G28" i="19"/>
  <c r="C28" i="19"/>
  <c r="L31" i="16"/>
  <c r="N31" i="16" s="1"/>
  <c r="C29" i="24" s="1"/>
  <c r="R29" i="16"/>
  <c r="G27" i="24" s="1"/>
  <c r="M31" i="16"/>
  <c r="Q30" i="16"/>
  <c r="F28" i="24" s="1"/>
  <c r="P30" i="16"/>
  <c r="E28" i="24" s="1"/>
  <c r="N30" i="16"/>
  <c r="C28" i="24" s="1"/>
  <c r="O30" i="16"/>
  <c r="D28" i="24" s="1"/>
  <c r="H32" i="16"/>
  <c r="C32" i="16"/>
  <c r="D32" i="16"/>
  <c r="E32" i="16"/>
  <c r="F32" i="16"/>
  <c r="G32" i="16"/>
  <c r="I31" i="16"/>
  <c r="G30" i="10"/>
  <c r="H30" i="10"/>
  <c r="C30" i="10"/>
  <c r="D30" i="10"/>
  <c r="E30" i="10"/>
  <c r="F30" i="10"/>
  <c r="I29" i="10"/>
  <c r="H28" i="17" s="1"/>
  <c r="Z22" i="22"/>
  <c r="D36" i="4"/>
  <c r="S23" i="2"/>
  <c r="J23" i="23" s="1"/>
  <c r="E29" i="8"/>
  <c r="F39" i="4" s="1"/>
  <c r="N32" i="33" s="1"/>
  <c r="E30" i="7"/>
  <c r="K38" i="4"/>
  <c r="E27" i="28" s="1"/>
  <c r="F38" i="4"/>
  <c r="A31" i="8"/>
  <c r="Q26" i="2"/>
  <c r="D37" i="4"/>
  <c r="J26" i="2"/>
  <c r="AD4" i="5" s="1"/>
  <c r="A32" i="7"/>
  <c r="Q23" i="22"/>
  <c r="W23" i="22" s="1"/>
  <c r="Y23" i="22" s="1"/>
  <c r="U23" i="22"/>
  <c r="N24" i="2"/>
  <c r="C35" i="22"/>
  <c r="G35" i="22" s="1"/>
  <c r="D35" i="22"/>
  <c r="H35" i="22" s="1"/>
  <c r="C34" i="2"/>
  <c r="C34" i="23" s="1"/>
  <c r="E33" i="2"/>
  <c r="I34" i="22"/>
  <c r="L36" i="4"/>
  <c r="H36" i="4" s="1"/>
  <c r="M27" i="22"/>
  <c r="J24" i="22"/>
  <c r="A34" i="18"/>
  <c r="A33" i="16"/>
  <c r="A32" i="15"/>
  <c r="A32" i="14"/>
  <c r="A32" i="13"/>
  <c r="A35" i="12"/>
  <c r="A33" i="11"/>
  <c r="A31" i="10"/>
  <c r="A40" i="4"/>
  <c r="R22" i="22" l="1"/>
  <c r="AD23" i="31"/>
  <c r="U30" i="33"/>
  <c r="AD30" i="33" s="1"/>
  <c r="S30" i="33"/>
  <c r="T30" i="33"/>
  <c r="AC30" i="33" s="1"/>
  <c r="N29" i="31"/>
  <c r="N31" i="33"/>
  <c r="P32" i="33"/>
  <c r="Y32" i="33" s="1"/>
  <c r="Q32" i="33"/>
  <c r="Z32" i="33" s="1"/>
  <c r="O32" i="33"/>
  <c r="AE28" i="33"/>
  <c r="AF28" i="33" s="1"/>
  <c r="AG28" i="33"/>
  <c r="V27" i="33"/>
  <c r="W27" i="33" s="1"/>
  <c r="AB27" i="33"/>
  <c r="O31" i="16"/>
  <c r="D29" i="24" s="1"/>
  <c r="AA30" i="33"/>
  <c r="R29" i="33"/>
  <c r="X29" i="33"/>
  <c r="AG26" i="33"/>
  <c r="S20" i="31"/>
  <c r="Y20" i="31"/>
  <c r="R20" i="31"/>
  <c r="X20" i="31"/>
  <c r="V20" i="31"/>
  <c r="AD22" i="31"/>
  <c r="N28" i="22"/>
  <c r="AK4" i="5"/>
  <c r="U26" i="31"/>
  <c r="W26" i="31"/>
  <c r="T26" i="31"/>
  <c r="D30" i="29"/>
  <c r="G30" i="29" s="1"/>
  <c r="N30" i="31"/>
  <c r="W25" i="31"/>
  <c r="T25" i="31"/>
  <c r="U25" i="31"/>
  <c r="F22" i="2"/>
  <c r="O24" i="31"/>
  <c r="L58" i="31"/>
  <c r="T20" i="26"/>
  <c r="T19" i="26"/>
  <c r="F28" i="28"/>
  <c r="G28" i="28" s="1"/>
  <c r="D29" i="29"/>
  <c r="G29" i="29" s="1"/>
  <c r="C29" i="29"/>
  <c r="E29" i="29"/>
  <c r="H29" i="29" s="1"/>
  <c r="C30" i="29"/>
  <c r="E30" i="29"/>
  <c r="H30" i="29" s="1"/>
  <c r="P26" i="2"/>
  <c r="M28" i="22" s="1"/>
  <c r="Z4" i="20" s="1"/>
  <c r="D33" i="2"/>
  <c r="C33" i="28"/>
  <c r="F23" i="2"/>
  <c r="D23" i="28"/>
  <c r="H23" i="28" s="1"/>
  <c r="I26" i="2"/>
  <c r="L26" i="2" s="1"/>
  <c r="AF4" i="5" s="1"/>
  <c r="O26" i="2"/>
  <c r="AI4" i="5" s="1"/>
  <c r="I25" i="2"/>
  <c r="L27" i="22" s="1"/>
  <c r="E39" i="4"/>
  <c r="K26" i="22"/>
  <c r="J26" i="22" s="1"/>
  <c r="O26" i="22" s="1"/>
  <c r="K25" i="22"/>
  <c r="J25" i="22" s="1"/>
  <c r="S25" i="22" s="1"/>
  <c r="L28" i="26"/>
  <c r="G28" i="6"/>
  <c r="J28" i="26"/>
  <c r="M28" i="26"/>
  <c r="N28" i="26"/>
  <c r="K28" i="26"/>
  <c r="E28" i="17"/>
  <c r="S21" i="26"/>
  <c r="R21" i="26"/>
  <c r="P21" i="26"/>
  <c r="Q21" i="26"/>
  <c r="O21" i="26"/>
  <c r="C52" i="26"/>
  <c r="F51" i="26"/>
  <c r="G51" i="26"/>
  <c r="E51" i="26"/>
  <c r="H51" i="26"/>
  <c r="D51" i="26"/>
  <c r="C28" i="17"/>
  <c r="G28" i="17"/>
  <c r="D28" i="6"/>
  <c r="F34" i="23"/>
  <c r="G34" i="23"/>
  <c r="H34" i="23"/>
  <c r="E34" i="23"/>
  <c r="D34" i="23"/>
  <c r="H28" i="6"/>
  <c r="F28" i="17"/>
  <c r="D28" i="17"/>
  <c r="C28" i="6"/>
  <c r="F28" i="6"/>
  <c r="E28" i="6"/>
  <c r="H29" i="19"/>
  <c r="C29" i="19"/>
  <c r="D29" i="19"/>
  <c r="F29" i="19"/>
  <c r="G29" i="19"/>
  <c r="E29" i="19"/>
  <c r="M32" i="16"/>
  <c r="R30" i="16"/>
  <c r="G28" i="24" s="1"/>
  <c r="L32" i="16"/>
  <c r="P31" i="16"/>
  <c r="E29" i="24" s="1"/>
  <c r="Q31" i="16"/>
  <c r="F29" i="24" s="1"/>
  <c r="I32" i="16"/>
  <c r="C33" i="16"/>
  <c r="D33" i="16"/>
  <c r="E33" i="16"/>
  <c r="F33" i="16"/>
  <c r="H33" i="16"/>
  <c r="G33" i="16"/>
  <c r="C31" i="10"/>
  <c r="D31" i="10"/>
  <c r="E31" i="10"/>
  <c r="G31" i="10"/>
  <c r="F31" i="10"/>
  <c r="H31" i="10"/>
  <c r="I30" i="10"/>
  <c r="H29" i="17" s="1"/>
  <c r="R23" i="22"/>
  <c r="G36" i="4"/>
  <c r="C36" i="4" s="1"/>
  <c r="K39" i="4"/>
  <c r="E28" i="28" s="1"/>
  <c r="E30" i="8"/>
  <c r="K40" i="4" s="1"/>
  <c r="E29" i="28" s="1"/>
  <c r="E31" i="7"/>
  <c r="A32" i="8"/>
  <c r="E38" i="4"/>
  <c r="K27" i="2"/>
  <c r="J38" i="4"/>
  <c r="Q27" i="2"/>
  <c r="A33" i="7"/>
  <c r="Z23" i="22"/>
  <c r="I35" i="22"/>
  <c r="M24" i="2"/>
  <c r="S24" i="22"/>
  <c r="T24" i="22"/>
  <c r="C36" i="22"/>
  <c r="G36" i="22" s="1"/>
  <c r="D36" i="22"/>
  <c r="H36" i="22" s="1"/>
  <c r="C35" i="2"/>
  <c r="C35" i="23" s="1"/>
  <c r="E34" i="2"/>
  <c r="N25" i="2"/>
  <c r="G37" i="4"/>
  <c r="C37" i="4" s="1"/>
  <c r="L37" i="4"/>
  <c r="H37" i="4" s="1"/>
  <c r="O24" i="22"/>
  <c r="I22" i="26" s="1"/>
  <c r="A35" i="18"/>
  <c r="A34" i="16"/>
  <c r="A33" i="15"/>
  <c r="A33" i="14"/>
  <c r="A33" i="13"/>
  <c r="A36" i="12"/>
  <c r="A34" i="11"/>
  <c r="A32" i="10"/>
  <c r="A41" i="4"/>
  <c r="V30" i="33" l="1"/>
  <c r="W30" i="33" s="1"/>
  <c r="AB30" i="33"/>
  <c r="AE30" i="33" s="1"/>
  <c r="AF30" i="33" s="1"/>
  <c r="AA29" i="33"/>
  <c r="O31" i="33"/>
  <c r="P31" i="33"/>
  <c r="Y31" i="33" s="1"/>
  <c r="Q31" i="33"/>
  <c r="Z31" i="33" s="1"/>
  <c r="S29" i="33"/>
  <c r="U29" i="33"/>
  <c r="AD29" i="33" s="1"/>
  <c r="T29" i="33"/>
  <c r="AC29" i="33" s="1"/>
  <c r="AE27" i="33"/>
  <c r="AF27" i="33" s="1"/>
  <c r="AG27" i="33"/>
  <c r="R32" i="33"/>
  <c r="X32" i="33"/>
  <c r="U20" i="26"/>
  <c r="P22" i="31"/>
  <c r="I23" i="23"/>
  <c r="K23" i="23" s="1"/>
  <c r="P23" i="23" s="1"/>
  <c r="M25" i="31"/>
  <c r="I22" i="23"/>
  <c r="K22" i="23" s="1"/>
  <c r="M24" i="31"/>
  <c r="W24" i="31"/>
  <c r="U24" i="31"/>
  <c r="T24" i="31"/>
  <c r="Z20" i="31"/>
  <c r="AE20" i="31" s="1"/>
  <c r="U19" i="26"/>
  <c r="P21" i="31"/>
  <c r="R26" i="2"/>
  <c r="L25" i="2"/>
  <c r="S25" i="2" s="1"/>
  <c r="J25" i="23" s="1"/>
  <c r="D34" i="2"/>
  <c r="C34" i="28"/>
  <c r="F29" i="6"/>
  <c r="F29" i="28"/>
  <c r="G29" i="28" s="1"/>
  <c r="F30" i="29"/>
  <c r="I30" i="29"/>
  <c r="C29" i="17"/>
  <c r="D29" i="6"/>
  <c r="N23" i="23"/>
  <c r="I29" i="29"/>
  <c r="F29" i="29"/>
  <c r="E29" i="6"/>
  <c r="L23" i="23"/>
  <c r="D29" i="17"/>
  <c r="L28" i="22"/>
  <c r="Y4" i="20" s="1"/>
  <c r="S26" i="22"/>
  <c r="T26" i="22"/>
  <c r="K28" i="2"/>
  <c r="O25" i="22"/>
  <c r="Q25" i="22" s="1"/>
  <c r="F24" i="2"/>
  <c r="D24" i="28"/>
  <c r="H24" i="28" s="1"/>
  <c r="T25" i="22"/>
  <c r="U25" i="22" s="1"/>
  <c r="H25" i="2"/>
  <c r="G25" i="2" s="1"/>
  <c r="O27" i="31" s="1"/>
  <c r="H26" i="2"/>
  <c r="E29" i="17"/>
  <c r="J28" i="2"/>
  <c r="J29" i="26"/>
  <c r="D39" i="4"/>
  <c r="T21" i="26"/>
  <c r="J40" i="4"/>
  <c r="I40" i="4" s="1"/>
  <c r="N29" i="26"/>
  <c r="K29" i="26"/>
  <c r="P26" i="22"/>
  <c r="I24" i="26"/>
  <c r="G29" i="6"/>
  <c r="M29" i="26"/>
  <c r="S22" i="26"/>
  <c r="O22" i="26"/>
  <c r="P22" i="26"/>
  <c r="R22" i="26"/>
  <c r="Q22" i="26"/>
  <c r="F29" i="17"/>
  <c r="L29" i="26"/>
  <c r="C53" i="26"/>
  <c r="F52" i="26"/>
  <c r="E52" i="26"/>
  <c r="H52" i="26"/>
  <c r="G52" i="26"/>
  <c r="D52" i="26"/>
  <c r="H29" i="6"/>
  <c r="Q29" i="2" s="1"/>
  <c r="C29" i="6"/>
  <c r="F35" i="23"/>
  <c r="E35" i="23"/>
  <c r="D35" i="23"/>
  <c r="G35" i="23"/>
  <c r="H35" i="23"/>
  <c r="G29" i="17"/>
  <c r="D30" i="19"/>
  <c r="E30" i="19"/>
  <c r="F30" i="19"/>
  <c r="H30" i="19"/>
  <c r="C30" i="19"/>
  <c r="G30" i="19"/>
  <c r="Q28" i="2"/>
  <c r="P32" i="16"/>
  <c r="E30" i="24" s="1"/>
  <c r="Q32" i="16"/>
  <c r="F30" i="24" s="1"/>
  <c r="R31" i="16"/>
  <c r="G29" i="24" s="1"/>
  <c r="L33" i="16"/>
  <c r="O32" i="16"/>
  <c r="D30" i="24" s="1"/>
  <c r="N32" i="16"/>
  <c r="C30" i="24" s="1"/>
  <c r="M33" i="16"/>
  <c r="I33" i="16"/>
  <c r="D34" i="16"/>
  <c r="F34" i="16"/>
  <c r="G34" i="16"/>
  <c r="E34" i="16"/>
  <c r="H34" i="16"/>
  <c r="C34" i="16"/>
  <c r="I31" i="10"/>
  <c r="H30" i="17" s="1"/>
  <c r="C32" i="10"/>
  <c r="D32" i="10"/>
  <c r="E32" i="10"/>
  <c r="F32" i="10"/>
  <c r="G32" i="10"/>
  <c r="H32" i="10"/>
  <c r="K27" i="22"/>
  <c r="J27" i="22" s="1"/>
  <c r="J39" i="4"/>
  <c r="F40" i="4"/>
  <c r="E31" i="8"/>
  <c r="K41" i="4" s="1"/>
  <c r="E30" i="28" s="1"/>
  <c r="N29" i="22"/>
  <c r="E32" i="7"/>
  <c r="I38" i="4"/>
  <c r="P27" i="2"/>
  <c r="J27" i="2"/>
  <c r="D38" i="4"/>
  <c r="A33" i="8"/>
  <c r="A34" i="7"/>
  <c r="I36" i="22"/>
  <c r="C37" i="22"/>
  <c r="G37" i="22" s="1"/>
  <c r="D37" i="22"/>
  <c r="H37" i="22" s="1"/>
  <c r="C36" i="2"/>
  <c r="C36" i="23" s="1"/>
  <c r="E35" i="2"/>
  <c r="M25" i="2"/>
  <c r="U24" i="22"/>
  <c r="N26" i="2"/>
  <c r="AH4" i="5" s="1"/>
  <c r="Q26" i="22"/>
  <c r="Q24" i="22"/>
  <c r="W24" i="22" s="1"/>
  <c r="Y24" i="22" s="1"/>
  <c r="P24" i="22"/>
  <c r="V24" i="22" s="1"/>
  <c r="X24" i="22" s="1"/>
  <c r="A36" i="18"/>
  <c r="A35" i="16"/>
  <c r="A34" i="15"/>
  <c r="A34" i="14"/>
  <c r="A34" i="13"/>
  <c r="A37" i="12"/>
  <c r="A35" i="11"/>
  <c r="A33" i="10"/>
  <c r="Y4" i="5"/>
  <c r="AC4" i="5"/>
  <c r="A42" i="4"/>
  <c r="V26" i="22" l="1"/>
  <c r="X26" i="22" s="1"/>
  <c r="N31" i="31"/>
  <c r="N33" i="33"/>
  <c r="L30" i="26"/>
  <c r="AA32" i="33"/>
  <c r="S32" i="33"/>
  <c r="T32" i="33"/>
  <c r="AC32" i="33" s="1"/>
  <c r="U32" i="33"/>
  <c r="AD32" i="33" s="1"/>
  <c r="R31" i="33"/>
  <c r="X31" i="33"/>
  <c r="V29" i="33"/>
  <c r="W29" i="33" s="1"/>
  <c r="AB29" i="33"/>
  <c r="AG30" i="33"/>
  <c r="S21" i="31"/>
  <c r="Y21" i="31"/>
  <c r="X21" i="31"/>
  <c r="R21" i="31"/>
  <c r="V21" i="31"/>
  <c r="AC24" i="31"/>
  <c r="AB24" i="31"/>
  <c r="I24" i="23"/>
  <c r="K24" i="23" s="1"/>
  <c r="N24" i="23" s="1"/>
  <c r="M26" i="31"/>
  <c r="L22" i="23"/>
  <c r="N22" i="23"/>
  <c r="O22" i="23"/>
  <c r="P22" i="23"/>
  <c r="M22" i="23"/>
  <c r="U27" i="31"/>
  <c r="W27" i="31"/>
  <c r="T27" i="31"/>
  <c r="AC25" i="31"/>
  <c r="AB25" i="31"/>
  <c r="AA25" i="31"/>
  <c r="AA24" i="31"/>
  <c r="M23" i="23"/>
  <c r="O23" i="23"/>
  <c r="S26" i="2"/>
  <c r="AM4" i="5" s="1"/>
  <c r="AL4" i="5"/>
  <c r="U21" i="26"/>
  <c r="P23" i="31"/>
  <c r="G26" i="2"/>
  <c r="AB4" i="5"/>
  <c r="V22" i="31"/>
  <c r="X22" i="31"/>
  <c r="R22" i="31"/>
  <c r="S22" i="31"/>
  <c r="Y22" i="31"/>
  <c r="N30" i="22"/>
  <c r="U26" i="22"/>
  <c r="R26" i="22" s="1"/>
  <c r="E31" i="29"/>
  <c r="H31" i="29" s="1"/>
  <c r="D31" i="29"/>
  <c r="G31" i="29" s="1"/>
  <c r="C31" i="29"/>
  <c r="D35" i="2"/>
  <c r="C35" i="28"/>
  <c r="F30" i="28"/>
  <c r="G30" i="28" s="1"/>
  <c r="M30" i="26"/>
  <c r="K28" i="22"/>
  <c r="I23" i="26"/>
  <c r="S23" i="26" s="1"/>
  <c r="P29" i="2"/>
  <c r="P25" i="22"/>
  <c r="V25" i="22" s="1"/>
  <c r="X25" i="22" s="1"/>
  <c r="W25" i="22"/>
  <c r="Y25" i="22" s="1"/>
  <c r="F25" i="2"/>
  <c r="D25" i="28"/>
  <c r="H25" i="28" s="1"/>
  <c r="F30" i="17"/>
  <c r="I28" i="2"/>
  <c r="L28" i="2" s="1"/>
  <c r="O27" i="2"/>
  <c r="R27" i="2" s="1"/>
  <c r="J41" i="4"/>
  <c r="G39" i="4"/>
  <c r="C39" i="4" s="1"/>
  <c r="K29" i="2"/>
  <c r="N31" i="22" s="1"/>
  <c r="I27" i="2"/>
  <c r="L27" i="2" s="1"/>
  <c r="I39" i="4"/>
  <c r="T22" i="26"/>
  <c r="D30" i="17"/>
  <c r="D30" i="6"/>
  <c r="J30" i="26"/>
  <c r="G30" i="6"/>
  <c r="N30" i="26"/>
  <c r="P24" i="26"/>
  <c r="S24" i="26"/>
  <c r="R24" i="26"/>
  <c r="O24" i="26"/>
  <c r="Q24" i="26"/>
  <c r="C30" i="6"/>
  <c r="K30" i="26"/>
  <c r="C54" i="26"/>
  <c r="D53" i="26"/>
  <c r="E53" i="26"/>
  <c r="H53" i="26"/>
  <c r="G53" i="26"/>
  <c r="F53" i="26"/>
  <c r="H30" i="6"/>
  <c r="Q30" i="2" s="1"/>
  <c r="F30" i="6"/>
  <c r="C30" i="17"/>
  <c r="S27" i="22"/>
  <c r="E30" i="6"/>
  <c r="E30" i="17"/>
  <c r="AJ4" i="5"/>
  <c r="D36" i="23"/>
  <c r="G36" i="23"/>
  <c r="E36" i="23"/>
  <c r="F36" i="23"/>
  <c r="H36" i="23"/>
  <c r="G30" i="17"/>
  <c r="D31" i="19"/>
  <c r="F31" i="19"/>
  <c r="G31" i="19"/>
  <c r="H31" i="19"/>
  <c r="C31" i="19"/>
  <c r="E31" i="19"/>
  <c r="O33" i="16"/>
  <c r="D31" i="24" s="1"/>
  <c r="N33" i="16"/>
  <c r="C31" i="24" s="1"/>
  <c r="P33" i="16"/>
  <c r="E31" i="24" s="1"/>
  <c r="Q33" i="16"/>
  <c r="F31" i="24" s="1"/>
  <c r="L34" i="16"/>
  <c r="R32" i="16"/>
  <c r="G30" i="24" s="1"/>
  <c r="M34" i="16"/>
  <c r="I34" i="16"/>
  <c r="F35" i="16"/>
  <c r="M35" i="16" s="1"/>
  <c r="G35" i="16"/>
  <c r="H35" i="16"/>
  <c r="C35" i="16"/>
  <c r="D35" i="16"/>
  <c r="E35" i="16"/>
  <c r="I32" i="10"/>
  <c r="D31" i="17" s="1"/>
  <c r="E33" i="10"/>
  <c r="F33" i="10"/>
  <c r="G33" i="10"/>
  <c r="H33" i="10"/>
  <c r="C33" i="10"/>
  <c r="D33" i="10"/>
  <c r="T27" i="22"/>
  <c r="O29" i="2"/>
  <c r="O27" i="22"/>
  <c r="R24" i="22"/>
  <c r="P28" i="2"/>
  <c r="M29" i="22"/>
  <c r="E40" i="4"/>
  <c r="L38" i="4"/>
  <c r="H38" i="4" s="1"/>
  <c r="F41" i="4"/>
  <c r="E33" i="7"/>
  <c r="G38" i="4"/>
  <c r="C38" i="4" s="1"/>
  <c r="E32" i="8"/>
  <c r="L31" i="26" s="1"/>
  <c r="A34" i="8"/>
  <c r="W26" i="22"/>
  <c r="Y26" i="22" s="1"/>
  <c r="A35" i="7"/>
  <c r="M26" i="2"/>
  <c r="AG4" i="5" s="1"/>
  <c r="C38" i="22"/>
  <c r="G38" i="22" s="1"/>
  <c r="D38" i="22"/>
  <c r="H38" i="22" s="1"/>
  <c r="C37" i="2"/>
  <c r="C37" i="23" s="1"/>
  <c r="E36" i="2"/>
  <c r="I37" i="22"/>
  <c r="Z24" i="22"/>
  <c r="J28" i="22"/>
  <c r="A37" i="18"/>
  <c r="A36" i="16"/>
  <c r="A35" i="15"/>
  <c r="A35" i="14"/>
  <c r="A35" i="13"/>
  <c r="A38" i="12"/>
  <c r="A36" i="11"/>
  <c r="A34" i="10"/>
  <c r="X4" i="5"/>
  <c r="W4" i="5"/>
  <c r="A43" i="4"/>
  <c r="R25" i="22" l="1"/>
  <c r="AD25" i="31"/>
  <c r="N32" i="31"/>
  <c r="N34" i="33"/>
  <c r="AE29" i="33"/>
  <c r="AF29" i="33" s="1"/>
  <c r="AG29" i="33"/>
  <c r="AA31" i="33"/>
  <c r="V32" i="33"/>
  <c r="W32" i="33" s="1"/>
  <c r="AB32" i="33"/>
  <c r="Q33" i="33"/>
  <c r="Z33" i="33" s="1"/>
  <c r="O33" i="33"/>
  <c r="P33" i="33"/>
  <c r="Y33" i="33" s="1"/>
  <c r="S31" i="33"/>
  <c r="T31" i="33"/>
  <c r="AC31" i="33" s="1"/>
  <c r="U31" i="33"/>
  <c r="AD31" i="33" s="1"/>
  <c r="AC26" i="31"/>
  <c r="AB26" i="31"/>
  <c r="AA26" i="31"/>
  <c r="O24" i="23"/>
  <c r="AD24" i="31"/>
  <c r="I25" i="23"/>
  <c r="K25" i="23" s="1"/>
  <c r="N25" i="23" s="1"/>
  <c r="M27" i="31"/>
  <c r="P24" i="23"/>
  <c r="S23" i="31"/>
  <c r="V23" i="31"/>
  <c r="Y23" i="31"/>
  <c r="X23" i="31"/>
  <c r="R23" i="31"/>
  <c r="Z21" i="31"/>
  <c r="AE21" i="31" s="1"/>
  <c r="O28" i="31"/>
  <c r="AA4" i="5"/>
  <c r="L24" i="23"/>
  <c r="R23" i="26"/>
  <c r="M24" i="23"/>
  <c r="Z22" i="31"/>
  <c r="AE22" i="31" s="1"/>
  <c r="J26" i="23"/>
  <c r="U22" i="26"/>
  <c r="P24" i="31"/>
  <c r="D36" i="2"/>
  <c r="C36" i="28"/>
  <c r="Q23" i="26"/>
  <c r="E32" i="29"/>
  <c r="H32" i="29" s="1"/>
  <c r="C32" i="29"/>
  <c r="D32" i="29"/>
  <c r="G32" i="29" s="1"/>
  <c r="O23" i="26"/>
  <c r="Z25" i="22"/>
  <c r="F31" i="29"/>
  <c r="I31" i="29"/>
  <c r="P23" i="26"/>
  <c r="F31" i="28"/>
  <c r="G31" i="28" s="1"/>
  <c r="L29" i="22"/>
  <c r="F26" i="2"/>
  <c r="D26" i="28"/>
  <c r="H26" i="28" s="1"/>
  <c r="P35" i="28" s="1"/>
  <c r="U27" i="22"/>
  <c r="T24" i="26"/>
  <c r="O28" i="2"/>
  <c r="L30" i="22" s="1"/>
  <c r="L39" i="4"/>
  <c r="H39" i="4" s="1"/>
  <c r="P30" i="2"/>
  <c r="I41" i="4"/>
  <c r="N27" i="2"/>
  <c r="M27" i="2" s="1"/>
  <c r="D27" i="28" s="1"/>
  <c r="H27" i="28" s="1"/>
  <c r="H27" i="2"/>
  <c r="G27" i="2" s="1"/>
  <c r="O29" i="31" s="1"/>
  <c r="H28" i="2"/>
  <c r="G28" i="2" s="1"/>
  <c r="O30" i="31" s="1"/>
  <c r="M31" i="26"/>
  <c r="N31" i="26"/>
  <c r="K31" i="26"/>
  <c r="Q27" i="22"/>
  <c r="W27" i="22" s="1"/>
  <c r="Y27" i="22" s="1"/>
  <c r="I25" i="26"/>
  <c r="J31" i="26"/>
  <c r="C55" i="26"/>
  <c r="G54" i="26"/>
  <c r="H54" i="26"/>
  <c r="D54" i="26"/>
  <c r="E54" i="26"/>
  <c r="F54" i="26"/>
  <c r="E31" i="6"/>
  <c r="C31" i="17"/>
  <c r="D31" i="6"/>
  <c r="C31" i="6"/>
  <c r="H31" i="6"/>
  <c r="F31" i="17"/>
  <c r="G31" i="6"/>
  <c r="H31" i="17"/>
  <c r="E31" i="17"/>
  <c r="G31" i="17"/>
  <c r="D37" i="23"/>
  <c r="H37" i="23"/>
  <c r="F37" i="23"/>
  <c r="G37" i="23"/>
  <c r="E37" i="23"/>
  <c r="F31" i="6"/>
  <c r="F32" i="19"/>
  <c r="H32" i="19"/>
  <c r="D32" i="19"/>
  <c r="E32" i="19"/>
  <c r="C32" i="19"/>
  <c r="G32" i="19"/>
  <c r="P35" i="16"/>
  <c r="E33" i="24" s="1"/>
  <c r="Q35" i="16"/>
  <c r="F33" i="24" s="1"/>
  <c r="Q34" i="16"/>
  <c r="F32" i="24" s="1"/>
  <c r="P34" i="16"/>
  <c r="E32" i="24" s="1"/>
  <c r="L35" i="16"/>
  <c r="N34" i="16"/>
  <c r="C32" i="24" s="1"/>
  <c r="O34" i="16"/>
  <c r="D32" i="24" s="1"/>
  <c r="R33" i="16"/>
  <c r="G31" i="24" s="1"/>
  <c r="K30" i="2"/>
  <c r="N32" i="22" s="1"/>
  <c r="H36" i="16"/>
  <c r="C36" i="16"/>
  <c r="D36" i="16"/>
  <c r="F36" i="16"/>
  <c r="E36" i="16"/>
  <c r="G36" i="16"/>
  <c r="I35" i="16"/>
  <c r="G34" i="10"/>
  <c r="H34" i="10"/>
  <c r="E34" i="10"/>
  <c r="C34" i="10"/>
  <c r="I34" i="10" s="1"/>
  <c r="D34" i="10"/>
  <c r="F34" i="10"/>
  <c r="I33" i="10"/>
  <c r="E32" i="6" s="1"/>
  <c r="P27" i="22"/>
  <c r="Z26" i="22"/>
  <c r="M30" i="22"/>
  <c r="E41" i="4"/>
  <c r="D40" i="4"/>
  <c r="J29" i="2"/>
  <c r="M31" i="22" s="1"/>
  <c r="E33" i="8"/>
  <c r="L32" i="26" s="1"/>
  <c r="S27" i="2"/>
  <c r="J27" i="23" s="1"/>
  <c r="A35" i="8"/>
  <c r="K42" i="4"/>
  <c r="E31" i="28" s="1"/>
  <c r="F42" i="4"/>
  <c r="E34" i="7"/>
  <c r="A36" i="7"/>
  <c r="C39" i="22"/>
  <c r="G39" i="22" s="1"/>
  <c r="D39" i="22"/>
  <c r="H39" i="22" s="1"/>
  <c r="C38" i="2"/>
  <c r="C38" i="23" s="1"/>
  <c r="E37" i="2"/>
  <c r="C37" i="28" s="1"/>
  <c r="I38" i="22"/>
  <c r="S28" i="22"/>
  <c r="T28" i="22"/>
  <c r="R29" i="2"/>
  <c r="L40" i="4"/>
  <c r="H40" i="4" s="1"/>
  <c r="O28" i="22"/>
  <c r="I26" i="26" s="1"/>
  <c r="A38" i="18"/>
  <c r="A37" i="16"/>
  <c r="A36" i="15"/>
  <c r="A36" i="14"/>
  <c r="A36" i="13"/>
  <c r="A39" i="12"/>
  <c r="A37" i="11"/>
  <c r="A35" i="10"/>
  <c r="A44" i="4"/>
  <c r="AD26" i="31" l="1"/>
  <c r="N33" i="31"/>
  <c r="N35" i="33"/>
  <c r="V31" i="33"/>
  <c r="W31" i="33" s="1"/>
  <c r="AB31" i="33"/>
  <c r="AE32" i="33"/>
  <c r="AF32" i="33" s="1"/>
  <c r="AG32" i="33"/>
  <c r="Z23" i="31"/>
  <c r="AE23" i="31" s="1"/>
  <c r="R33" i="33"/>
  <c r="X33" i="33"/>
  <c r="AA33" i="33" s="1"/>
  <c r="P34" i="33"/>
  <c r="Y34" i="33" s="1"/>
  <c r="O34" i="33"/>
  <c r="Q34" i="33"/>
  <c r="Z34" i="33" s="1"/>
  <c r="O41" i="32"/>
  <c r="T28" i="31"/>
  <c r="T41" i="32" s="1"/>
  <c r="W28" i="31"/>
  <c r="W41" i="32" s="1"/>
  <c r="U28" i="31"/>
  <c r="U41" i="32" s="1"/>
  <c r="AC27" i="31"/>
  <c r="AB27" i="31"/>
  <c r="AA27" i="31"/>
  <c r="U24" i="26"/>
  <c r="P26" i="31"/>
  <c r="P25" i="23"/>
  <c r="L25" i="23"/>
  <c r="M25" i="23"/>
  <c r="I26" i="23"/>
  <c r="K26" i="23" s="1"/>
  <c r="P26" i="23" s="1"/>
  <c r="M28" i="31"/>
  <c r="AA28" i="31" s="1"/>
  <c r="Z4" i="5"/>
  <c r="V24" i="31"/>
  <c r="R24" i="31"/>
  <c r="X24" i="31"/>
  <c r="Y24" i="31"/>
  <c r="S24" i="31"/>
  <c r="T30" i="31"/>
  <c r="W30" i="31"/>
  <c r="U30" i="31"/>
  <c r="W29" i="31"/>
  <c r="T29" i="31"/>
  <c r="U29" i="31"/>
  <c r="O25" i="23"/>
  <c r="T23" i="26"/>
  <c r="G32" i="6"/>
  <c r="F32" i="17"/>
  <c r="F27" i="2"/>
  <c r="E33" i="29"/>
  <c r="H33" i="29" s="1"/>
  <c r="C33" i="29"/>
  <c r="D33" i="29"/>
  <c r="G33" i="29" s="1"/>
  <c r="F32" i="28"/>
  <c r="G32" i="28" s="1"/>
  <c r="K29" i="22"/>
  <c r="J29" i="22" s="1"/>
  <c r="S29" i="22" s="1"/>
  <c r="F32" i="29"/>
  <c r="I32" i="29"/>
  <c r="R28" i="2"/>
  <c r="S28" i="2" s="1"/>
  <c r="J28" i="23" s="1"/>
  <c r="O26" i="23"/>
  <c r="L41" i="4"/>
  <c r="H41" i="4" s="1"/>
  <c r="L26" i="23"/>
  <c r="N26" i="23"/>
  <c r="N28" i="2"/>
  <c r="K30" i="22" s="1"/>
  <c r="J30" i="22" s="1"/>
  <c r="M26" i="23"/>
  <c r="O30" i="2"/>
  <c r="R30" i="2" s="1"/>
  <c r="J30" i="2"/>
  <c r="M32" i="22" s="1"/>
  <c r="M32" i="26"/>
  <c r="I29" i="2"/>
  <c r="L31" i="22" s="1"/>
  <c r="N32" i="26"/>
  <c r="J32" i="26"/>
  <c r="E32" i="17"/>
  <c r="Q25" i="26"/>
  <c r="R25" i="26"/>
  <c r="O25" i="26"/>
  <c r="P25" i="26"/>
  <c r="S25" i="26"/>
  <c r="K32" i="26"/>
  <c r="D32" i="6"/>
  <c r="H32" i="17"/>
  <c r="AC4" i="27"/>
  <c r="J28" i="27" s="1"/>
  <c r="P26" i="26"/>
  <c r="AJ4" i="27" s="1"/>
  <c r="Q26" i="26"/>
  <c r="AK4" i="27" s="1"/>
  <c r="R26" i="26"/>
  <c r="AL4" i="27" s="1"/>
  <c r="S26" i="26"/>
  <c r="AM4" i="27" s="1"/>
  <c r="O26" i="26"/>
  <c r="R27" i="22"/>
  <c r="G32" i="17"/>
  <c r="C56" i="26"/>
  <c r="G55" i="26"/>
  <c r="D55" i="26"/>
  <c r="E55" i="26"/>
  <c r="F55" i="26"/>
  <c r="H55" i="26"/>
  <c r="H32" i="6"/>
  <c r="C32" i="6"/>
  <c r="D32" i="17"/>
  <c r="F32" i="6"/>
  <c r="C32" i="17"/>
  <c r="G38" i="23"/>
  <c r="H38" i="23"/>
  <c r="E38" i="23"/>
  <c r="D38" i="23"/>
  <c r="F38" i="23"/>
  <c r="F33" i="17"/>
  <c r="H33" i="19"/>
  <c r="H33" i="17"/>
  <c r="C33" i="19"/>
  <c r="D33" i="19"/>
  <c r="D33" i="17"/>
  <c r="F33" i="19"/>
  <c r="G33" i="19"/>
  <c r="E33" i="17"/>
  <c r="G33" i="17"/>
  <c r="E33" i="19"/>
  <c r="C33" i="17"/>
  <c r="C33" i="6"/>
  <c r="D33" i="6"/>
  <c r="G33" i="6"/>
  <c r="H33" i="6"/>
  <c r="E33" i="6"/>
  <c r="F33" i="6"/>
  <c r="N35" i="16"/>
  <c r="C33" i="24" s="1"/>
  <c r="O35" i="16"/>
  <c r="D33" i="24" s="1"/>
  <c r="L36" i="16"/>
  <c r="M36" i="16"/>
  <c r="R35" i="16"/>
  <c r="G33" i="24" s="1"/>
  <c r="R34" i="16"/>
  <c r="G32" i="24" s="1"/>
  <c r="V27" i="22"/>
  <c r="I36" i="16"/>
  <c r="D37" i="16"/>
  <c r="E37" i="16"/>
  <c r="C37" i="16"/>
  <c r="F37" i="16"/>
  <c r="G37" i="16"/>
  <c r="H37" i="16"/>
  <c r="C35" i="10"/>
  <c r="D35" i="10"/>
  <c r="E35" i="10"/>
  <c r="F35" i="10"/>
  <c r="G35" i="10"/>
  <c r="H35" i="10"/>
  <c r="D41" i="4"/>
  <c r="G40" i="4"/>
  <c r="C40" i="4" s="1"/>
  <c r="K43" i="4"/>
  <c r="E32" i="28" s="1"/>
  <c r="F43" i="4"/>
  <c r="E34" i="8"/>
  <c r="F44" i="4" s="1"/>
  <c r="K31" i="2"/>
  <c r="E42" i="4"/>
  <c r="J42" i="4"/>
  <c r="Q31" i="2"/>
  <c r="A36" i="8"/>
  <c r="E35" i="7"/>
  <c r="A37" i="7"/>
  <c r="K44" i="4"/>
  <c r="E33" i="28" s="1"/>
  <c r="D37" i="2"/>
  <c r="N29" i="2"/>
  <c r="U28" i="22"/>
  <c r="I39" i="22"/>
  <c r="C40" i="22"/>
  <c r="G40" i="22" s="1"/>
  <c r="D40" i="22"/>
  <c r="H40" i="22" s="1"/>
  <c r="C39" i="2"/>
  <c r="C39" i="23" s="1"/>
  <c r="E38" i="2"/>
  <c r="P28" i="22"/>
  <c r="V28" i="22" s="1"/>
  <c r="X28" i="22" s="1"/>
  <c r="Q28" i="22"/>
  <c r="A39" i="18"/>
  <c r="A38" i="16"/>
  <c r="A37" i="15"/>
  <c r="A37" i="14"/>
  <c r="A37" i="13"/>
  <c r="A40" i="12"/>
  <c r="A38" i="11"/>
  <c r="A36" i="10"/>
  <c r="A45" i="4"/>
  <c r="T29" i="22" l="1"/>
  <c r="O29" i="22"/>
  <c r="E35" i="29"/>
  <c r="H35" i="29" s="1"/>
  <c r="N37" i="33"/>
  <c r="N34" i="31"/>
  <c r="N36" i="33"/>
  <c r="S33" i="33"/>
  <c r="T33" i="33"/>
  <c r="AC33" i="33" s="1"/>
  <c r="U33" i="33"/>
  <c r="AD33" i="33" s="1"/>
  <c r="AE31" i="33"/>
  <c r="AF31" i="33" s="1"/>
  <c r="AG31" i="33"/>
  <c r="R34" i="33"/>
  <c r="X34" i="33"/>
  <c r="O35" i="33"/>
  <c r="P35" i="33"/>
  <c r="Y35" i="33" s="1"/>
  <c r="Q35" i="33"/>
  <c r="Z35" i="33" s="1"/>
  <c r="I27" i="23"/>
  <c r="K27" i="23" s="1"/>
  <c r="L27" i="23" s="1"/>
  <c r="M29" i="31"/>
  <c r="Z24" i="31"/>
  <c r="AE24" i="31" s="1"/>
  <c r="X26" i="31"/>
  <c r="Y26" i="31"/>
  <c r="S26" i="31"/>
  <c r="V26" i="31"/>
  <c r="R26" i="31"/>
  <c r="AA41" i="32"/>
  <c r="D35" i="29"/>
  <c r="G35" i="29" s="1"/>
  <c r="N35" i="31"/>
  <c r="J27" i="5"/>
  <c r="J29" i="5"/>
  <c r="K29" i="5" s="1"/>
  <c r="J28" i="5"/>
  <c r="AD27" i="31"/>
  <c r="U23" i="26"/>
  <c r="P25" i="31"/>
  <c r="M41" i="32"/>
  <c r="AC28" i="31"/>
  <c r="AC41" i="32" s="1"/>
  <c r="AB28" i="31"/>
  <c r="AB41" i="32" s="1"/>
  <c r="C35" i="29"/>
  <c r="L29" i="2"/>
  <c r="S29" i="2" s="1"/>
  <c r="J29" i="23" s="1"/>
  <c r="F33" i="28"/>
  <c r="G33" i="28" s="1"/>
  <c r="D34" i="29"/>
  <c r="G34" i="29" s="1"/>
  <c r="C34" i="29"/>
  <c r="E34" i="29"/>
  <c r="H34" i="29" s="1"/>
  <c r="D38" i="2"/>
  <c r="C38" i="28"/>
  <c r="F33" i="29"/>
  <c r="I33" i="29"/>
  <c r="J33" i="26"/>
  <c r="H29" i="2"/>
  <c r="G29" i="2" s="1"/>
  <c r="O31" i="31" s="1"/>
  <c r="T25" i="26"/>
  <c r="M28" i="2"/>
  <c r="L33" i="26"/>
  <c r="I30" i="2"/>
  <c r="L32" i="22" s="1"/>
  <c r="N33" i="26"/>
  <c r="N30" i="2"/>
  <c r="M30" i="2" s="1"/>
  <c r="D30" i="28" s="1"/>
  <c r="H30" i="28" s="1"/>
  <c r="AI4" i="27"/>
  <c r="T26" i="26"/>
  <c r="P28" i="31" s="1"/>
  <c r="M33" i="26"/>
  <c r="P29" i="22"/>
  <c r="V29" i="22" s="1"/>
  <c r="X29" i="22" s="1"/>
  <c r="I27" i="26"/>
  <c r="K33" i="26"/>
  <c r="E56" i="26"/>
  <c r="F56" i="26"/>
  <c r="G56" i="26"/>
  <c r="H56" i="26"/>
  <c r="D56" i="26"/>
  <c r="T30" i="22"/>
  <c r="X27" i="22"/>
  <c r="Z27" i="22" s="1"/>
  <c r="F39" i="23"/>
  <c r="D39" i="23"/>
  <c r="H39" i="23"/>
  <c r="G39" i="23"/>
  <c r="E39" i="23"/>
  <c r="M27" i="23"/>
  <c r="P27" i="23"/>
  <c r="D34" i="19"/>
  <c r="E34" i="19"/>
  <c r="F34" i="19"/>
  <c r="C34" i="19"/>
  <c r="H34" i="19"/>
  <c r="G34" i="19"/>
  <c r="M37" i="16"/>
  <c r="L37" i="16"/>
  <c r="P36" i="16"/>
  <c r="E34" i="24" s="1"/>
  <c r="Q36" i="16"/>
  <c r="F34" i="24" s="1"/>
  <c r="O36" i="16"/>
  <c r="D34" i="24" s="1"/>
  <c r="N36" i="16"/>
  <c r="C34" i="24" s="1"/>
  <c r="D38" i="16"/>
  <c r="E38" i="16"/>
  <c r="F38" i="16"/>
  <c r="G38" i="16"/>
  <c r="H38" i="16"/>
  <c r="C38" i="16"/>
  <c r="I37" i="16"/>
  <c r="C36" i="10"/>
  <c r="D36" i="10"/>
  <c r="E36" i="10"/>
  <c r="F36" i="10"/>
  <c r="G36" i="10"/>
  <c r="H36" i="10"/>
  <c r="I35" i="10"/>
  <c r="D34" i="6" s="1"/>
  <c r="K31" i="22"/>
  <c r="J31" i="22" s="1"/>
  <c r="R28" i="22"/>
  <c r="G41" i="4"/>
  <c r="C41" i="4" s="1"/>
  <c r="O30" i="22"/>
  <c r="S30" i="22"/>
  <c r="E35" i="8"/>
  <c r="F45" i="4" s="1"/>
  <c r="N38" i="33" s="1"/>
  <c r="N33" i="22"/>
  <c r="K32" i="2"/>
  <c r="E43" i="4"/>
  <c r="Q32" i="2"/>
  <c r="J43" i="4"/>
  <c r="A37" i="8"/>
  <c r="I42" i="4"/>
  <c r="P31" i="2"/>
  <c r="J31" i="2"/>
  <c r="D42" i="4"/>
  <c r="E36" i="7"/>
  <c r="A38" i="7"/>
  <c r="E44" i="4"/>
  <c r="K33" i="2"/>
  <c r="J44" i="4"/>
  <c r="Q33" i="2"/>
  <c r="I40" i="22"/>
  <c r="M29" i="2"/>
  <c r="Q29" i="22"/>
  <c r="C41" i="22"/>
  <c r="G41" i="22" s="1"/>
  <c r="D41" i="22"/>
  <c r="H41" i="22" s="1"/>
  <c r="C40" i="2"/>
  <c r="C40" i="23" s="1"/>
  <c r="E39" i="2"/>
  <c r="U29" i="22"/>
  <c r="W28" i="22"/>
  <c r="Y28" i="22" s="1"/>
  <c r="A40" i="18"/>
  <c r="A39" i="16"/>
  <c r="A38" i="15"/>
  <c r="A38" i="14"/>
  <c r="A38" i="13"/>
  <c r="A41" i="12"/>
  <c r="A39" i="11"/>
  <c r="A37" i="10"/>
  <c r="A46" i="4"/>
  <c r="O27" i="23" l="1"/>
  <c r="N27" i="23"/>
  <c r="I35" i="29"/>
  <c r="R35" i="33"/>
  <c r="X35" i="33"/>
  <c r="Q36" i="33"/>
  <c r="Z36" i="33" s="1"/>
  <c r="O36" i="33"/>
  <c r="X36" i="33" s="1"/>
  <c r="P36" i="33"/>
  <c r="Q38" i="33"/>
  <c r="Z38" i="33" s="1"/>
  <c r="P38" i="33"/>
  <c r="Y38" i="33" s="1"/>
  <c r="O38" i="33"/>
  <c r="AA34" i="33"/>
  <c r="Z26" i="31"/>
  <c r="AE26" i="31" s="1"/>
  <c r="S34" i="33"/>
  <c r="U34" i="33"/>
  <c r="AD34" i="33" s="1"/>
  <c r="T34" i="33"/>
  <c r="AC34" i="33" s="1"/>
  <c r="Q37" i="33"/>
  <c r="Z37" i="33" s="1"/>
  <c r="O37" i="33"/>
  <c r="P37" i="33"/>
  <c r="Y37" i="33" s="1"/>
  <c r="V33" i="33"/>
  <c r="W33" i="33" s="1"/>
  <c r="AB33" i="33"/>
  <c r="AE33" i="33" s="1"/>
  <c r="AF33" i="33" s="1"/>
  <c r="E36" i="29"/>
  <c r="H36" i="29" s="1"/>
  <c r="N36" i="31"/>
  <c r="U25" i="26"/>
  <c r="P27" i="31"/>
  <c r="Y25" i="31"/>
  <c r="X25" i="31"/>
  <c r="V25" i="31"/>
  <c r="S25" i="31"/>
  <c r="R25" i="31"/>
  <c r="P41" i="32"/>
  <c r="S28" i="31"/>
  <c r="S41" i="32" s="1"/>
  <c r="X28" i="31"/>
  <c r="X41" i="32" s="1"/>
  <c r="Y28" i="31"/>
  <c r="Y41" i="32" s="1"/>
  <c r="V28" i="31"/>
  <c r="V41" i="32" s="1"/>
  <c r="R28" i="31"/>
  <c r="T31" i="31"/>
  <c r="W31" i="31"/>
  <c r="U31" i="31"/>
  <c r="AC29" i="31"/>
  <c r="AB29" i="31"/>
  <c r="AA29" i="31"/>
  <c r="AD28" i="31"/>
  <c r="AD41" i="32" s="1"/>
  <c r="F34" i="28"/>
  <c r="G34" i="28" s="1"/>
  <c r="F35" i="29"/>
  <c r="F34" i="29"/>
  <c r="I34" i="29"/>
  <c r="F34" i="17"/>
  <c r="C36" i="29"/>
  <c r="D39" i="2"/>
  <c r="C39" i="28"/>
  <c r="D36" i="29"/>
  <c r="G36" i="29" s="1"/>
  <c r="L30" i="2"/>
  <c r="S30" i="2" s="1"/>
  <c r="J30" i="23" s="1"/>
  <c r="F28" i="2"/>
  <c r="D28" i="28"/>
  <c r="H28" i="28" s="1"/>
  <c r="F29" i="2"/>
  <c r="D29" i="28"/>
  <c r="H29" i="28" s="1"/>
  <c r="H30" i="2"/>
  <c r="K32" i="22" s="1"/>
  <c r="M34" i="26"/>
  <c r="N34" i="26"/>
  <c r="K34" i="26"/>
  <c r="AN4" i="27"/>
  <c r="J29" i="27" s="1"/>
  <c r="K29" i="27" s="1"/>
  <c r="U26" i="26"/>
  <c r="AO4" i="27" s="1"/>
  <c r="L34" i="26"/>
  <c r="P30" i="22"/>
  <c r="V30" i="22" s="1"/>
  <c r="X30" i="22" s="1"/>
  <c r="I28" i="26"/>
  <c r="H34" i="6"/>
  <c r="J34" i="26"/>
  <c r="H34" i="17"/>
  <c r="O27" i="26"/>
  <c r="P27" i="26"/>
  <c r="R27" i="26"/>
  <c r="Q27" i="26"/>
  <c r="S27" i="26"/>
  <c r="G34" i="6"/>
  <c r="E34" i="17"/>
  <c r="F34" i="6"/>
  <c r="D34" i="17"/>
  <c r="E34" i="6"/>
  <c r="F40" i="23"/>
  <c r="D40" i="23"/>
  <c r="E40" i="23"/>
  <c r="G40" i="23"/>
  <c r="H40" i="23"/>
  <c r="C34" i="6"/>
  <c r="G34" i="17"/>
  <c r="C34" i="17"/>
  <c r="D35" i="19"/>
  <c r="F35" i="19"/>
  <c r="G35" i="19"/>
  <c r="H35" i="19"/>
  <c r="C35" i="19"/>
  <c r="E35" i="19"/>
  <c r="M38" i="16"/>
  <c r="N37" i="16"/>
  <c r="C35" i="24" s="1"/>
  <c r="O37" i="16"/>
  <c r="D35" i="24" s="1"/>
  <c r="L38" i="16"/>
  <c r="R36" i="16"/>
  <c r="G34" i="24" s="1"/>
  <c r="P37" i="16"/>
  <c r="E35" i="24" s="1"/>
  <c r="Q37" i="16"/>
  <c r="F35" i="24" s="1"/>
  <c r="F39" i="16"/>
  <c r="H39" i="16"/>
  <c r="G39" i="16"/>
  <c r="D39" i="16"/>
  <c r="C39" i="16"/>
  <c r="E39" i="16"/>
  <c r="I38" i="16"/>
  <c r="I36" i="10"/>
  <c r="D35" i="17" s="1"/>
  <c r="E37" i="10"/>
  <c r="F37" i="10"/>
  <c r="G37" i="10"/>
  <c r="H37" i="10"/>
  <c r="C37" i="10"/>
  <c r="D37" i="10"/>
  <c r="R29" i="22"/>
  <c r="K45" i="4"/>
  <c r="E34" i="28" s="1"/>
  <c r="Q30" i="22"/>
  <c r="U30" i="22"/>
  <c r="N34" i="22"/>
  <c r="E36" i="8"/>
  <c r="K46" i="4" s="1"/>
  <c r="E35" i="28" s="1"/>
  <c r="I43" i="4"/>
  <c r="P32" i="2"/>
  <c r="J32" i="2"/>
  <c r="D43" i="4"/>
  <c r="M33" i="22"/>
  <c r="I31" i="2"/>
  <c r="G42" i="4"/>
  <c r="C42" i="4" s="1"/>
  <c r="O31" i="2"/>
  <c r="R31" i="2" s="1"/>
  <c r="L42" i="4"/>
  <c r="H42" i="4" s="1"/>
  <c r="A38" i="8"/>
  <c r="D44" i="4"/>
  <c r="J33" i="2"/>
  <c r="I44" i="4"/>
  <c r="P33" i="2"/>
  <c r="E37" i="7"/>
  <c r="A39" i="7"/>
  <c r="E45" i="4"/>
  <c r="W29" i="22"/>
  <c r="Y29" i="22" s="1"/>
  <c r="C42" i="22"/>
  <c r="G42" i="22" s="1"/>
  <c r="D42" i="22"/>
  <c r="H42" i="22" s="1"/>
  <c r="E40" i="2"/>
  <c r="C41" i="2"/>
  <c r="C41" i="23" s="1"/>
  <c r="I41" i="22"/>
  <c r="S31" i="22"/>
  <c r="T31" i="22"/>
  <c r="N35" i="22"/>
  <c r="O31" i="22"/>
  <c r="A41" i="18"/>
  <c r="A40" i="16"/>
  <c r="A39" i="15"/>
  <c r="A39" i="14"/>
  <c r="A39" i="13"/>
  <c r="A42" i="12"/>
  <c r="A40" i="11"/>
  <c r="A38" i="10"/>
  <c r="A47" i="4"/>
  <c r="AD29" i="31" l="1"/>
  <c r="R38" i="33"/>
  <c r="X38" i="33"/>
  <c r="AG33" i="33"/>
  <c r="AA35" i="33"/>
  <c r="R37" i="33"/>
  <c r="X37" i="33"/>
  <c r="V34" i="33"/>
  <c r="W34" i="33" s="1"/>
  <c r="AB34" i="33"/>
  <c r="R36" i="33"/>
  <c r="Y36" i="33"/>
  <c r="AA36" i="33" s="1"/>
  <c r="U35" i="33"/>
  <c r="AD35" i="33" s="1"/>
  <c r="T35" i="33"/>
  <c r="AC35" i="33" s="1"/>
  <c r="S35" i="33"/>
  <c r="I29" i="23"/>
  <c r="K29" i="23" s="1"/>
  <c r="M31" i="31"/>
  <c r="R41" i="32"/>
  <c r="Z28" i="31"/>
  <c r="R27" i="31"/>
  <c r="S27" i="31"/>
  <c r="V27" i="31"/>
  <c r="Y27" i="31"/>
  <c r="X27" i="31"/>
  <c r="I28" i="23"/>
  <c r="K28" i="23" s="1"/>
  <c r="P28" i="23" s="1"/>
  <c r="M30" i="31"/>
  <c r="G33" i="32"/>
  <c r="F33" i="32"/>
  <c r="H33" i="32" s="1"/>
  <c r="Z25" i="31"/>
  <c r="AE25" i="31" s="1"/>
  <c r="F35" i="28"/>
  <c r="G35" i="28" s="1"/>
  <c r="G30" i="2"/>
  <c r="K34" i="2"/>
  <c r="D40" i="2"/>
  <c r="C40" i="28"/>
  <c r="F36" i="29"/>
  <c r="I36" i="29"/>
  <c r="N29" i="23"/>
  <c r="O29" i="23"/>
  <c r="H31" i="2"/>
  <c r="T27" i="26"/>
  <c r="O33" i="2"/>
  <c r="R33" i="2" s="1"/>
  <c r="J35" i="26"/>
  <c r="N31" i="2"/>
  <c r="M31" i="2" s="1"/>
  <c r="D31" i="28" s="1"/>
  <c r="H31" i="28" s="1"/>
  <c r="I32" i="2"/>
  <c r="L32" i="2" s="1"/>
  <c r="N35" i="26"/>
  <c r="I33" i="2"/>
  <c r="L33" i="2" s="1"/>
  <c r="J45" i="4"/>
  <c r="K35" i="26"/>
  <c r="L35" i="26"/>
  <c r="O28" i="26"/>
  <c r="P28" i="26"/>
  <c r="S28" i="26"/>
  <c r="Q28" i="26"/>
  <c r="R28" i="26"/>
  <c r="M35" i="26"/>
  <c r="P31" i="22"/>
  <c r="V31" i="22" s="1"/>
  <c r="X31" i="22" s="1"/>
  <c r="I29" i="26"/>
  <c r="C35" i="6"/>
  <c r="H35" i="17"/>
  <c r="H35" i="6"/>
  <c r="D35" i="6"/>
  <c r="D41" i="23"/>
  <c r="F41" i="23"/>
  <c r="H41" i="23"/>
  <c r="G41" i="23"/>
  <c r="E41" i="23"/>
  <c r="G35" i="17"/>
  <c r="E35" i="17"/>
  <c r="F35" i="17"/>
  <c r="F35" i="6"/>
  <c r="G35" i="6"/>
  <c r="E35" i="6"/>
  <c r="C35" i="17"/>
  <c r="F36" i="19"/>
  <c r="H36" i="19"/>
  <c r="D36" i="19"/>
  <c r="E36" i="19"/>
  <c r="G36" i="19"/>
  <c r="C36" i="19"/>
  <c r="M39" i="16"/>
  <c r="R37" i="16"/>
  <c r="G35" i="24" s="1"/>
  <c r="L39" i="16"/>
  <c r="N38" i="16"/>
  <c r="C36" i="24" s="1"/>
  <c r="O38" i="16"/>
  <c r="D36" i="24" s="1"/>
  <c r="Q38" i="16"/>
  <c r="F36" i="24" s="1"/>
  <c r="P38" i="16"/>
  <c r="E36" i="24" s="1"/>
  <c r="H40" i="16"/>
  <c r="C40" i="16"/>
  <c r="L40" i="16" s="1"/>
  <c r="D40" i="16"/>
  <c r="G40" i="16"/>
  <c r="E40" i="16"/>
  <c r="F40" i="16"/>
  <c r="I39" i="16"/>
  <c r="G38" i="10"/>
  <c r="H38" i="10"/>
  <c r="E38" i="10"/>
  <c r="C38" i="10"/>
  <c r="D38" i="10"/>
  <c r="F38" i="10"/>
  <c r="I37" i="10"/>
  <c r="D36" i="17" s="1"/>
  <c r="Q34" i="2"/>
  <c r="N36" i="22" s="1"/>
  <c r="Z29" i="22"/>
  <c r="R30" i="22"/>
  <c r="F46" i="4"/>
  <c r="W30" i="22"/>
  <c r="Y30" i="22" s="1"/>
  <c r="M34" i="22"/>
  <c r="G43" i="4"/>
  <c r="C43" i="4" s="1"/>
  <c r="O32" i="2"/>
  <c r="L43" i="4"/>
  <c r="H43" i="4" s="1"/>
  <c r="E38" i="8"/>
  <c r="A39" i="8"/>
  <c r="E37" i="8"/>
  <c r="K47" i="4" s="1"/>
  <c r="E36" i="28" s="1"/>
  <c r="L33" i="22"/>
  <c r="L31" i="2"/>
  <c r="S31" i="2" s="1"/>
  <c r="J31" i="23" s="1"/>
  <c r="E38" i="7"/>
  <c r="A40" i="7"/>
  <c r="D45" i="4"/>
  <c r="J34" i="2"/>
  <c r="J46" i="4"/>
  <c r="I45" i="4"/>
  <c r="P34" i="2"/>
  <c r="Z28" i="22"/>
  <c r="U31" i="22"/>
  <c r="C43" i="22"/>
  <c r="G43" i="22" s="1"/>
  <c r="D43" i="22"/>
  <c r="H43" i="22" s="1"/>
  <c r="C42" i="2"/>
  <c r="C42" i="23" s="1"/>
  <c r="E41" i="2"/>
  <c r="I42" i="22"/>
  <c r="M35" i="22"/>
  <c r="G44" i="4"/>
  <c r="C44" i="4" s="1"/>
  <c r="L44" i="4"/>
  <c r="H44" i="4" s="1"/>
  <c r="Q31" i="22"/>
  <c r="W31" i="22" s="1"/>
  <c r="Y31" i="22" s="1"/>
  <c r="J32" i="22"/>
  <c r="A42" i="18"/>
  <c r="A41" i="16"/>
  <c r="A40" i="15"/>
  <c r="A40" i="14"/>
  <c r="A40" i="13"/>
  <c r="A43" i="12"/>
  <c r="A41" i="11"/>
  <c r="A39" i="10"/>
  <c r="A48" i="4"/>
  <c r="M28" i="23" l="1"/>
  <c r="V35" i="33"/>
  <c r="W35" i="33" s="1"/>
  <c r="AB35" i="33"/>
  <c r="S36" i="33"/>
  <c r="AB36" i="33" s="1"/>
  <c r="T36" i="33"/>
  <c r="AC36" i="33" s="1"/>
  <c r="U36" i="33"/>
  <c r="T37" i="33"/>
  <c r="AC37" i="33" s="1"/>
  <c r="U37" i="33"/>
  <c r="AD37" i="33" s="1"/>
  <c r="S37" i="33"/>
  <c r="N37" i="31"/>
  <c r="N39" i="33"/>
  <c r="AE34" i="33"/>
  <c r="AF34" i="33" s="1"/>
  <c r="AG34" i="33"/>
  <c r="AA38" i="33"/>
  <c r="AA37" i="33"/>
  <c r="U38" i="33"/>
  <c r="AD38" i="33" s="1"/>
  <c r="S38" i="33"/>
  <c r="T38" i="33"/>
  <c r="AC38" i="33" s="1"/>
  <c r="Z27" i="31"/>
  <c r="AE27" i="31" s="1"/>
  <c r="AE28" i="31"/>
  <c r="AE41" i="32" s="1"/>
  <c r="Z41" i="32"/>
  <c r="U27" i="26"/>
  <c r="P29" i="31"/>
  <c r="AC30" i="31"/>
  <c r="AB30" i="31"/>
  <c r="AA30" i="31"/>
  <c r="F30" i="2"/>
  <c r="O32" i="31"/>
  <c r="N28" i="23"/>
  <c r="L28" i="23"/>
  <c r="O28" i="23"/>
  <c r="AC31" i="31"/>
  <c r="AB31" i="31"/>
  <c r="AA31" i="31"/>
  <c r="P29" i="23"/>
  <c r="L29" i="23"/>
  <c r="M29" i="23"/>
  <c r="K33" i="22"/>
  <c r="J33" i="22" s="1"/>
  <c r="C37" i="29"/>
  <c r="E37" i="29"/>
  <c r="H37" i="29" s="1"/>
  <c r="D37" i="29"/>
  <c r="G37" i="29" s="1"/>
  <c r="D41" i="2"/>
  <c r="C41" i="28"/>
  <c r="F36" i="28"/>
  <c r="G36" i="28" s="1"/>
  <c r="L35" i="22"/>
  <c r="E46" i="4"/>
  <c r="D46" i="4" s="1"/>
  <c r="I34" i="2"/>
  <c r="L34" i="2" s="1"/>
  <c r="G31" i="2"/>
  <c r="T28" i="26"/>
  <c r="H33" i="2"/>
  <c r="G33" i="2" s="1"/>
  <c r="O35" i="31" s="1"/>
  <c r="N32" i="2"/>
  <c r="M32" i="2" s="1"/>
  <c r="D32" i="28" s="1"/>
  <c r="H32" i="28" s="1"/>
  <c r="O34" i="2"/>
  <c r="R34" i="2" s="1"/>
  <c r="Q35" i="2"/>
  <c r="H32" i="2"/>
  <c r="G32" i="2" s="1"/>
  <c r="O34" i="31" s="1"/>
  <c r="P29" i="26"/>
  <c r="O29" i="26"/>
  <c r="Q29" i="26"/>
  <c r="R29" i="26"/>
  <c r="S29" i="26"/>
  <c r="L36" i="26"/>
  <c r="M36" i="26"/>
  <c r="K36" i="26"/>
  <c r="N36" i="26"/>
  <c r="M37" i="26"/>
  <c r="J37" i="26"/>
  <c r="L37" i="26"/>
  <c r="K37" i="26"/>
  <c r="N37" i="26"/>
  <c r="J36" i="26"/>
  <c r="D42" i="23"/>
  <c r="H42" i="23"/>
  <c r="E42" i="23"/>
  <c r="F42" i="23"/>
  <c r="G42" i="23"/>
  <c r="F36" i="6"/>
  <c r="E36" i="6"/>
  <c r="H36" i="17"/>
  <c r="G36" i="6"/>
  <c r="E36" i="17"/>
  <c r="F36" i="17"/>
  <c r="G36" i="17"/>
  <c r="H36" i="6"/>
  <c r="D36" i="6"/>
  <c r="C36" i="17"/>
  <c r="C36" i="6"/>
  <c r="H37" i="19"/>
  <c r="C37" i="19"/>
  <c r="D37" i="19"/>
  <c r="F37" i="19"/>
  <c r="G37" i="19"/>
  <c r="E37" i="19"/>
  <c r="R38" i="16"/>
  <c r="G36" i="24" s="1"/>
  <c r="M40" i="16"/>
  <c r="O40" i="16"/>
  <c r="D38" i="24" s="1"/>
  <c r="N40" i="16"/>
  <c r="C38" i="24" s="1"/>
  <c r="N39" i="16"/>
  <c r="C37" i="24" s="1"/>
  <c r="O39" i="16"/>
  <c r="D37" i="24" s="1"/>
  <c r="P39" i="16"/>
  <c r="E37" i="24" s="1"/>
  <c r="Q39" i="16"/>
  <c r="F37" i="24" s="1"/>
  <c r="I40" i="16"/>
  <c r="C41" i="16"/>
  <c r="D41" i="16"/>
  <c r="E41" i="16"/>
  <c r="F41" i="16"/>
  <c r="H41" i="16"/>
  <c r="G41" i="16"/>
  <c r="I38" i="10"/>
  <c r="H37" i="17" s="1"/>
  <c r="C39" i="10"/>
  <c r="D39" i="10"/>
  <c r="E39" i="10"/>
  <c r="F39" i="10"/>
  <c r="G39" i="10"/>
  <c r="H39" i="10"/>
  <c r="Z30" i="22"/>
  <c r="R31" i="22"/>
  <c r="K35" i="2"/>
  <c r="F47" i="4"/>
  <c r="R32" i="2"/>
  <c r="S32" i="2" s="1"/>
  <c r="J32" i="23" s="1"/>
  <c r="L34" i="22"/>
  <c r="A40" i="8"/>
  <c r="S33" i="2"/>
  <c r="J33" i="23" s="1"/>
  <c r="I46" i="4"/>
  <c r="P35" i="2"/>
  <c r="G45" i="4"/>
  <c r="C45" i="4" s="1"/>
  <c r="J47" i="4"/>
  <c r="E39" i="7"/>
  <c r="A41" i="7"/>
  <c r="F48" i="4"/>
  <c r="N41" i="33" s="1"/>
  <c r="K48" i="4"/>
  <c r="E37" i="28" s="1"/>
  <c r="C44" i="22"/>
  <c r="G44" i="22" s="1"/>
  <c r="D44" i="22"/>
  <c r="H44" i="22" s="1"/>
  <c r="C43" i="2"/>
  <c r="C43" i="23" s="1"/>
  <c r="E42" i="2"/>
  <c r="C42" i="28" s="1"/>
  <c r="N33" i="2"/>
  <c r="M33" i="2" s="1"/>
  <c r="D33" i="28" s="1"/>
  <c r="H33" i="28" s="1"/>
  <c r="I43" i="22"/>
  <c r="S32" i="22"/>
  <c r="T32" i="22"/>
  <c r="M36" i="22"/>
  <c r="L45" i="4"/>
  <c r="H45" i="4" s="1"/>
  <c r="Z31" i="22"/>
  <c r="O32" i="22"/>
  <c r="A43" i="18"/>
  <c r="A42" i="16"/>
  <c r="A41" i="15"/>
  <c r="A41" i="14"/>
  <c r="A41" i="13"/>
  <c r="A44" i="12"/>
  <c r="A42" i="11"/>
  <c r="A40" i="10"/>
  <c r="A49" i="4"/>
  <c r="V37" i="33" l="1"/>
  <c r="W37" i="33" s="1"/>
  <c r="AB37" i="33"/>
  <c r="N38" i="31"/>
  <c r="N40" i="33"/>
  <c r="V38" i="33"/>
  <c r="W38" i="33" s="1"/>
  <c r="AB38" i="33"/>
  <c r="N41" i="34"/>
  <c r="O39" i="33"/>
  <c r="Q39" i="33"/>
  <c r="P39" i="33"/>
  <c r="O41" i="33"/>
  <c r="Q41" i="33"/>
  <c r="Z41" i="33" s="1"/>
  <c r="P41" i="33"/>
  <c r="Y41" i="33" s="1"/>
  <c r="AE35" i="33"/>
  <c r="AF35" i="33" s="1"/>
  <c r="AG35" i="33"/>
  <c r="V36" i="33"/>
  <c r="W36" i="33" s="1"/>
  <c r="AD36" i="33"/>
  <c r="AG36" i="33" s="1"/>
  <c r="U35" i="31"/>
  <c r="W35" i="31"/>
  <c r="T35" i="31"/>
  <c r="Y29" i="31"/>
  <c r="R29" i="31"/>
  <c r="S29" i="31"/>
  <c r="X29" i="31"/>
  <c r="V29" i="31"/>
  <c r="U28" i="26"/>
  <c r="P30" i="31"/>
  <c r="F31" i="2"/>
  <c r="O33" i="31"/>
  <c r="W32" i="31"/>
  <c r="U32" i="31"/>
  <c r="T32" i="31"/>
  <c r="F32" i="32"/>
  <c r="G32" i="32"/>
  <c r="I30" i="23"/>
  <c r="K30" i="23" s="1"/>
  <c r="M32" i="31"/>
  <c r="F34" i="32"/>
  <c r="H34" i="32" s="1"/>
  <c r="G34" i="32"/>
  <c r="E39" i="29"/>
  <c r="H39" i="29" s="1"/>
  <c r="N39" i="31"/>
  <c r="U34" i="31"/>
  <c r="W34" i="31"/>
  <c r="T34" i="31"/>
  <c r="AD31" i="31"/>
  <c r="AD30" i="31"/>
  <c r="C39" i="29"/>
  <c r="F39" i="29" s="1"/>
  <c r="C38" i="29"/>
  <c r="D38" i="29"/>
  <c r="E38" i="29"/>
  <c r="D39" i="29"/>
  <c r="G39" i="29" s="1"/>
  <c r="I37" i="29"/>
  <c r="F37" i="29"/>
  <c r="J35" i="2"/>
  <c r="F37" i="28"/>
  <c r="G37" i="28" s="1"/>
  <c r="N37" i="22"/>
  <c r="N34" i="2"/>
  <c r="M34" i="2" s="1"/>
  <c r="D34" i="28" s="1"/>
  <c r="H34" i="28" s="1"/>
  <c r="E37" i="17"/>
  <c r="H34" i="2"/>
  <c r="G34" i="2" s="1"/>
  <c r="O36" i="31" s="1"/>
  <c r="Q36" i="2"/>
  <c r="K34" i="22"/>
  <c r="J34" i="22" s="1"/>
  <c r="O35" i="2"/>
  <c r="R35" i="2" s="1"/>
  <c r="F32" i="2"/>
  <c r="I35" i="2"/>
  <c r="F37" i="17"/>
  <c r="Q32" i="22"/>
  <c r="W32" i="22" s="1"/>
  <c r="Y32" i="22" s="1"/>
  <c r="I30" i="26"/>
  <c r="F37" i="6"/>
  <c r="D37" i="17"/>
  <c r="E37" i="6"/>
  <c r="C37" i="17"/>
  <c r="G37" i="6"/>
  <c r="D37" i="6"/>
  <c r="T29" i="26"/>
  <c r="G43" i="23"/>
  <c r="E43" i="23"/>
  <c r="D43" i="23"/>
  <c r="F43" i="23"/>
  <c r="H43" i="23"/>
  <c r="H37" i="6"/>
  <c r="C37" i="6"/>
  <c r="O33" i="22"/>
  <c r="I31" i="26" s="1"/>
  <c r="G37" i="17"/>
  <c r="D38" i="19"/>
  <c r="E38" i="19"/>
  <c r="F38" i="19"/>
  <c r="H38" i="19"/>
  <c r="G38" i="19"/>
  <c r="C38" i="19"/>
  <c r="M41" i="16"/>
  <c r="R39" i="16"/>
  <c r="G37" i="24" s="1"/>
  <c r="L41" i="16"/>
  <c r="P40" i="16"/>
  <c r="E38" i="24" s="1"/>
  <c r="Q40" i="16"/>
  <c r="F38" i="24" s="1"/>
  <c r="D42" i="16"/>
  <c r="F42" i="16"/>
  <c r="G42" i="16"/>
  <c r="E42" i="16"/>
  <c r="H42" i="16"/>
  <c r="C42" i="16"/>
  <c r="I41" i="16"/>
  <c r="K36" i="2"/>
  <c r="C40" i="10"/>
  <c r="D40" i="10"/>
  <c r="E40" i="10"/>
  <c r="F40" i="10"/>
  <c r="G40" i="10"/>
  <c r="H40" i="10"/>
  <c r="I39" i="10"/>
  <c r="F38" i="17" s="1"/>
  <c r="E47" i="4"/>
  <c r="E40" i="7"/>
  <c r="L46" i="4"/>
  <c r="H46" i="4" s="1"/>
  <c r="A41" i="8"/>
  <c r="E39" i="8"/>
  <c r="K49" i="4" s="1"/>
  <c r="E38" i="28" s="1"/>
  <c r="S33" i="22"/>
  <c r="T33" i="22"/>
  <c r="K35" i="22"/>
  <c r="J35" i="22" s="1"/>
  <c r="J48" i="4"/>
  <c r="E48" i="4"/>
  <c r="I47" i="4"/>
  <c r="P36" i="2"/>
  <c r="G46" i="4"/>
  <c r="C46" i="4" s="1"/>
  <c r="A42" i="7"/>
  <c r="U32" i="22"/>
  <c r="F33" i="2"/>
  <c r="D42" i="2"/>
  <c r="I44" i="22"/>
  <c r="C45" i="22"/>
  <c r="G45" i="22" s="1"/>
  <c r="D45" i="22"/>
  <c r="H45" i="22" s="1"/>
  <c r="C44" i="2"/>
  <c r="C44" i="23" s="1"/>
  <c r="E43" i="2"/>
  <c r="L36" i="22"/>
  <c r="S34" i="2"/>
  <c r="J34" i="23" s="1"/>
  <c r="M37" i="22"/>
  <c r="P32" i="22"/>
  <c r="A44" i="18"/>
  <c r="A43" i="16"/>
  <c r="A42" i="15"/>
  <c r="A42" i="14"/>
  <c r="A42" i="13"/>
  <c r="A45" i="12"/>
  <c r="A43" i="11"/>
  <c r="A41" i="10"/>
  <c r="A50" i="4"/>
  <c r="H32" i="32" l="1"/>
  <c r="Z29" i="31"/>
  <c r="AE29" i="31" s="1"/>
  <c r="R41" i="33"/>
  <c r="X41" i="33"/>
  <c r="P41" i="34"/>
  <c r="Y39" i="33"/>
  <c r="Y41" i="34" s="1"/>
  <c r="AE38" i="33"/>
  <c r="AF38" i="33" s="1"/>
  <c r="AG38" i="33"/>
  <c r="AE36" i="33"/>
  <c r="AF36" i="33" s="1"/>
  <c r="Q41" i="34"/>
  <c r="Z39" i="33"/>
  <c r="Z41" i="34" s="1"/>
  <c r="AE37" i="33"/>
  <c r="AF37" i="33" s="1"/>
  <c r="AG37" i="33"/>
  <c r="R39" i="33"/>
  <c r="O41" i="34"/>
  <c r="X39" i="33"/>
  <c r="P40" i="33"/>
  <c r="O40" i="33"/>
  <c r="X40" i="33" s="1"/>
  <c r="Q40" i="33"/>
  <c r="Z40" i="33" s="1"/>
  <c r="W36" i="31"/>
  <c r="T36" i="31"/>
  <c r="U36" i="31"/>
  <c r="I33" i="23"/>
  <c r="K33" i="23" s="1"/>
  <c r="M33" i="23" s="1"/>
  <c r="M35" i="31"/>
  <c r="U29" i="26"/>
  <c r="P31" i="31"/>
  <c r="AC32" i="31"/>
  <c r="AB32" i="31"/>
  <c r="W33" i="31"/>
  <c r="T33" i="31"/>
  <c r="U33" i="31"/>
  <c r="I31" i="23"/>
  <c r="K31" i="23" s="1"/>
  <c r="M33" i="31"/>
  <c r="AA33" i="31" s="1"/>
  <c r="I32" i="23"/>
  <c r="K32" i="23" s="1"/>
  <c r="L32" i="23" s="1"/>
  <c r="M34" i="31"/>
  <c r="L30" i="23"/>
  <c r="P30" i="23"/>
  <c r="M30" i="23"/>
  <c r="N30" i="23"/>
  <c r="O30" i="23"/>
  <c r="Y30" i="31"/>
  <c r="V30" i="31"/>
  <c r="R30" i="31"/>
  <c r="X30" i="31"/>
  <c r="S30" i="31"/>
  <c r="I39" i="29"/>
  <c r="AA32" i="31"/>
  <c r="D38" i="6"/>
  <c r="P33" i="22"/>
  <c r="V33" i="22" s="1"/>
  <c r="X33" i="22" s="1"/>
  <c r="K37" i="2"/>
  <c r="D43" i="2"/>
  <c r="C43" i="28"/>
  <c r="Q33" i="22"/>
  <c r="W33" i="22" s="1"/>
  <c r="Y33" i="22" s="1"/>
  <c r="K36" i="22"/>
  <c r="J36" i="22" s="1"/>
  <c r="F38" i="28"/>
  <c r="G38" i="28" s="1"/>
  <c r="N38" i="26"/>
  <c r="H38" i="29"/>
  <c r="H35" i="30" s="1"/>
  <c r="E35" i="30"/>
  <c r="C38" i="17"/>
  <c r="D35" i="30"/>
  <c r="G38" i="29"/>
  <c r="G35" i="30" s="1"/>
  <c r="I38" i="29"/>
  <c r="I35" i="30" s="1"/>
  <c r="G29" i="30" s="1"/>
  <c r="C35" i="30"/>
  <c r="F38" i="29"/>
  <c r="F35" i="30" s="1"/>
  <c r="L37" i="22"/>
  <c r="D47" i="4"/>
  <c r="G47" i="4" s="1"/>
  <c r="C47" i="4" s="1"/>
  <c r="L35" i="2"/>
  <c r="H35" i="2"/>
  <c r="Q37" i="2"/>
  <c r="O36" i="2"/>
  <c r="R36" i="2" s="1"/>
  <c r="N35" i="2"/>
  <c r="M35" i="2" s="1"/>
  <c r="D35" i="28" s="1"/>
  <c r="H35" i="28" s="1"/>
  <c r="N38" i="22"/>
  <c r="G38" i="6"/>
  <c r="M38" i="26"/>
  <c r="J38" i="26"/>
  <c r="S31" i="26"/>
  <c r="P31" i="26"/>
  <c r="R31" i="26"/>
  <c r="O31" i="26"/>
  <c r="Q31" i="26"/>
  <c r="K38" i="26"/>
  <c r="L38" i="26"/>
  <c r="E38" i="17"/>
  <c r="R30" i="26"/>
  <c r="Q30" i="26"/>
  <c r="S30" i="26"/>
  <c r="P30" i="26"/>
  <c r="O30" i="26"/>
  <c r="E44" i="23"/>
  <c r="G44" i="23"/>
  <c r="F44" i="23"/>
  <c r="H44" i="23"/>
  <c r="D44" i="23"/>
  <c r="H38" i="6"/>
  <c r="G38" i="17"/>
  <c r="H38" i="17"/>
  <c r="C38" i="6"/>
  <c r="F38" i="6"/>
  <c r="T34" i="22"/>
  <c r="E38" i="6"/>
  <c r="D38" i="17"/>
  <c r="M32" i="23"/>
  <c r="P32" i="23"/>
  <c r="O33" i="23"/>
  <c r="N33" i="23"/>
  <c r="P33" i="23"/>
  <c r="D39" i="19"/>
  <c r="F39" i="19"/>
  <c r="G39" i="19"/>
  <c r="H39" i="19"/>
  <c r="C39" i="19"/>
  <c r="E39" i="19"/>
  <c r="Q41" i="16"/>
  <c r="F39" i="24" s="1"/>
  <c r="P41" i="16"/>
  <c r="E39" i="24" s="1"/>
  <c r="M42" i="16"/>
  <c r="R40" i="16"/>
  <c r="G38" i="24" s="1"/>
  <c r="L42" i="16"/>
  <c r="O41" i="16"/>
  <c r="D39" i="24" s="1"/>
  <c r="N41" i="16"/>
  <c r="C39" i="24" s="1"/>
  <c r="F43" i="16"/>
  <c r="G43" i="16"/>
  <c r="H43" i="16"/>
  <c r="E43" i="16"/>
  <c r="C43" i="16"/>
  <c r="D43" i="16"/>
  <c r="I42" i="16"/>
  <c r="E41" i="10"/>
  <c r="F41" i="10"/>
  <c r="G41" i="10"/>
  <c r="H41" i="10"/>
  <c r="C41" i="10"/>
  <c r="D41" i="10"/>
  <c r="I40" i="10"/>
  <c r="E39" i="6" s="1"/>
  <c r="R32" i="22"/>
  <c r="S34" i="22"/>
  <c r="O34" i="22"/>
  <c r="J36" i="2"/>
  <c r="M38" i="22" s="1"/>
  <c r="E40" i="8"/>
  <c r="J39" i="26" s="1"/>
  <c r="U33" i="22"/>
  <c r="A42" i="8"/>
  <c r="F49" i="4"/>
  <c r="E41" i="7"/>
  <c r="D48" i="4"/>
  <c r="J37" i="2"/>
  <c r="A43" i="7"/>
  <c r="I48" i="4"/>
  <c r="P37" i="2"/>
  <c r="J49" i="4"/>
  <c r="S35" i="22"/>
  <c r="T35" i="22"/>
  <c r="I45" i="22"/>
  <c r="V32" i="22"/>
  <c r="X32" i="22" s="1"/>
  <c r="C46" i="22"/>
  <c r="G46" i="22" s="1"/>
  <c r="D46" i="22"/>
  <c r="H46" i="22" s="1"/>
  <c r="C45" i="2"/>
  <c r="C45" i="23" s="1"/>
  <c r="E44" i="2"/>
  <c r="S35" i="2"/>
  <c r="J35" i="23" s="1"/>
  <c r="F34" i="2"/>
  <c r="L47" i="4"/>
  <c r="H47" i="4" s="1"/>
  <c r="O35" i="22"/>
  <c r="A45" i="18"/>
  <c r="A44" i="16"/>
  <c r="A43" i="15"/>
  <c r="A43" i="14"/>
  <c r="A43" i="13"/>
  <c r="A46" i="12"/>
  <c r="A44" i="11"/>
  <c r="A42" i="10"/>
  <c r="A51" i="4"/>
  <c r="O32" i="23" l="1"/>
  <c r="N32" i="23"/>
  <c r="N39" i="22"/>
  <c r="R40" i="33"/>
  <c r="Y40" i="33"/>
  <c r="AA40" i="33" s="1"/>
  <c r="AD32" i="31"/>
  <c r="AA39" i="33"/>
  <c r="AA41" i="34" s="1"/>
  <c r="X41" i="34"/>
  <c r="AA41" i="33"/>
  <c r="T41" i="33"/>
  <c r="AC41" i="33" s="1"/>
  <c r="U41" i="33"/>
  <c r="AD41" i="33" s="1"/>
  <c r="S41" i="33"/>
  <c r="N40" i="31"/>
  <c r="N42" i="33"/>
  <c r="T39" i="33"/>
  <c r="S39" i="33"/>
  <c r="U39" i="33"/>
  <c r="R41" i="34"/>
  <c r="L33" i="23"/>
  <c r="O31" i="23"/>
  <c r="M31" i="23"/>
  <c r="N31" i="23"/>
  <c r="P31" i="23"/>
  <c r="L31" i="23"/>
  <c r="AC35" i="31"/>
  <c r="AB35" i="31"/>
  <c r="AA35" i="31"/>
  <c r="Z30" i="31"/>
  <c r="AE30" i="31" s="1"/>
  <c r="AC34" i="31"/>
  <c r="AB34" i="31"/>
  <c r="AA34" i="31"/>
  <c r="I34" i="23"/>
  <c r="K34" i="23" s="1"/>
  <c r="M34" i="23" s="1"/>
  <c r="M36" i="31"/>
  <c r="AC33" i="31"/>
  <c r="AB33" i="31"/>
  <c r="R31" i="31"/>
  <c r="Y31" i="31"/>
  <c r="S31" i="31"/>
  <c r="X31" i="31"/>
  <c r="V31" i="31"/>
  <c r="K37" i="22"/>
  <c r="J37" i="22" s="1"/>
  <c r="S37" i="22" s="1"/>
  <c r="R33" i="22"/>
  <c r="C40" i="29"/>
  <c r="E40" i="29"/>
  <c r="H40" i="29" s="1"/>
  <c r="D40" i="29"/>
  <c r="G40" i="29" s="1"/>
  <c r="D44" i="2"/>
  <c r="C44" i="28"/>
  <c r="F39" i="28"/>
  <c r="G39" i="28" s="1"/>
  <c r="G35" i="2"/>
  <c r="O37" i="31" s="1"/>
  <c r="T30" i="26"/>
  <c r="H36" i="2"/>
  <c r="Q38" i="2"/>
  <c r="E49" i="4"/>
  <c r="J38" i="2" s="1"/>
  <c r="I37" i="2"/>
  <c r="I36" i="2"/>
  <c r="O37" i="2"/>
  <c r="R37" i="2" s="1"/>
  <c r="T31" i="26"/>
  <c r="K39" i="26"/>
  <c r="P34" i="22"/>
  <c r="V34" i="22" s="1"/>
  <c r="X34" i="22" s="1"/>
  <c r="I32" i="26"/>
  <c r="M39" i="26"/>
  <c r="L39" i="26"/>
  <c r="Q35" i="22"/>
  <c r="W35" i="22" s="1"/>
  <c r="Y35" i="22" s="1"/>
  <c r="I33" i="26"/>
  <c r="N39" i="26"/>
  <c r="D39" i="6"/>
  <c r="H39" i="17"/>
  <c r="E39" i="17"/>
  <c r="C39" i="6"/>
  <c r="E45" i="23"/>
  <c r="F45" i="23"/>
  <c r="D45" i="23"/>
  <c r="G45" i="23"/>
  <c r="H45" i="23"/>
  <c r="H39" i="6"/>
  <c r="C39" i="17"/>
  <c r="D39" i="17"/>
  <c r="G39" i="6"/>
  <c r="G39" i="17"/>
  <c r="O34" i="23"/>
  <c r="F39" i="6"/>
  <c r="F39" i="17"/>
  <c r="F40" i="19"/>
  <c r="H40" i="19"/>
  <c r="D40" i="19"/>
  <c r="E40" i="19"/>
  <c r="G40" i="19"/>
  <c r="C40" i="19"/>
  <c r="M43" i="16"/>
  <c r="Q42" i="16"/>
  <c r="F40" i="24" s="1"/>
  <c r="P42" i="16"/>
  <c r="E40" i="24" s="1"/>
  <c r="N42" i="16"/>
  <c r="C40" i="24" s="1"/>
  <c r="O42" i="16"/>
  <c r="D40" i="24" s="1"/>
  <c r="L43" i="16"/>
  <c r="R41" i="16"/>
  <c r="G39" i="24" s="1"/>
  <c r="H44" i="16"/>
  <c r="C44" i="16"/>
  <c r="L44" i="16" s="1"/>
  <c r="D44" i="16"/>
  <c r="F44" i="16"/>
  <c r="E44" i="16"/>
  <c r="G44" i="16"/>
  <c r="I43" i="16"/>
  <c r="G42" i="10"/>
  <c r="H42" i="10"/>
  <c r="E42" i="10"/>
  <c r="C42" i="10"/>
  <c r="D42" i="10"/>
  <c r="F42" i="10"/>
  <c r="I41" i="10"/>
  <c r="F40" i="17" s="1"/>
  <c r="Z32" i="22"/>
  <c r="U34" i="22"/>
  <c r="Q34" i="22"/>
  <c r="W34" i="22" s="1"/>
  <c r="Y34" i="22" s="1"/>
  <c r="Z33" i="22"/>
  <c r="L48" i="4"/>
  <c r="H48" i="4" s="1"/>
  <c r="K38" i="2"/>
  <c r="K50" i="4"/>
  <c r="E39" i="28" s="1"/>
  <c r="F50" i="4"/>
  <c r="E41" i="8"/>
  <c r="F51" i="4" s="1"/>
  <c r="N44" i="33" s="1"/>
  <c r="A43" i="8"/>
  <c r="I49" i="4"/>
  <c r="P38" i="2"/>
  <c r="E42" i="7"/>
  <c r="A44" i="7"/>
  <c r="N36" i="2"/>
  <c r="M36" i="2" s="1"/>
  <c r="D36" i="28" s="1"/>
  <c r="H36" i="28" s="1"/>
  <c r="S36" i="22"/>
  <c r="T36" i="22"/>
  <c r="C47" i="22"/>
  <c r="G47" i="22" s="1"/>
  <c r="D47" i="22"/>
  <c r="H47" i="22" s="1"/>
  <c r="C46" i="2"/>
  <c r="C46" i="23" s="1"/>
  <c r="E45" i="2"/>
  <c r="I46" i="22"/>
  <c r="U35" i="22"/>
  <c r="M39" i="22"/>
  <c r="G48" i="4"/>
  <c r="C48" i="4" s="1"/>
  <c r="P35" i="22"/>
  <c r="O36" i="22"/>
  <c r="A46" i="18"/>
  <c r="A45" i="16"/>
  <c r="A44" i="15"/>
  <c r="A44" i="14"/>
  <c r="A44" i="13"/>
  <c r="A47" i="12"/>
  <c r="A45" i="11"/>
  <c r="A43" i="10"/>
  <c r="A52" i="4"/>
  <c r="N34" i="23" l="1"/>
  <c r="O37" i="22"/>
  <c r="T37" i="22"/>
  <c r="F35" i="2"/>
  <c r="AD33" i="31"/>
  <c r="G33" i="34"/>
  <c r="F33" i="34"/>
  <c r="H33" i="34" s="1"/>
  <c r="V41" i="33"/>
  <c r="W41" i="33" s="1"/>
  <c r="AB41" i="33"/>
  <c r="P44" i="33"/>
  <c r="O44" i="33"/>
  <c r="X44" i="33" s="1"/>
  <c r="Q44" i="33"/>
  <c r="Z44" i="33" s="1"/>
  <c r="U41" i="34"/>
  <c r="AD39" i="33"/>
  <c r="AD41" i="34" s="1"/>
  <c r="Z43" i="34" s="1"/>
  <c r="V39" i="33"/>
  <c r="S41" i="34"/>
  <c r="AB39" i="33"/>
  <c r="P42" i="33"/>
  <c r="Y42" i="33" s="1"/>
  <c r="O42" i="33"/>
  <c r="Q42" i="33"/>
  <c r="Z42" i="33" s="1"/>
  <c r="N41" i="31"/>
  <c r="N43" i="33"/>
  <c r="T41" i="34"/>
  <c r="AC39" i="33"/>
  <c r="AC41" i="34" s="1"/>
  <c r="Y43" i="34" s="1"/>
  <c r="T40" i="33"/>
  <c r="AC40" i="33" s="1"/>
  <c r="S40" i="33"/>
  <c r="U40" i="33"/>
  <c r="AD40" i="33" s="1"/>
  <c r="AD34" i="31"/>
  <c r="Z31" i="31"/>
  <c r="AE31" i="31" s="1"/>
  <c r="C42" i="29"/>
  <c r="F42" i="29" s="1"/>
  <c r="N42" i="31"/>
  <c r="L34" i="23"/>
  <c r="I35" i="23"/>
  <c r="K35" i="23" s="1"/>
  <c r="O35" i="23" s="1"/>
  <c r="M37" i="31"/>
  <c r="AA37" i="31" s="1"/>
  <c r="P34" i="23"/>
  <c r="U31" i="26"/>
  <c r="P33" i="31"/>
  <c r="U30" i="26"/>
  <c r="P32" i="31"/>
  <c r="U37" i="31"/>
  <c r="W37" i="31"/>
  <c r="T37" i="31"/>
  <c r="AC36" i="31"/>
  <c r="AB36" i="31"/>
  <c r="AA36" i="31"/>
  <c r="AD35" i="31"/>
  <c r="K40" i="26"/>
  <c r="N40" i="26"/>
  <c r="E42" i="29"/>
  <c r="H42" i="29" s="1"/>
  <c r="D42" i="29"/>
  <c r="G42" i="29" s="1"/>
  <c r="F40" i="28"/>
  <c r="G40" i="28" s="1"/>
  <c r="E41" i="29"/>
  <c r="H41" i="29" s="1"/>
  <c r="C41" i="29"/>
  <c r="D41" i="29"/>
  <c r="G41" i="29" s="1"/>
  <c r="D45" i="2"/>
  <c r="C45" i="28"/>
  <c r="G36" i="2"/>
  <c r="G40" i="6"/>
  <c r="F40" i="29"/>
  <c r="I40" i="29"/>
  <c r="L39" i="22"/>
  <c r="N40" i="22"/>
  <c r="L38" i="22"/>
  <c r="L36" i="2"/>
  <c r="S36" i="2" s="1"/>
  <c r="J36" i="23" s="1"/>
  <c r="L37" i="2"/>
  <c r="S37" i="2" s="1"/>
  <c r="J37" i="23" s="1"/>
  <c r="D49" i="4"/>
  <c r="G49" i="4" s="1"/>
  <c r="C49" i="4" s="1"/>
  <c r="N37" i="2"/>
  <c r="M37" i="2" s="1"/>
  <c r="D37" i="28" s="1"/>
  <c r="H37" i="28" s="1"/>
  <c r="O38" i="2"/>
  <c r="R38" i="2" s="1"/>
  <c r="O33" i="26"/>
  <c r="R33" i="26"/>
  <c r="Q33" i="26"/>
  <c r="P33" i="26"/>
  <c r="S33" i="26"/>
  <c r="J40" i="26"/>
  <c r="L40" i="26"/>
  <c r="P37" i="22"/>
  <c r="V37" i="22" s="1"/>
  <c r="X37" i="22" s="1"/>
  <c r="I35" i="26"/>
  <c r="M40" i="26"/>
  <c r="P36" i="22"/>
  <c r="V36" i="22" s="1"/>
  <c r="X36" i="22" s="1"/>
  <c r="I34" i="26"/>
  <c r="E40" i="17"/>
  <c r="S32" i="26"/>
  <c r="R32" i="26"/>
  <c r="Q32" i="26"/>
  <c r="P32" i="26"/>
  <c r="O32" i="26"/>
  <c r="D40" i="6"/>
  <c r="D40" i="17"/>
  <c r="C40" i="6"/>
  <c r="C40" i="17"/>
  <c r="F40" i="6"/>
  <c r="H40" i="17"/>
  <c r="G40" i="17"/>
  <c r="D46" i="23"/>
  <c r="X4" i="25" s="1"/>
  <c r="E46" i="23"/>
  <c r="Y4" i="25" s="1"/>
  <c r="H46" i="23"/>
  <c r="AB4" i="25" s="1"/>
  <c r="G46" i="23"/>
  <c r="AA4" i="25" s="1"/>
  <c r="W4" i="25"/>
  <c r="F46" i="23"/>
  <c r="Z4" i="25" s="1"/>
  <c r="E40" i="6"/>
  <c r="H40" i="6"/>
  <c r="H41" i="19"/>
  <c r="C41" i="19"/>
  <c r="D41" i="19"/>
  <c r="F41" i="19"/>
  <c r="G41" i="19"/>
  <c r="E41" i="19"/>
  <c r="R42" i="16"/>
  <c r="G40" i="24" s="1"/>
  <c r="O44" i="16"/>
  <c r="D42" i="24" s="1"/>
  <c r="N44" i="16"/>
  <c r="C42" i="24" s="1"/>
  <c r="O43" i="16"/>
  <c r="D41" i="24" s="1"/>
  <c r="N43" i="16"/>
  <c r="C41" i="24" s="1"/>
  <c r="M44" i="16"/>
  <c r="P43" i="16"/>
  <c r="E41" i="24" s="1"/>
  <c r="Q43" i="16"/>
  <c r="F41" i="24" s="1"/>
  <c r="I44" i="16"/>
  <c r="D45" i="16"/>
  <c r="E45" i="16"/>
  <c r="C45" i="16"/>
  <c r="F45" i="16"/>
  <c r="G45" i="16"/>
  <c r="H45" i="16"/>
  <c r="I42" i="10"/>
  <c r="H41" i="17" s="1"/>
  <c r="C43" i="10"/>
  <c r="D43" i="10"/>
  <c r="E43" i="10"/>
  <c r="F43" i="10"/>
  <c r="G43" i="10"/>
  <c r="H43" i="10"/>
  <c r="R34" i="22"/>
  <c r="R35" i="22"/>
  <c r="Z34" i="22"/>
  <c r="K51" i="4"/>
  <c r="E40" i="28" s="1"/>
  <c r="K39" i="2"/>
  <c r="E50" i="4"/>
  <c r="E42" i="8"/>
  <c r="K52" i="4" s="1"/>
  <c r="E41" i="28" s="1"/>
  <c r="Q39" i="2"/>
  <c r="J50" i="4"/>
  <c r="A44" i="8"/>
  <c r="L49" i="4"/>
  <c r="H49" i="4" s="1"/>
  <c r="A45" i="7"/>
  <c r="E51" i="4"/>
  <c r="E43" i="7"/>
  <c r="K38" i="22"/>
  <c r="I47" i="22"/>
  <c r="U37" i="22"/>
  <c r="C48" i="22"/>
  <c r="D48" i="22"/>
  <c r="C47" i="2"/>
  <c r="C47" i="23" s="1"/>
  <c r="E46" i="2"/>
  <c r="U36" i="22"/>
  <c r="V35" i="22"/>
  <c r="X35" i="22" s="1"/>
  <c r="H37" i="2"/>
  <c r="M40" i="22"/>
  <c r="Q37" i="22"/>
  <c r="Q36" i="22"/>
  <c r="A47" i="18"/>
  <c r="A46" i="16"/>
  <c r="A45" i="15"/>
  <c r="A45" i="14"/>
  <c r="A45" i="13"/>
  <c r="A48" i="12"/>
  <c r="A46" i="11"/>
  <c r="A44" i="10"/>
  <c r="A53" i="4"/>
  <c r="L35" i="23" l="1"/>
  <c r="J38" i="22"/>
  <c r="O38" i="22" s="1"/>
  <c r="AD36" i="31"/>
  <c r="AB41" i="34"/>
  <c r="X43" i="34" s="1"/>
  <c r="AE39" i="33"/>
  <c r="AG39" i="33"/>
  <c r="AG41" i="34" s="1"/>
  <c r="AE41" i="33"/>
  <c r="AF41" i="33" s="1"/>
  <c r="AG41" i="33"/>
  <c r="R42" i="33"/>
  <c r="X42" i="33"/>
  <c r="W39" i="33"/>
  <c r="W41" i="34" s="1"/>
  <c r="V41" i="34"/>
  <c r="V40" i="33"/>
  <c r="W40" i="33" s="1"/>
  <c r="AB40" i="33"/>
  <c r="P43" i="33"/>
  <c r="Y43" i="33" s="1"/>
  <c r="Q43" i="33"/>
  <c r="Z43" i="33" s="1"/>
  <c r="O43" i="33"/>
  <c r="R44" i="33"/>
  <c r="Y44" i="33"/>
  <c r="AA44" i="33" s="1"/>
  <c r="P35" i="23"/>
  <c r="AC37" i="31"/>
  <c r="AB37" i="31"/>
  <c r="R32" i="31"/>
  <c r="Y32" i="31"/>
  <c r="X32" i="31"/>
  <c r="S32" i="31"/>
  <c r="V32" i="31"/>
  <c r="N35" i="23"/>
  <c r="R33" i="31"/>
  <c r="V33" i="31"/>
  <c r="Y33" i="31"/>
  <c r="S33" i="31"/>
  <c r="X33" i="31"/>
  <c r="M35" i="23"/>
  <c r="F36" i="2"/>
  <c r="O38" i="31"/>
  <c r="F41" i="28"/>
  <c r="G41" i="28" s="1"/>
  <c r="F41" i="29"/>
  <c r="I41" i="29"/>
  <c r="K39" i="22"/>
  <c r="J39" i="22" s="1"/>
  <c r="S39" i="22" s="1"/>
  <c r="D46" i="2"/>
  <c r="C46" i="28"/>
  <c r="I42" i="29"/>
  <c r="T32" i="26"/>
  <c r="K40" i="2"/>
  <c r="H38" i="2"/>
  <c r="N38" i="2"/>
  <c r="M38" i="2" s="1"/>
  <c r="D38" i="28" s="1"/>
  <c r="H38" i="28" s="1"/>
  <c r="J51" i="4"/>
  <c r="M41" i="26"/>
  <c r="I38" i="2"/>
  <c r="Q35" i="26"/>
  <c r="O35" i="26"/>
  <c r="R35" i="26"/>
  <c r="P35" i="26"/>
  <c r="S35" i="26"/>
  <c r="N41" i="26"/>
  <c r="K41" i="26"/>
  <c r="J41" i="26"/>
  <c r="P34" i="26"/>
  <c r="O34" i="26"/>
  <c r="R34" i="26"/>
  <c r="Q34" i="26"/>
  <c r="S34" i="26"/>
  <c r="L41" i="26"/>
  <c r="T33" i="26"/>
  <c r="H41" i="6"/>
  <c r="Q41" i="2" s="1"/>
  <c r="F41" i="17"/>
  <c r="E47" i="23"/>
  <c r="H47" i="23"/>
  <c r="F47" i="23"/>
  <c r="G47" i="23"/>
  <c r="D47" i="23"/>
  <c r="G41" i="6"/>
  <c r="E41" i="17"/>
  <c r="E41" i="6"/>
  <c r="D41" i="6"/>
  <c r="C41" i="6"/>
  <c r="D41" i="17"/>
  <c r="G41" i="17"/>
  <c r="C41" i="17"/>
  <c r="F41" i="6"/>
  <c r="D42" i="19"/>
  <c r="E42" i="19"/>
  <c r="F42" i="19"/>
  <c r="C42" i="19"/>
  <c r="H42" i="19"/>
  <c r="G42" i="19"/>
  <c r="R43" i="16"/>
  <c r="G41" i="24" s="1"/>
  <c r="L45" i="16"/>
  <c r="M45" i="16"/>
  <c r="P44" i="16"/>
  <c r="E42" i="24" s="1"/>
  <c r="Q44" i="16"/>
  <c r="F42" i="24" s="1"/>
  <c r="D46" i="16"/>
  <c r="E46" i="16"/>
  <c r="F46" i="16"/>
  <c r="G46" i="16"/>
  <c r="H46" i="16"/>
  <c r="C46" i="16"/>
  <c r="I45" i="16"/>
  <c r="I43" i="10"/>
  <c r="H42" i="17" s="1"/>
  <c r="C44" i="10"/>
  <c r="I44" i="10" s="1"/>
  <c r="D44" i="10"/>
  <c r="E44" i="10"/>
  <c r="F44" i="10"/>
  <c r="G44" i="10"/>
  <c r="H44" i="10"/>
  <c r="G48" i="22"/>
  <c r="AA4" i="20" s="1"/>
  <c r="W4" i="20"/>
  <c r="H48" i="22"/>
  <c r="AB4" i="20" s="1"/>
  <c r="X4" i="20"/>
  <c r="Z35" i="22"/>
  <c r="R36" i="22"/>
  <c r="R37" i="22"/>
  <c r="F52" i="4"/>
  <c r="N41" i="22"/>
  <c r="Q40" i="2"/>
  <c r="E43" i="8"/>
  <c r="K53" i="4" s="1"/>
  <c r="E42" i="28" s="1"/>
  <c r="I50" i="4"/>
  <c r="P39" i="2"/>
  <c r="E44" i="7"/>
  <c r="J39" i="2"/>
  <c r="D50" i="4"/>
  <c r="A45" i="8"/>
  <c r="D51" i="4"/>
  <c r="J40" i="2"/>
  <c r="J52" i="4"/>
  <c r="A46" i="7"/>
  <c r="W37" i="22"/>
  <c r="Y37" i="22" s="1"/>
  <c r="G37" i="2"/>
  <c r="W36" i="22"/>
  <c r="Y36" i="22" s="1"/>
  <c r="T38" i="22"/>
  <c r="C49" i="22"/>
  <c r="G49" i="22" s="1"/>
  <c r="D49" i="22"/>
  <c r="H49" i="22" s="1"/>
  <c r="C48" i="2"/>
  <c r="C48" i="23" s="1"/>
  <c r="E47" i="2"/>
  <c r="A48" i="18"/>
  <c r="A47" i="16"/>
  <c r="A46" i="15"/>
  <c r="A46" i="14"/>
  <c r="A46" i="13"/>
  <c r="A49" i="12"/>
  <c r="A47" i="11"/>
  <c r="A45" i="10"/>
  <c r="A54" i="4"/>
  <c r="S38" i="22" l="1"/>
  <c r="AD37" i="31"/>
  <c r="N43" i="31"/>
  <c r="N45" i="33"/>
  <c r="U44" i="33"/>
  <c r="AD44" i="33" s="1"/>
  <c r="S44" i="33"/>
  <c r="T44" i="33"/>
  <c r="AC44" i="33" s="1"/>
  <c r="AE40" i="33"/>
  <c r="AF40" i="33" s="1"/>
  <c r="AG40" i="33"/>
  <c r="R43" i="33"/>
  <c r="X43" i="33"/>
  <c r="AA42" i="33"/>
  <c r="F35" i="34"/>
  <c r="H35" i="34" s="1"/>
  <c r="G35" i="34"/>
  <c r="T42" i="33"/>
  <c r="AC42" i="33" s="1"/>
  <c r="U42" i="33"/>
  <c r="AD42" i="33" s="1"/>
  <c r="S42" i="33"/>
  <c r="AF39" i="33"/>
  <c r="AF41" i="34" s="1"/>
  <c r="AE41" i="34"/>
  <c r="G34" i="34"/>
  <c r="F34" i="34"/>
  <c r="H34" i="34" s="1"/>
  <c r="Z32" i="31"/>
  <c r="AE32" i="31" s="1"/>
  <c r="U32" i="26"/>
  <c r="P34" i="31"/>
  <c r="T38" i="31"/>
  <c r="W38" i="31"/>
  <c r="U38" i="31"/>
  <c r="Z33" i="31"/>
  <c r="AE33" i="31" s="1"/>
  <c r="I36" i="23"/>
  <c r="K36" i="23" s="1"/>
  <c r="M36" i="23" s="1"/>
  <c r="M38" i="31"/>
  <c r="AA38" i="31" s="1"/>
  <c r="F37" i="2"/>
  <c r="O39" i="31"/>
  <c r="U33" i="26"/>
  <c r="P35" i="31"/>
  <c r="F42" i="28"/>
  <c r="G42" i="28" s="1"/>
  <c r="O39" i="22"/>
  <c r="Q39" i="22" s="1"/>
  <c r="T39" i="22"/>
  <c r="N42" i="22"/>
  <c r="D47" i="2"/>
  <c r="C47" i="28"/>
  <c r="D43" i="29"/>
  <c r="G43" i="29" s="1"/>
  <c r="C43" i="29"/>
  <c r="E43" i="29"/>
  <c r="H43" i="29" s="1"/>
  <c r="M42" i="26"/>
  <c r="E52" i="4"/>
  <c r="J41" i="2" s="1"/>
  <c r="I40" i="2"/>
  <c r="L40" i="2" s="1"/>
  <c r="O39" i="2"/>
  <c r="R39" i="2" s="1"/>
  <c r="J42" i="26"/>
  <c r="L40" i="22"/>
  <c r="L38" i="2"/>
  <c r="S38" i="2" s="1"/>
  <c r="J38" i="23" s="1"/>
  <c r="I39" i="2"/>
  <c r="L39" i="2" s="1"/>
  <c r="D42" i="17"/>
  <c r="P40" i="2"/>
  <c r="M42" i="22" s="1"/>
  <c r="K40" i="22"/>
  <c r="D42" i="6"/>
  <c r="G38" i="2"/>
  <c r="I51" i="4"/>
  <c r="L51" i="4" s="1"/>
  <c r="H51" i="4" s="1"/>
  <c r="P38" i="22"/>
  <c r="V38" i="22" s="1"/>
  <c r="X38" i="22" s="1"/>
  <c r="I36" i="26"/>
  <c r="G42" i="6"/>
  <c r="L42" i="26"/>
  <c r="E42" i="6"/>
  <c r="N42" i="26"/>
  <c r="T35" i="26"/>
  <c r="T34" i="26"/>
  <c r="K42" i="26"/>
  <c r="H48" i="23"/>
  <c r="F48" i="23"/>
  <c r="E48" i="23"/>
  <c r="D48" i="23"/>
  <c r="G48" i="23"/>
  <c r="H42" i="6"/>
  <c r="Q42" i="2" s="1"/>
  <c r="E42" i="17"/>
  <c r="F42" i="6"/>
  <c r="G42" i="17"/>
  <c r="C42" i="17"/>
  <c r="C42" i="6"/>
  <c r="F42" i="17"/>
  <c r="D43" i="19"/>
  <c r="D43" i="17"/>
  <c r="F43" i="19"/>
  <c r="E43" i="17"/>
  <c r="G43" i="19"/>
  <c r="F43" i="17"/>
  <c r="H43" i="19"/>
  <c r="H43" i="17"/>
  <c r="C43" i="19"/>
  <c r="G43" i="17"/>
  <c r="E43" i="19"/>
  <c r="C43" i="17"/>
  <c r="M46" i="16"/>
  <c r="G43" i="6"/>
  <c r="H43" i="6"/>
  <c r="C43" i="6"/>
  <c r="D43" i="6"/>
  <c r="E43" i="6"/>
  <c r="F43" i="6"/>
  <c r="Q45" i="16"/>
  <c r="F43" i="24" s="1"/>
  <c r="P45" i="16"/>
  <c r="E43" i="24" s="1"/>
  <c r="R44" i="16"/>
  <c r="G42" i="24" s="1"/>
  <c r="L46" i="16"/>
  <c r="N45" i="16"/>
  <c r="C43" i="24" s="1"/>
  <c r="O45" i="16"/>
  <c r="D43" i="24" s="1"/>
  <c r="F47" i="16"/>
  <c r="H47" i="16"/>
  <c r="G47" i="16"/>
  <c r="D47" i="16"/>
  <c r="E47" i="16"/>
  <c r="C47" i="16"/>
  <c r="L47" i="16" s="1"/>
  <c r="I46" i="16"/>
  <c r="E45" i="10"/>
  <c r="F45" i="10"/>
  <c r="G45" i="10"/>
  <c r="H45" i="10"/>
  <c r="C45" i="10"/>
  <c r="I45" i="10" s="1"/>
  <c r="D45" i="10"/>
  <c r="I48" i="22"/>
  <c r="AC4" i="20" s="1"/>
  <c r="Z37" i="22"/>
  <c r="Z36" i="22"/>
  <c r="K41" i="2"/>
  <c r="N43" i="22" s="1"/>
  <c r="F53" i="4"/>
  <c r="L50" i="4"/>
  <c r="H50" i="4" s="1"/>
  <c r="G50" i="4"/>
  <c r="C50" i="4" s="1"/>
  <c r="M41" i="22"/>
  <c r="A46" i="8"/>
  <c r="E44" i="8"/>
  <c r="J43" i="26" s="1"/>
  <c r="G51" i="4"/>
  <c r="C51" i="4" s="1"/>
  <c r="I52" i="4"/>
  <c r="P41" i="2"/>
  <c r="E45" i="7"/>
  <c r="A47" i="7"/>
  <c r="J53" i="4"/>
  <c r="I49" i="22"/>
  <c r="U38" i="22"/>
  <c r="C50" i="22"/>
  <c r="G50" i="22" s="1"/>
  <c r="D50" i="22"/>
  <c r="H50" i="22" s="1"/>
  <c r="C49" i="2"/>
  <c r="C49" i="23" s="1"/>
  <c r="E48" i="2"/>
  <c r="U39" i="22"/>
  <c r="Q38" i="22"/>
  <c r="W38" i="22" s="1"/>
  <c r="Y38" i="22" s="1"/>
  <c r="A49" i="18"/>
  <c r="A48" i="16"/>
  <c r="A47" i="15"/>
  <c r="A47" i="14"/>
  <c r="A47" i="13"/>
  <c r="A50" i="12"/>
  <c r="A48" i="11"/>
  <c r="A46" i="10"/>
  <c r="A55" i="4"/>
  <c r="P39" i="22" l="1"/>
  <c r="R39" i="22" s="1"/>
  <c r="P36" i="23"/>
  <c r="O36" i="23"/>
  <c r="I37" i="26"/>
  <c r="N44" i="31"/>
  <c r="N46" i="33"/>
  <c r="V42" i="33"/>
  <c r="W42" i="33" s="1"/>
  <c r="AB42" i="33"/>
  <c r="T43" i="33"/>
  <c r="AC43" i="33" s="1"/>
  <c r="U43" i="33"/>
  <c r="AD43" i="33" s="1"/>
  <c r="S43" i="33"/>
  <c r="V44" i="33"/>
  <c r="W44" i="33" s="1"/>
  <c r="AB44" i="33"/>
  <c r="AE44" i="33" s="1"/>
  <c r="AF44" i="33" s="1"/>
  <c r="P45" i="33"/>
  <c r="Y45" i="33" s="1"/>
  <c r="O45" i="33"/>
  <c r="Q45" i="33"/>
  <c r="Z45" i="33" s="1"/>
  <c r="G32" i="34"/>
  <c r="F32" i="34"/>
  <c r="H32" i="34" s="1"/>
  <c r="AA43" i="33"/>
  <c r="X35" i="31"/>
  <c r="R35" i="31"/>
  <c r="S35" i="31"/>
  <c r="Y35" i="31"/>
  <c r="V35" i="31"/>
  <c r="T39" i="31"/>
  <c r="U39" i="31"/>
  <c r="W39" i="31"/>
  <c r="F38" i="2"/>
  <c r="O40" i="31"/>
  <c r="AC38" i="31"/>
  <c r="AB38" i="31"/>
  <c r="S34" i="31"/>
  <c r="Y34" i="31"/>
  <c r="R34" i="31"/>
  <c r="X34" i="31"/>
  <c r="V34" i="31"/>
  <c r="U34" i="26"/>
  <c r="P36" i="31"/>
  <c r="L36" i="23"/>
  <c r="N36" i="23"/>
  <c r="I37" i="23"/>
  <c r="K37" i="23" s="1"/>
  <c r="M39" i="31"/>
  <c r="AA39" i="31" s="1"/>
  <c r="U35" i="26"/>
  <c r="P37" i="31"/>
  <c r="W39" i="22"/>
  <c r="Y39" i="22" s="1"/>
  <c r="D48" i="2"/>
  <c r="C48" i="28"/>
  <c r="D52" i="4"/>
  <c r="G52" i="4" s="1"/>
  <c r="C52" i="4" s="1"/>
  <c r="E44" i="29"/>
  <c r="H44" i="29" s="1"/>
  <c r="C44" i="29"/>
  <c r="D44" i="29"/>
  <c r="G44" i="29" s="1"/>
  <c r="F43" i="29"/>
  <c r="I43" i="29"/>
  <c r="F43" i="28"/>
  <c r="G43" i="28" s="1"/>
  <c r="L41" i="22"/>
  <c r="J40" i="22"/>
  <c r="H39" i="2"/>
  <c r="O40" i="2"/>
  <c r="O41" i="2"/>
  <c r="R41" i="2" s="1"/>
  <c r="N39" i="2"/>
  <c r="M39" i="2" s="1"/>
  <c r="D39" i="28" s="1"/>
  <c r="H39" i="28" s="1"/>
  <c r="H40" i="2"/>
  <c r="G40" i="2" s="1"/>
  <c r="O42" i="31" s="1"/>
  <c r="E53" i="4"/>
  <c r="D53" i="4" s="1"/>
  <c r="L43" i="26"/>
  <c r="N43" i="26"/>
  <c r="K43" i="26"/>
  <c r="P37" i="26"/>
  <c r="O37" i="26"/>
  <c r="S37" i="26"/>
  <c r="Q37" i="26"/>
  <c r="R37" i="26"/>
  <c r="M43" i="26"/>
  <c r="S36" i="26"/>
  <c r="P36" i="26"/>
  <c r="Q36" i="26"/>
  <c r="R36" i="26"/>
  <c r="O36" i="26"/>
  <c r="F49" i="23"/>
  <c r="H49" i="23"/>
  <c r="G49" i="23"/>
  <c r="D49" i="23"/>
  <c r="E49" i="23"/>
  <c r="D44" i="17"/>
  <c r="F44" i="19"/>
  <c r="F44" i="17"/>
  <c r="H44" i="19"/>
  <c r="G44" i="17"/>
  <c r="H44" i="17"/>
  <c r="D44" i="19"/>
  <c r="E44" i="19"/>
  <c r="C44" i="17"/>
  <c r="G44" i="19"/>
  <c r="E44" i="17"/>
  <c r="C44" i="19"/>
  <c r="R45" i="16"/>
  <c r="G43" i="24" s="1"/>
  <c r="M47" i="16"/>
  <c r="O46" i="16"/>
  <c r="D44" i="24" s="1"/>
  <c r="N46" i="16"/>
  <c r="C44" i="24" s="1"/>
  <c r="E44" i="6"/>
  <c r="F44" i="6"/>
  <c r="C44" i="6"/>
  <c r="D44" i="6"/>
  <c r="G44" i="6"/>
  <c r="H44" i="6"/>
  <c r="N47" i="16"/>
  <c r="C45" i="24" s="1"/>
  <c r="O47" i="16"/>
  <c r="D45" i="24" s="1"/>
  <c r="Q46" i="16"/>
  <c r="F44" i="24" s="1"/>
  <c r="P46" i="16"/>
  <c r="E44" i="24" s="1"/>
  <c r="I47" i="16"/>
  <c r="H48" i="16"/>
  <c r="C48" i="16"/>
  <c r="D48" i="16"/>
  <c r="E48" i="16"/>
  <c r="F48" i="16"/>
  <c r="M48" i="16" s="1"/>
  <c r="G48" i="16"/>
  <c r="G46" i="10"/>
  <c r="H46" i="10"/>
  <c r="E46" i="10"/>
  <c r="C46" i="10"/>
  <c r="D46" i="10"/>
  <c r="F46" i="10"/>
  <c r="R38" i="22"/>
  <c r="K42" i="2"/>
  <c r="N44" i="22" s="1"/>
  <c r="S39" i="2"/>
  <c r="J39" i="23" s="1"/>
  <c r="E45" i="8"/>
  <c r="F55" i="4" s="1"/>
  <c r="N48" i="33" s="1"/>
  <c r="K54" i="4"/>
  <c r="E43" i="28" s="1"/>
  <c r="F54" i="4"/>
  <c r="A47" i="8"/>
  <c r="I53" i="4"/>
  <c r="P42" i="2"/>
  <c r="A48" i="7"/>
  <c r="E46" i="7"/>
  <c r="V39" i="22"/>
  <c r="X39" i="22" s="1"/>
  <c r="I50" i="22"/>
  <c r="N40" i="2"/>
  <c r="C51" i="22"/>
  <c r="G51" i="22" s="1"/>
  <c r="D51" i="22"/>
  <c r="H51" i="22" s="1"/>
  <c r="C50" i="2"/>
  <c r="C50" i="23" s="1"/>
  <c r="E49" i="2"/>
  <c r="Z38" i="22"/>
  <c r="M43" i="22"/>
  <c r="L52" i="4"/>
  <c r="H52" i="4" s="1"/>
  <c r="A50" i="18"/>
  <c r="A49" i="16"/>
  <c r="A48" i="15"/>
  <c r="A48" i="14"/>
  <c r="A48" i="13"/>
  <c r="A51" i="12"/>
  <c r="A49" i="11"/>
  <c r="A47" i="10"/>
  <c r="A56" i="4"/>
  <c r="AD38" i="31" l="1"/>
  <c r="AG44" i="33"/>
  <c r="P48" i="33"/>
  <c r="Y48" i="33" s="1"/>
  <c r="Q48" i="33"/>
  <c r="Z48" i="33" s="1"/>
  <c r="O48" i="33"/>
  <c r="AE42" i="33"/>
  <c r="AF42" i="33" s="1"/>
  <c r="AG42" i="33"/>
  <c r="N45" i="31"/>
  <c r="N47" i="33"/>
  <c r="R45" i="33"/>
  <c r="X45" i="33"/>
  <c r="V43" i="33"/>
  <c r="W43" i="33" s="1"/>
  <c r="AB43" i="33"/>
  <c r="O46" i="33"/>
  <c r="P46" i="33"/>
  <c r="Y46" i="33" s="1"/>
  <c r="Q46" i="33"/>
  <c r="Z46" i="33" s="1"/>
  <c r="Z34" i="31"/>
  <c r="AE34" i="31" s="1"/>
  <c r="E46" i="29"/>
  <c r="H46" i="29" s="1"/>
  <c r="N46" i="31"/>
  <c r="U42" i="31"/>
  <c r="W42" i="31"/>
  <c r="T42" i="31"/>
  <c r="S36" i="31"/>
  <c r="V36" i="31"/>
  <c r="Y36" i="31"/>
  <c r="X36" i="31"/>
  <c r="R36" i="31"/>
  <c r="W40" i="31"/>
  <c r="U40" i="31"/>
  <c r="T40" i="31"/>
  <c r="J42" i="2"/>
  <c r="AC39" i="31"/>
  <c r="AB39" i="31"/>
  <c r="I38" i="23"/>
  <c r="K38" i="23" s="1"/>
  <c r="M38" i="23" s="1"/>
  <c r="M40" i="31"/>
  <c r="AA40" i="31" s="1"/>
  <c r="Z35" i="31"/>
  <c r="AE35" i="31" s="1"/>
  <c r="V37" i="31"/>
  <c r="S37" i="31"/>
  <c r="X37" i="31"/>
  <c r="Y37" i="31"/>
  <c r="R37" i="31"/>
  <c r="M37" i="23"/>
  <c r="N37" i="23"/>
  <c r="L37" i="23"/>
  <c r="O37" i="23"/>
  <c r="P37" i="23"/>
  <c r="N44" i="26"/>
  <c r="K41" i="22"/>
  <c r="J41" i="22" s="1"/>
  <c r="D49" i="2"/>
  <c r="C49" i="28"/>
  <c r="F44" i="28"/>
  <c r="G44" i="28" s="1"/>
  <c r="G39" i="2"/>
  <c r="I41" i="2"/>
  <c r="L41" i="2" s="1"/>
  <c r="S41" i="2" s="1"/>
  <c r="J41" i="23" s="1"/>
  <c r="D46" i="29"/>
  <c r="G46" i="29" s="1"/>
  <c r="C46" i="29"/>
  <c r="D45" i="29"/>
  <c r="G45" i="29" s="1"/>
  <c r="C45" i="29"/>
  <c r="E45" i="29"/>
  <c r="H45" i="29" s="1"/>
  <c r="F44" i="29"/>
  <c r="I44" i="29"/>
  <c r="O40" i="22"/>
  <c r="S40" i="22"/>
  <c r="T40" i="22"/>
  <c r="R40" i="2"/>
  <c r="S40" i="2" s="1"/>
  <c r="J40" i="23" s="1"/>
  <c r="L42" i="22"/>
  <c r="I42" i="2"/>
  <c r="L42" i="2" s="1"/>
  <c r="K42" i="22"/>
  <c r="M44" i="26"/>
  <c r="T36" i="26"/>
  <c r="O42" i="2"/>
  <c r="H41" i="2"/>
  <c r="T37" i="26"/>
  <c r="J44" i="26"/>
  <c r="K44" i="26"/>
  <c r="L44" i="26"/>
  <c r="G50" i="23"/>
  <c r="E50" i="23"/>
  <c r="D50" i="23"/>
  <c r="F50" i="23"/>
  <c r="H50" i="23"/>
  <c r="H45" i="19"/>
  <c r="C45" i="19"/>
  <c r="D45" i="19"/>
  <c r="F45" i="19"/>
  <c r="G45" i="19"/>
  <c r="E45" i="19"/>
  <c r="R46" i="16"/>
  <c r="G44" i="24" s="1"/>
  <c r="P48" i="16"/>
  <c r="E46" i="24" s="1"/>
  <c r="Q48" i="16"/>
  <c r="F46" i="24" s="1"/>
  <c r="Q47" i="16"/>
  <c r="F45" i="24" s="1"/>
  <c r="P47" i="16"/>
  <c r="E45" i="24" s="1"/>
  <c r="L48" i="16"/>
  <c r="I48" i="16"/>
  <c r="C49" i="16"/>
  <c r="D49" i="16"/>
  <c r="E49" i="16"/>
  <c r="F49" i="16"/>
  <c r="H49" i="16"/>
  <c r="G49" i="16"/>
  <c r="I46" i="10"/>
  <c r="D45" i="17" s="1"/>
  <c r="C47" i="10"/>
  <c r="D47" i="10"/>
  <c r="E47" i="10"/>
  <c r="F47" i="10"/>
  <c r="G47" i="10"/>
  <c r="H47" i="10"/>
  <c r="Z39" i="22"/>
  <c r="K55" i="4"/>
  <c r="E44" i="28" s="1"/>
  <c r="E46" i="8"/>
  <c r="F56" i="4" s="1"/>
  <c r="N49" i="33" s="1"/>
  <c r="A48" i="8"/>
  <c r="E54" i="4"/>
  <c r="K43" i="2"/>
  <c r="J54" i="4"/>
  <c r="Q43" i="2"/>
  <c r="L53" i="4"/>
  <c r="H53" i="4" s="1"/>
  <c r="A49" i="7"/>
  <c r="E47" i="7"/>
  <c r="E55" i="4"/>
  <c r="K44" i="2"/>
  <c r="M40" i="2"/>
  <c r="N41" i="2"/>
  <c r="M41" i="2" s="1"/>
  <c r="C52" i="22"/>
  <c r="G52" i="22" s="1"/>
  <c r="D52" i="22"/>
  <c r="H52" i="22" s="1"/>
  <c r="C51" i="2"/>
  <c r="C51" i="23" s="1"/>
  <c r="E50" i="2"/>
  <c r="I51" i="22"/>
  <c r="S41" i="22"/>
  <c r="T41" i="22"/>
  <c r="M44" i="22"/>
  <c r="G53" i="4"/>
  <c r="C53" i="4" s="1"/>
  <c r="O41" i="22"/>
  <c r="I39" i="26" s="1"/>
  <c r="A51" i="18"/>
  <c r="A50" i="16"/>
  <c r="A49" i="15"/>
  <c r="A49" i="14"/>
  <c r="A49" i="13"/>
  <c r="A52" i="12"/>
  <c r="A50" i="11"/>
  <c r="A48" i="10"/>
  <c r="A57" i="4"/>
  <c r="L38" i="23" l="1"/>
  <c r="N38" i="23"/>
  <c r="P38" i="23"/>
  <c r="O49" i="33"/>
  <c r="P49" i="33"/>
  <c r="Y49" i="33" s="1"/>
  <c r="Q49" i="33"/>
  <c r="Z49" i="33" s="1"/>
  <c r="R46" i="33"/>
  <c r="X46" i="33"/>
  <c r="T45" i="33"/>
  <c r="AC45" i="33" s="1"/>
  <c r="U45" i="33"/>
  <c r="AD45" i="33" s="1"/>
  <c r="S45" i="33"/>
  <c r="Z37" i="31"/>
  <c r="AE37" i="31" s="1"/>
  <c r="AD39" i="31"/>
  <c r="AE43" i="33"/>
  <c r="AF43" i="33" s="1"/>
  <c r="AG43" i="33"/>
  <c r="O47" i="33"/>
  <c r="P47" i="33"/>
  <c r="Y47" i="33" s="1"/>
  <c r="Q47" i="33"/>
  <c r="Z47" i="33" s="1"/>
  <c r="R48" i="33"/>
  <c r="X48" i="33"/>
  <c r="AA48" i="33" s="1"/>
  <c r="AA45" i="33"/>
  <c r="F39" i="2"/>
  <c r="O41" i="31"/>
  <c r="U36" i="26"/>
  <c r="P38" i="31"/>
  <c r="O38" i="23"/>
  <c r="C47" i="29"/>
  <c r="F47" i="29" s="1"/>
  <c r="N47" i="31"/>
  <c r="Z36" i="31"/>
  <c r="AE36" i="31" s="1"/>
  <c r="AC40" i="31"/>
  <c r="AB40" i="31"/>
  <c r="U37" i="26"/>
  <c r="P39" i="31"/>
  <c r="D47" i="29"/>
  <c r="G47" i="29" s="1"/>
  <c r="E47" i="29"/>
  <c r="H47" i="29" s="1"/>
  <c r="F45" i="29"/>
  <c r="I45" i="29"/>
  <c r="F45" i="28"/>
  <c r="G45" i="28" s="1"/>
  <c r="G41" i="2"/>
  <c r="L43" i="22"/>
  <c r="F46" i="29"/>
  <c r="I46" i="29"/>
  <c r="D50" i="2"/>
  <c r="C50" i="28"/>
  <c r="F40" i="2"/>
  <c r="D40" i="28"/>
  <c r="H40" i="28" s="1"/>
  <c r="U40" i="22"/>
  <c r="Q40" i="22"/>
  <c r="W40" i="22" s="1"/>
  <c r="Y40" i="22" s="1"/>
  <c r="P40" i="22"/>
  <c r="I38" i="26"/>
  <c r="D41" i="28"/>
  <c r="H41" i="28" s="1"/>
  <c r="L44" i="22"/>
  <c r="R42" i="2"/>
  <c r="S42" i="2" s="1"/>
  <c r="J42" i="23" s="1"/>
  <c r="J42" i="22"/>
  <c r="F45" i="6"/>
  <c r="J45" i="26"/>
  <c r="N45" i="26"/>
  <c r="N42" i="2"/>
  <c r="M42" i="2" s="1"/>
  <c r="D42" i="28" s="1"/>
  <c r="H42" i="28" s="1"/>
  <c r="J55" i="4"/>
  <c r="I55" i="4" s="1"/>
  <c r="C45" i="17"/>
  <c r="K45" i="26"/>
  <c r="M45" i="26"/>
  <c r="E45" i="6"/>
  <c r="R39" i="26"/>
  <c r="P39" i="26"/>
  <c r="O39" i="26"/>
  <c r="S39" i="26"/>
  <c r="Q39" i="26"/>
  <c r="C45" i="6"/>
  <c r="F45" i="17"/>
  <c r="L45" i="26"/>
  <c r="E51" i="23"/>
  <c r="H51" i="23"/>
  <c r="F51" i="23"/>
  <c r="G51" i="23"/>
  <c r="D51" i="23"/>
  <c r="G45" i="17"/>
  <c r="H45" i="17"/>
  <c r="H45" i="6"/>
  <c r="E45" i="17"/>
  <c r="G45" i="6"/>
  <c r="D45" i="6"/>
  <c r="D46" i="19"/>
  <c r="E46" i="19"/>
  <c r="F46" i="19"/>
  <c r="H46" i="19"/>
  <c r="G46" i="19"/>
  <c r="C46" i="19"/>
  <c r="L49" i="16"/>
  <c r="N48" i="16"/>
  <c r="C46" i="24" s="1"/>
  <c r="O48" i="16"/>
  <c r="D46" i="24" s="1"/>
  <c r="R47" i="16"/>
  <c r="G45" i="24" s="1"/>
  <c r="M49" i="16"/>
  <c r="R48" i="16"/>
  <c r="G46" i="24" s="1"/>
  <c r="I49" i="16"/>
  <c r="D50" i="16"/>
  <c r="F50" i="16"/>
  <c r="G50" i="16"/>
  <c r="E50" i="16"/>
  <c r="H50" i="16"/>
  <c r="C50" i="16"/>
  <c r="L50" i="16" s="1"/>
  <c r="C48" i="10"/>
  <c r="D48" i="10"/>
  <c r="E48" i="10"/>
  <c r="F48" i="10"/>
  <c r="G48" i="10"/>
  <c r="H48" i="10"/>
  <c r="I47" i="10"/>
  <c r="D46" i="17" s="1"/>
  <c r="K56" i="4"/>
  <c r="E45" i="28" s="1"/>
  <c r="Q44" i="2"/>
  <c r="N46" i="22" s="1"/>
  <c r="N45" i="22"/>
  <c r="E48" i="7"/>
  <c r="E47" i="8"/>
  <c r="K57" i="4" s="1"/>
  <c r="E46" i="28" s="1"/>
  <c r="D54" i="4"/>
  <c r="J43" i="2"/>
  <c r="A49" i="8"/>
  <c r="I54" i="4"/>
  <c r="P43" i="2"/>
  <c r="D55" i="4"/>
  <c r="J44" i="2"/>
  <c r="A50" i="7"/>
  <c r="E56" i="4"/>
  <c r="K43" i="22"/>
  <c r="U41" i="22"/>
  <c r="C53" i="22"/>
  <c r="G53" i="22" s="1"/>
  <c r="D53" i="22"/>
  <c r="H53" i="22" s="1"/>
  <c r="C52" i="2"/>
  <c r="C52" i="23" s="1"/>
  <c r="E51" i="2"/>
  <c r="H42" i="2"/>
  <c r="G42" i="2" s="1"/>
  <c r="O44" i="31" s="1"/>
  <c r="I52" i="22"/>
  <c r="P41" i="22"/>
  <c r="V41" i="22" s="1"/>
  <c r="X41" i="22" s="1"/>
  <c r="Q41" i="22"/>
  <c r="W41" i="22" s="1"/>
  <c r="Y41" i="22" s="1"/>
  <c r="A52" i="18"/>
  <c r="A51" i="16"/>
  <c r="A50" i="15"/>
  <c r="A50" i="14"/>
  <c r="A50" i="13"/>
  <c r="A53" i="12"/>
  <c r="A51" i="11"/>
  <c r="A49" i="10"/>
  <c r="A58" i="4"/>
  <c r="AD40" i="31" l="1"/>
  <c r="T48" i="33"/>
  <c r="AC48" i="33" s="1"/>
  <c r="S48" i="33"/>
  <c r="U48" i="33"/>
  <c r="AD48" i="33" s="1"/>
  <c r="V45" i="33"/>
  <c r="W45" i="33" s="1"/>
  <c r="AB45" i="33"/>
  <c r="U46" i="33"/>
  <c r="AD46" i="33" s="1"/>
  <c r="T46" i="33"/>
  <c r="AC46" i="33" s="1"/>
  <c r="S46" i="33"/>
  <c r="R47" i="33"/>
  <c r="X47" i="33"/>
  <c r="AA46" i="33"/>
  <c r="R49" i="33"/>
  <c r="X49" i="33"/>
  <c r="I40" i="23"/>
  <c r="K40" i="23" s="1"/>
  <c r="L40" i="23" s="1"/>
  <c r="M42" i="31"/>
  <c r="F41" i="2"/>
  <c r="O43" i="31"/>
  <c r="Y39" i="31"/>
  <c r="X39" i="31"/>
  <c r="R39" i="31"/>
  <c r="V39" i="31"/>
  <c r="S39" i="31"/>
  <c r="T44" i="31"/>
  <c r="U44" i="31"/>
  <c r="W44" i="31"/>
  <c r="I47" i="29"/>
  <c r="T41" i="31"/>
  <c r="W41" i="31"/>
  <c r="U41" i="31"/>
  <c r="I39" i="23"/>
  <c r="K39" i="23" s="1"/>
  <c r="M41" i="31"/>
  <c r="AA41" i="31" s="1"/>
  <c r="J43" i="22"/>
  <c r="T43" i="22" s="1"/>
  <c r="Y38" i="31"/>
  <c r="X38" i="31"/>
  <c r="R38" i="31"/>
  <c r="V38" i="31"/>
  <c r="S38" i="31"/>
  <c r="N40" i="23"/>
  <c r="F42" i="2"/>
  <c r="K45" i="2"/>
  <c r="P44" i="2"/>
  <c r="M46" i="22" s="1"/>
  <c r="D51" i="2"/>
  <c r="C51" i="28"/>
  <c r="F46" i="28"/>
  <c r="G46" i="28" s="1"/>
  <c r="Q38" i="26"/>
  <c r="O38" i="26"/>
  <c r="R38" i="26"/>
  <c r="S38" i="26"/>
  <c r="P38" i="26"/>
  <c r="V40" i="22"/>
  <c r="X40" i="22" s="1"/>
  <c r="Z40" i="22" s="1"/>
  <c r="R40" i="22"/>
  <c r="I44" i="2"/>
  <c r="L44" i="2" s="1"/>
  <c r="I43" i="2"/>
  <c r="L43" i="2" s="1"/>
  <c r="O43" i="2"/>
  <c r="R43" i="2" s="1"/>
  <c r="J46" i="26"/>
  <c r="T42" i="22"/>
  <c r="S42" i="22"/>
  <c r="O42" i="22"/>
  <c r="O44" i="2"/>
  <c r="F46" i="17"/>
  <c r="K46" i="26"/>
  <c r="T39" i="26"/>
  <c r="G46" i="6"/>
  <c r="N46" i="26"/>
  <c r="F46" i="6"/>
  <c r="L46" i="26"/>
  <c r="M46" i="26"/>
  <c r="D46" i="6"/>
  <c r="E46" i="17"/>
  <c r="C46" i="17"/>
  <c r="E46" i="6"/>
  <c r="E52" i="23"/>
  <c r="F52" i="23"/>
  <c r="D52" i="23"/>
  <c r="H52" i="23"/>
  <c r="G52" i="23"/>
  <c r="C46" i="6"/>
  <c r="H46" i="6"/>
  <c r="G46" i="17"/>
  <c r="H46" i="17"/>
  <c r="D47" i="19"/>
  <c r="F47" i="19"/>
  <c r="G47" i="19"/>
  <c r="H47" i="19"/>
  <c r="C47" i="19"/>
  <c r="E47" i="19"/>
  <c r="Q45" i="2"/>
  <c r="N47" i="22" s="1"/>
  <c r="N50" i="16"/>
  <c r="C48" i="24" s="1"/>
  <c r="O50" i="16"/>
  <c r="D48" i="24" s="1"/>
  <c r="P49" i="16"/>
  <c r="E47" i="24" s="1"/>
  <c r="Q49" i="16"/>
  <c r="F47" i="24" s="1"/>
  <c r="M50" i="16"/>
  <c r="O49" i="16"/>
  <c r="D47" i="24" s="1"/>
  <c r="N49" i="16"/>
  <c r="C47" i="24" s="1"/>
  <c r="F51" i="16"/>
  <c r="G51" i="16"/>
  <c r="H51" i="16"/>
  <c r="C51" i="16"/>
  <c r="D51" i="16"/>
  <c r="E51" i="16"/>
  <c r="I50" i="16"/>
  <c r="I48" i="10"/>
  <c r="C47" i="6" s="1"/>
  <c r="E49" i="10"/>
  <c r="F49" i="10"/>
  <c r="G49" i="10"/>
  <c r="H49" i="10"/>
  <c r="C49" i="10"/>
  <c r="D49" i="10"/>
  <c r="J56" i="4"/>
  <c r="R41" i="22"/>
  <c r="F57" i="4"/>
  <c r="G54" i="4"/>
  <c r="C54" i="4" s="1"/>
  <c r="M45" i="22"/>
  <c r="L54" i="4"/>
  <c r="H54" i="4" s="1"/>
  <c r="A50" i="8"/>
  <c r="E48" i="8"/>
  <c r="N47" i="26" s="1"/>
  <c r="A51" i="7"/>
  <c r="J57" i="4"/>
  <c r="D56" i="4"/>
  <c r="J45" i="2"/>
  <c r="E49" i="7"/>
  <c r="K44" i="22"/>
  <c r="J44" i="22" s="1"/>
  <c r="I53" i="22"/>
  <c r="C54" i="22"/>
  <c r="G54" i="22" s="1"/>
  <c r="D54" i="22"/>
  <c r="H54" i="22" s="1"/>
  <c r="C53" i="2"/>
  <c r="C53" i="23" s="1"/>
  <c r="E52" i="2"/>
  <c r="G55" i="4"/>
  <c r="C55" i="4" s="1"/>
  <c r="L55" i="4"/>
  <c r="H55" i="4" s="1"/>
  <c r="Z41" i="22"/>
  <c r="A53" i="18"/>
  <c r="A52" i="16"/>
  <c r="A51" i="15"/>
  <c r="A51" i="14"/>
  <c r="A51" i="13"/>
  <c r="A54" i="12"/>
  <c r="A52" i="11"/>
  <c r="A50" i="10"/>
  <c r="A59" i="4"/>
  <c r="O40" i="23" l="1"/>
  <c r="P40" i="23"/>
  <c r="M40" i="23"/>
  <c r="N48" i="31"/>
  <c r="N50" i="33"/>
  <c r="L46" i="22"/>
  <c r="V46" i="33"/>
  <c r="W46" i="33" s="1"/>
  <c r="AB46" i="33"/>
  <c r="AA49" i="33"/>
  <c r="AA47" i="33"/>
  <c r="V48" i="33"/>
  <c r="W48" i="33" s="1"/>
  <c r="AB48" i="33"/>
  <c r="AE48" i="33" s="1"/>
  <c r="AF48" i="33" s="1"/>
  <c r="U49" i="33"/>
  <c r="AD49" i="33" s="1"/>
  <c r="T49" i="33"/>
  <c r="AC49" i="33" s="1"/>
  <c r="S49" i="33"/>
  <c r="T47" i="33"/>
  <c r="AC47" i="33" s="1"/>
  <c r="S47" i="33"/>
  <c r="U47" i="33"/>
  <c r="AD47" i="33" s="1"/>
  <c r="AE45" i="33"/>
  <c r="AF45" i="33" s="1"/>
  <c r="AG45" i="33"/>
  <c r="Z39" i="31"/>
  <c r="AE39" i="31" s="1"/>
  <c r="S43" i="22"/>
  <c r="U43" i="22" s="1"/>
  <c r="AC41" i="31"/>
  <c r="AB41" i="31"/>
  <c r="U39" i="26"/>
  <c r="P41" i="31"/>
  <c r="O43" i="22"/>
  <c r="Q43" i="22" s="1"/>
  <c r="W43" i="22" s="1"/>
  <c r="Y43" i="22" s="1"/>
  <c r="I41" i="23"/>
  <c r="K41" i="23" s="1"/>
  <c r="M43" i="31"/>
  <c r="AA43" i="31" s="1"/>
  <c r="I42" i="23"/>
  <c r="K42" i="23" s="1"/>
  <c r="O42" i="23" s="1"/>
  <c r="M44" i="31"/>
  <c r="T43" i="31"/>
  <c r="U43" i="31"/>
  <c r="W43" i="31"/>
  <c r="Z38" i="31"/>
  <c r="AE38" i="31" s="1"/>
  <c r="AC42" i="31"/>
  <c r="AB42" i="31"/>
  <c r="AA42" i="31"/>
  <c r="M39" i="23"/>
  <c r="P39" i="23"/>
  <c r="L39" i="23"/>
  <c r="N39" i="23"/>
  <c r="O39" i="23"/>
  <c r="R44" i="2"/>
  <c r="S44" i="2" s="1"/>
  <c r="J44" i="23" s="1"/>
  <c r="D52" i="2"/>
  <c r="C52" i="28"/>
  <c r="F47" i="28"/>
  <c r="G47" i="28" s="1"/>
  <c r="E48" i="29"/>
  <c r="H48" i="29" s="1"/>
  <c r="C48" i="29"/>
  <c r="D48" i="29"/>
  <c r="G48" i="29" s="1"/>
  <c r="L45" i="22"/>
  <c r="T38" i="26"/>
  <c r="E57" i="4"/>
  <c r="F47" i="6"/>
  <c r="L47" i="26"/>
  <c r="P45" i="2"/>
  <c r="M47" i="22" s="1"/>
  <c r="G47" i="17"/>
  <c r="U42" i="22"/>
  <c r="N43" i="2"/>
  <c r="M43" i="2" s="1"/>
  <c r="D43" i="28" s="1"/>
  <c r="H43" i="28" s="1"/>
  <c r="J47" i="26"/>
  <c r="P42" i="22"/>
  <c r="I40" i="26"/>
  <c r="Q42" i="22"/>
  <c r="W42" i="22" s="1"/>
  <c r="Y42" i="22" s="1"/>
  <c r="H44" i="2"/>
  <c r="G44" i="2" s="1"/>
  <c r="O46" i="31" s="1"/>
  <c r="I45" i="2"/>
  <c r="L45" i="2" s="1"/>
  <c r="H47" i="17"/>
  <c r="H43" i="2"/>
  <c r="G43" i="2" s="1"/>
  <c r="O45" i="31" s="1"/>
  <c r="Q46" i="2"/>
  <c r="K47" i="26"/>
  <c r="M47" i="26"/>
  <c r="H47" i="6"/>
  <c r="F47" i="17"/>
  <c r="G47" i="6"/>
  <c r="E47" i="17"/>
  <c r="T44" i="22"/>
  <c r="H53" i="23"/>
  <c r="E53" i="23"/>
  <c r="D53" i="23"/>
  <c r="F53" i="23"/>
  <c r="G53" i="23"/>
  <c r="E47" i="6"/>
  <c r="D47" i="17"/>
  <c r="D47" i="6"/>
  <c r="C47" i="17"/>
  <c r="F48" i="19"/>
  <c r="H48" i="19"/>
  <c r="D48" i="19"/>
  <c r="E48" i="19"/>
  <c r="C48" i="19"/>
  <c r="G48" i="19"/>
  <c r="M51" i="16"/>
  <c r="Q50" i="16"/>
  <c r="F48" i="24" s="1"/>
  <c r="P50" i="16"/>
  <c r="E48" i="24" s="1"/>
  <c r="R49" i="16"/>
  <c r="G47" i="24" s="1"/>
  <c r="L51" i="16"/>
  <c r="H52" i="16"/>
  <c r="C52" i="16"/>
  <c r="D52" i="16"/>
  <c r="F52" i="16"/>
  <c r="M52" i="16" s="1"/>
  <c r="G52" i="16"/>
  <c r="E52" i="16"/>
  <c r="I51" i="16"/>
  <c r="I49" i="10"/>
  <c r="E48" i="17" s="1"/>
  <c r="G50" i="10"/>
  <c r="H50" i="10"/>
  <c r="E50" i="10"/>
  <c r="C50" i="10"/>
  <c r="I50" i="10" s="1"/>
  <c r="D50" i="10"/>
  <c r="F50" i="10"/>
  <c r="I56" i="4"/>
  <c r="K46" i="2"/>
  <c r="S43" i="2"/>
  <c r="J43" i="23" s="1"/>
  <c r="K58" i="4"/>
  <c r="E47" i="28" s="1"/>
  <c r="F58" i="4"/>
  <c r="A51" i="8"/>
  <c r="E49" i="8"/>
  <c r="K59" i="4" s="1"/>
  <c r="E48" i="28" s="1"/>
  <c r="I57" i="4"/>
  <c r="P46" i="2"/>
  <c r="E50" i="7"/>
  <c r="A52" i="7"/>
  <c r="G56" i="4"/>
  <c r="C56" i="4" s="1"/>
  <c r="O44" i="22"/>
  <c r="S44" i="22"/>
  <c r="C55" i="22"/>
  <c r="G55" i="22" s="1"/>
  <c r="D55" i="22"/>
  <c r="H55" i="22" s="1"/>
  <c r="C54" i="2"/>
  <c r="C54" i="23" s="1"/>
  <c r="E53" i="2"/>
  <c r="I54" i="22"/>
  <c r="N44" i="2"/>
  <c r="M44" i="2" s="1"/>
  <c r="D44" i="28" s="1"/>
  <c r="H44" i="28" s="1"/>
  <c r="A54" i="18"/>
  <c r="A53" i="16"/>
  <c r="A52" i="15"/>
  <c r="A52" i="14"/>
  <c r="A52" i="13"/>
  <c r="A55" i="12"/>
  <c r="A53" i="11"/>
  <c r="A51" i="10"/>
  <c r="A60" i="4"/>
  <c r="N48" i="22" l="1"/>
  <c r="AH4" i="20" s="1"/>
  <c r="AD41" i="31"/>
  <c r="I41" i="26"/>
  <c r="P41" i="26" s="1"/>
  <c r="P43" i="22"/>
  <c r="V43" i="22" s="1"/>
  <c r="X43" i="22" s="1"/>
  <c r="P42" i="23"/>
  <c r="AG48" i="33"/>
  <c r="V47" i="33"/>
  <c r="W47" i="33" s="1"/>
  <c r="AB47" i="33"/>
  <c r="N49" i="31"/>
  <c r="N51" i="33"/>
  <c r="N42" i="23"/>
  <c r="V49" i="33"/>
  <c r="W49" i="33" s="1"/>
  <c r="AB49" i="33"/>
  <c r="O50" i="33"/>
  <c r="Q50" i="33"/>
  <c r="Z50" i="33" s="1"/>
  <c r="P50" i="33"/>
  <c r="Y50" i="33" s="1"/>
  <c r="M42" i="23"/>
  <c r="AE46" i="33"/>
  <c r="AF46" i="33" s="1"/>
  <c r="AG46" i="33"/>
  <c r="L42" i="23"/>
  <c r="AD42" i="31"/>
  <c r="AC44" i="31"/>
  <c r="AB44" i="31"/>
  <c r="AA44" i="31"/>
  <c r="U46" i="31"/>
  <c r="W46" i="31"/>
  <c r="T46" i="31"/>
  <c r="U38" i="26"/>
  <c r="P40" i="31"/>
  <c r="AC43" i="31"/>
  <c r="AB43" i="31"/>
  <c r="U45" i="31"/>
  <c r="W45" i="31"/>
  <c r="T45" i="31"/>
  <c r="N41" i="23"/>
  <c r="O41" i="23"/>
  <c r="P41" i="23"/>
  <c r="M41" i="23"/>
  <c r="L41" i="23"/>
  <c r="V41" i="31"/>
  <c r="S41" i="31"/>
  <c r="Y41" i="31"/>
  <c r="X41" i="31"/>
  <c r="R41" i="31"/>
  <c r="K45" i="22"/>
  <c r="J45" i="22" s="1"/>
  <c r="O45" i="22" s="1"/>
  <c r="F48" i="28"/>
  <c r="G48" i="28" s="1"/>
  <c r="D49" i="29"/>
  <c r="G49" i="29" s="1"/>
  <c r="C49" i="29"/>
  <c r="E49" i="29"/>
  <c r="H49" i="29" s="1"/>
  <c r="D53" i="2"/>
  <c r="C53" i="28"/>
  <c r="F48" i="29"/>
  <c r="I48" i="29"/>
  <c r="F43" i="2"/>
  <c r="J46" i="2"/>
  <c r="M48" i="22" s="1"/>
  <c r="AG4" i="20" s="1"/>
  <c r="O45" i="2"/>
  <c r="R45" i="2" s="1"/>
  <c r="S45" i="2" s="1"/>
  <c r="J45" i="23" s="1"/>
  <c r="J48" i="26"/>
  <c r="D57" i="4"/>
  <c r="G57" i="4" s="1"/>
  <c r="C57" i="4" s="1"/>
  <c r="K48" i="26"/>
  <c r="O40" i="26"/>
  <c r="Q40" i="26"/>
  <c r="P40" i="26"/>
  <c r="R40" i="26"/>
  <c r="S40" i="26"/>
  <c r="V42" i="22"/>
  <c r="X42" i="22" s="1"/>
  <c r="Z42" i="22" s="1"/>
  <c r="R42" i="22"/>
  <c r="H45" i="2"/>
  <c r="G45" i="2" s="1"/>
  <c r="O47" i="31" s="1"/>
  <c r="M48" i="26"/>
  <c r="O46" i="2"/>
  <c r="R46" i="2" s="1"/>
  <c r="Q44" i="22"/>
  <c r="W44" i="22" s="1"/>
  <c r="Y44" i="22" s="1"/>
  <c r="I42" i="26"/>
  <c r="L48" i="26"/>
  <c r="O41" i="26"/>
  <c r="F48" i="17"/>
  <c r="N48" i="26"/>
  <c r="D48" i="6"/>
  <c r="C48" i="6"/>
  <c r="F48" i="6"/>
  <c r="D48" i="17"/>
  <c r="E48" i="6"/>
  <c r="C48" i="17"/>
  <c r="H48" i="6"/>
  <c r="G48" i="17"/>
  <c r="F54" i="23"/>
  <c r="G54" i="23"/>
  <c r="H54" i="23"/>
  <c r="E54" i="23"/>
  <c r="D54" i="23"/>
  <c r="H48" i="17"/>
  <c r="G48" i="6"/>
  <c r="F49" i="17"/>
  <c r="H49" i="19"/>
  <c r="H49" i="17"/>
  <c r="C49" i="19"/>
  <c r="D49" i="19"/>
  <c r="D49" i="17"/>
  <c r="F49" i="19"/>
  <c r="G49" i="19"/>
  <c r="E49" i="17"/>
  <c r="G49" i="17"/>
  <c r="E49" i="19"/>
  <c r="C49" i="17"/>
  <c r="N51" i="16"/>
  <c r="C49" i="24" s="1"/>
  <c r="O51" i="16"/>
  <c r="D49" i="24" s="1"/>
  <c r="P52" i="16"/>
  <c r="E50" i="24" s="1"/>
  <c r="Q52" i="16"/>
  <c r="F50" i="24" s="1"/>
  <c r="L52" i="16"/>
  <c r="C49" i="6"/>
  <c r="D49" i="6"/>
  <c r="G49" i="6"/>
  <c r="H49" i="6"/>
  <c r="E49" i="6"/>
  <c r="F49" i="6"/>
  <c r="R50" i="16"/>
  <c r="G48" i="24" s="1"/>
  <c r="Q51" i="16"/>
  <c r="F49" i="24" s="1"/>
  <c r="P51" i="16"/>
  <c r="E49" i="24" s="1"/>
  <c r="I52" i="16"/>
  <c r="D53" i="16"/>
  <c r="E53" i="16"/>
  <c r="C53" i="16"/>
  <c r="L53" i="16" s="1"/>
  <c r="F53" i="16"/>
  <c r="G53" i="16"/>
  <c r="H53" i="16"/>
  <c r="C51" i="10"/>
  <c r="D51" i="10"/>
  <c r="E51" i="10"/>
  <c r="F51" i="10"/>
  <c r="G51" i="10"/>
  <c r="H51" i="10"/>
  <c r="L56" i="4"/>
  <c r="H56" i="4" s="1"/>
  <c r="N45" i="2" s="1"/>
  <c r="Z43" i="22"/>
  <c r="U44" i="22"/>
  <c r="S45" i="22"/>
  <c r="A52" i="8"/>
  <c r="E58" i="4"/>
  <c r="K47" i="2"/>
  <c r="J58" i="4"/>
  <c r="Q47" i="2"/>
  <c r="F59" i="4"/>
  <c r="E50" i="8"/>
  <c r="K60" i="4" s="1"/>
  <c r="E49" i="28" s="1"/>
  <c r="E51" i="7"/>
  <c r="A53" i="7"/>
  <c r="J59" i="4"/>
  <c r="P44" i="22"/>
  <c r="I55" i="22"/>
  <c r="C56" i="22"/>
  <c r="G56" i="22" s="1"/>
  <c r="D56" i="22"/>
  <c r="H56" i="22" s="1"/>
  <c r="C55" i="2"/>
  <c r="C55" i="23" s="1"/>
  <c r="E54" i="2"/>
  <c r="F44" i="2"/>
  <c r="K46" i="22"/>
  <c r="J46" i="22" s="1"/>
  <c r="L57" i="4"/>
  <c r="H57" i="4" s="1"/>
  <c r="A55" i="18"/>
  <c r="A54" i="16"/>
  <c r="A53" i="15"/>
  <c r="A53" i="14"/>
  <c r="A53" i="13"/>
  <c r="A56" i="12"/>
  <c r="A54" i="11"/>
  <c r="A52" i="10"/>
  <c r="A61" i="4"/>
  <c r="L47" i="22" l="1"/>
  <c r="M45" i="2"/>
  <c r="R43" i="22"/>
  <c r="T45" i="22"/>
  <c r="U45" i="22" s="1"/>
  <c r="AD43" i="31"/>
  <c r="S41" i="26"/>
  <c r="Q41" i="26"/>
  <c r="R41" i="26"/>
  <c r="AD44" i="31"/>
  <c r="Z41" i="31"/>
  <c r="AE41" i="31" s="1"/>
  <c r="AE47" i="33"/>
  <c r="AF47" i="33" s="1"/>
  <c r="AG47" i="33"/>
  <c r="N50" i="31"/>
  <c r="N52" i="33"/>
  <c r="R50" i="33"/>
  <c r="X50" i="33"/>
  <c r="Q51" i="33"/>
  <c r="Z51" i="33" s="1"/>
  <c r="P51" i="33"/>
  <c r="Y51" i="33" s="1"/>
  <c r="O51" i="33"/>
  <c r="AE49" i="33"/>
  <c r="AF49" i="33" s="1"/>
  <c r="AG49" i="33"/>
  <c r="I44" i="23"/>
  <c r="K44" i="23" s="1"/>
  <c r="L44" i="23" s="1"/>
  <c r="M46" i="31"/>
  <c r="I43" i="23"/>
  <c r="K43" i="23" s="1"/>
  <c r="P43" i="23" s="1"/>
  <c r="M45" i="31"/>
  <c r="R40" i="31"/>
  <c r="X40" i="31"/>
  <c r="S40" i="31"/>
  <c r="V40" i="31"/>
  <c r="Y40" i="31"/>
  <c r="W47" i="31"/>
  <c r="T47" i="31"/>
  <c r="U47" i="31"/>
  <c r="F49" i="29"/>
  <c r="I49" i="29"/>
  <c r="D54" i="2"/>
  <c r="C54" i="28"/>
  <c r="Q48" i="2"/>
  <c r="E50" i="29"/>
  <c r="H50" i="29" s="1"/>
  <c r="C50" i="29"/>
  <c r="D50" i="29"/>
  <c r="G50" i="29" s="1"/>
  <c r="F49" i="28"/>
  <c r="G49" i="28" s="1"/>
  <c r="F45" i="2"/>
  <c r="D45" i="28"/>
  <c r="H45" i="28" s="1"/>
  <c r="T40" i="26"/>
  <c r="I46" i="2"/>
  <c r="Q45" i="22"/>
  <c r="I43" i="26"/>
  <c r="K49" i="26"/>
  <c r="N49" i="26"/>
  <c r="M49" i="26"/>
  <c r="L49" i="26"/>
  <c r="Q42" i="26"/>
  <c r="P42" i="26"/>
  <c r="R42" i="26"/>
  <c r="O42" i="26"/>
  <c r="S42" i="26"/>
  <c r="J49" i="26"/>
  <c r="O44" i="23"/>
  <c r="N43" i="23"/>
  <c r="H55" i="23"/>
  <c r="E55" i="23"/>
  <c r="D55" i="23"/>
  <c r="F55" i="23"/>
  <c r="G55" i="23"/>
  <c r="D50" i="19"/>
  <c r="E50" i="19"/>
  <c r="F50" i="19"/>
  <c r="C50" i="19"/>
  <c r="H50" i="19"/>
  <c r="G50" i="19"/>
  <c r="K48" i="2"/>
  <c r="R51" i="16"/>
  <c r="G49" i="24" s="1"/>
  <c r="O52" i="16"/>
  <c r="D50" i="24" s="1"/>
  <c r="N52" i="16"/>
  <c r="C50" i="24" s="1"/>
  <c r="M53" i="16"/>
  <c r="R52" i="16"/>
  <c r="G50" i="24" s="1"/>
  <c r="N53" i="16"/>
  <c r="C51" i="24" s="1"/>
  <c r="O53" i="16"/>
  <c r="D51" i="24" s="1"/>
  <c r="D54" i="16"/>
  <c r="E54" i="16"/>
  <c r="F54" i="16"/>
  <c r="G54" i="16"/>
  <c r="H54" i="16"/>
  <c r="C54" i="16"/>
  <c r="I53" i="16"/>
  <c r="C52" i="10"/>
  <c r="D52" i="10"/>
  <c r="E52" i="10"/>
  <c r="F52" i="10"/>
  <c r="G52" i="10"/>
  <c r="H52" i="10"/>
  <c r="I51" i="10"/>
  <c r="D50" i="17" s="1"/>
  <c r="R44" i="22"/>
  <c r="E59" i="4"/>
  <c r="V44" i="22"/>
  <c r="X44" i="22" s="1"/>
  <c r="N49" i="22"/>
  <c r="P45" i="22"/>
  <c r="F60" i="4"/>
  <c r="E52" i="7"/>
  <c r="I58" i="4"/>
  <c r="P47" i="2"/>
  <c r="J47" i="2"/>
  <c r="D58" i="4"/>
  <c r="A53" i="8"/>
  <c r="E51" i="8"/>
  <c r="F61" i="4" s="1"/>
  <c r="N54" i="33" s="1"/>
  <c r="I59" i="4"/>
  <c r="P48" i="2"/>
  <c r="A54" i="7"/>
  <c r="J60" i="4"/>
  <c r="Q49" i="2"/>
  <c r="O46" i="22"/>
  <c r="K47" i="22"/>
  <c r="J47" i="22" s="1"/>
  <c r="C57" i="22"/>
  <c r="G57" i="22" s="1"/>
  <c r="D57" i="22"/>
  <c r="H57" i="22" s="1"/>
  <c r="E55" i="2"/>
  <c r="C56" i="2"/>
  <c r="C56" i="23" s="1"/>
  <c r="I56" i="22"/>
  <c r="T46" i="22"/>
  <c r="S46" i="22"/>
  <c r="H46" i="2"/>
  <c r="N46" i="2"/>
  <c r="M46" i="2" s="1"/>
  <c r="D46" i="28" s="1"/>
  <c r="H46" i="28" s="1"/>
  <c r="A56" i="18"/>
  <c r="A55" i="16"/>
  <c r="A54" i="15"/>
  <c r="A54" i="14"/>
  <c r="A54" i="13"/>
  <c r="A57" i="12"/>
  <c r="A55" i="11"/>
  <c r="A53" i="10"/>
  <c r="A62" i="4"/>
  <c r="W45" i="22" l="1"/>
  <c r="Y45" i="22" s="1"/>
  <c r="M43" i="23"/>
  <c r="L43" i="23"/>
  <c r="O43" i="23"/>
  <c r="P44" i="23"/>
  <c r="N44" i="23"/>
  <c r="M44" i="23"/>
  <c r="T41" i="26"/>
  <c r="P43" i="31" s="1"/>
  <c r="N51" i="31"/>
  <c r="N53" i="33"/>
  <c r="O54" i="33"/>
  <c r="P54" i="33"/>
  <c r="Y54" i="33" s="1"/>
  <c r="Q54" i="33"/>
  <c r="Z54" i="33" s="1"/>
  <c r="AA50" i="33"/>
  <c r="R51" i="33"/>
  <c r="X51" i="33"/>
  <c r="S50" i="33"/>
  <c r="U50" i="33"/>
  <c r="AD50" i="33" s="1"/>
  <c r="T50" i="33"/>
  <c r="AC50" i="33" s="1"/>
  <c r="P52" i="33"/>
  <c r="Y52" i="33" s="1"/>
  <c r="Q52" i="33"/>
  <c r="Z52" i="33" s="1"/>
  <c r="O52" i="33"/>
  <c r="I45" i="23"/>
  <c r="K45" i="23" s="1"/>
  <c r="N45" i="23" s="1"/>
  <c r="M47" i="31"/>
  <c r="U41" i="26"/>
  <c r="Z40" i="31"/>
  <c r="AE40" i="31" s="1"/>
  <c r="AC45" i="31"/>
  <c r="AB45" i="31"/>
  <c r="AA45" i="31"/>
  <c r="U40" i="26"/>
  <c r="P42" i="31"/>
  <c r="E52" i="29"/>
  <c r="H52" i="29" s="1"/>
  <c r="N52" i="31"/>
  <c r="AC46" i="31"/>
  <c r="AB46" i="31"/>
  <c r="AA46" i="31"/>
  <c r="F50" i="28"/>
  <c r="G50" i="28" s="1"/>
  <c r="M50" i="26"/>
  <c r="N50" i="22"/>
  <c r="N50" i="26"/>
  <c r="D52" i="29"/>
  <c r="G52" i="29" s="1"/>
  <c r="F50" i="29"/>
  <c r="I50" i="29"/>
  <c r="E51" i="29"/>
  <c r="H51" i="29" s="1"/>
  <c r="D51" i="29"/>
  <c r="G51" i="29" s="1"/>
  <c r="C51" i="29"/>
  <c r="C52" i="29"/>
  <c r="D55" i="2"/>
  <c r="C55" i="28"/>
  <c r="O45" i="23"/>
  <c r="O48" i="2"/>
  <c r="K50" i="26"/>
  <c r="L48" i="22"/>
  <c r="AF4" i="20" s="1"/>
  <c r="L46" i="2"/>
  <c r="S46" i="2" s="1"/>
  <c r="J46" i="23" s="1"/>
  <c r="AD4" i="25" s="1"/>
  <c r="O47" i="2"/>
  <c r="R47" i="2" s="1"/>
  <c r="K49" i="2"/>
  <c r="N51" i="22" s="1"/>
  <c r="I47" i="2"/>
  <c r="L47" i="2" s="1"/>
  <c r="J48" i="2"/>
  <c r="M50" i="22" s="1"/>
  <c r="H50" i="6"/>
  <c r="H50" i="17"/>
  <c r="P45" i="23"/>
  <c r="L50" i="26"/>
  <c r="L45" i="23"/>
  <c r="T42" i="26"/>
  <c r="R43" i="26"/>
  <c r="P43" i="26"/>
  <c r="S43" i="26"/>
  <c r="Q43" i="26"/>
  <c r="O43" i="26"/>
  <c r="P46" i="22"/>
  <c r="V46" i="22" s="1"/>
  <c r="X46" i="22" s="1"/>
  <c r="I44" i="26"/>
  <c r="J50" i="26"/>
  <c r="G50" i="6"/>
  <c r="F56" i="23"/>
  <c r="H56" i="23"/>
  <c r="G56" i="23"/>
  <c r="D56" i="23"/>
  <c r="E56" i="23"/>
  <c r="D50" i="6"/>
  <c r="E50" i="17"/>
  <c r="C50" i="17"/>
  <c r="C50" i="6"/>
  <c r="G50" i="17"/>
  <c r="F50" i="17"/>
  <c r="F50" i="6"/>
  <c r="E50" i="6"/>
  <c r="S47" i="22"/>
  <c r="D51" i="19"/>
  <c r="F51" i="19"/>
  <c r="G51" i="19"/>
  <c r="H51" i="19"/>
  <c r="C51" i="19"/>
  <c r="E51" i="19"/>
  <c r="L54" i="16"/>
  <c r="M54" i="16"/>
  <c r="P53" i="16"/>
  <c r="E51" i="24" s="1"/>
  <c r="Q53" i="16"/>
  <c r="F51" i="24" s="1"/>
  <c r="I54" i="16"/>
  <c r="F55" i="16"/>
  <c r="H55" i="16"/>
  <c r="G55" i="16"/>
  <c r="D55" i="16"/>
  <c r="E55" i="16"/>
  <c r="C55" i="16"/>
  <c r="I52" i="10"/>
  <c r="G51" i="17" s="1"/>
  <c r="E53" i="10"/>
  <c r="F53" i="10"/>
  <c r="G53" i="10"/>
  <c r="H53" i="10"/>
  <c r="C53" i="10"/>
  <c r="D53" i="10"/>
  <c r="Z44" i="22"/>
  <c r="R45" i="22"/>
  <c r="D59" i="4"/>
  <c r="V45" i="22"/>
  <c r="X45" i="22" s="1"/>
  <c r="E60" i="4"/>
  <c r="L58" i="4"/>
  <c r="H58" i="4" s="1"/>
  <c r="M49" i="22"/>
  <c r="O47" i="22"/>
  <c r="G58" i="4"/>
  <c r="C58" i="4" s="1"/>
  <c r="E53" i="7"/>
  <c r="E52" i="8"/>
  <c r="F62" i="4" s="1"/>
  <c r="N55" i="33" s="1"/>
  <c r="A54" i="8"/>
  <c r="K61" i="4"/>
  <c r="E50" i="28" s="1"/>
  <c r="E61" i="4"/>
  <c r="A55" i="7"/>
  <c r="I60" i="4"/>
  <c r="P49" i="2"/>
  <c r="Q46" i="22"/>
  <c r="W46" i="22" s="1"/>
  <c r="Y46" i="22" s="1"/>
  <c r="T47" i="22"/>
  <c r="K48" i="22"/>
  <c r="G46" i="2"/>
  <c r="C58" i="22"/>
  <c r="G58" i="22" s="1"/>
  <c r="D58" i="22"/>
  <c r="H58" i="22" s="1"/>
  <c r="E56" i="2"/>
  <c r="U46" i="22"/>
  <c r="I57" i="22"/>
  <c r="R48" i="2"/>
  <c r="L59" i="4"/>
  <c r="H59" i="4" s="1"/>
  <c r="A57" i="18"/>
  <c r="A56" i="16"/>
  <c r="A55" i="15"/>
  <c r="A55" i="14"/>
  <c r="A55" i="13"/>
  <c r="A56" i="11"/>
  <c r="A54" i="10"/>
  <c r="A63" i="4"/>
  <c r="M45" i="23" l="1"/>
  <c r="T51" i="33"/>
  <c r="AC51" i="33" s="1"/>
  <c r="S51" i="33"/>
  <c r="U51" i="33"/>
  <c r="AD51" i="33" s="1"/>
  <c r="R52" i="33"/>
  <c r="X52" i="33"/>
  <c r="R54" i="33"/>
  <c r="X54" i="33"/>
  <c r="V50" i="33"/>
  <c r="W50" i="33" s="1"/>
  <c r="AB50" i="33"/>
  <c r="P53" i="33"/>
  <c r="Y53" i="33" s="1"/>
  <c r="O53" i="33"/>
  <c r="Q53" i="33"/>
  <c r="Z53" i="33" s="1"/>
  <c r="Q55" i="33"/>
  <c r="Z55" i="33" s="1"/>
  <c r="P55" i="33"/>
  <c r="Y55" i="33" s="1"/>
  <c r="O55" i="33"/>
  <c r="AA51" i="33"/>
  <c r="D53" i="29"/>
  <c r="G53" i="29" s="1"/>
  <c r="N53" i="31"/>
  <c r="U42" i="26"/>
  <c r="P44" i="31"/>
  <c r="X42" i="31"/>
  <c r="V42" i="31"/>
  <c r="R42" i="31"/>
  <c r="Y42" i="31"/>
  <c r="S42" i="31"/>
  <c r="S43" i="31"/>
  <c r="V43" i="31"/>
  <c r="X43" i="31"/>
  <c r="Y43" i="31"/>
  <c r="R43" i="31"/>
  <c r="F46" i="2"/>
  <c r="O48" i="31"/>
  <c r="AC47" i="31"/>
  <c r="AB47" i="31"/>
  <c r="AA47" i="31"/>
  <c r="AD46" i="31"/>
  <c r="AD45" i="31"/>
  <c r="F51" i="29"/>
  <c r="I51" i="29"/>
  <c r="F51" i="28"/>
  <c r="G51" i="28" s="1"/>
  <c r="C53" i="29"/>
  <c r="F51" i="6"/>
  <c r="E53" i="29"/>
  <c r="H53" i="29" s="1"/>
  <c r="D56" i="2"/>
  <c r="C56" i="28"/>
  <c r="C51" i="6"/>
  <c r="F52" i="29"/>
  <c r="I52" i="29"/>
  <c r="K50" i="2"/>
  <c r="T43" i="26"/>
  <c r="L49" i="22"/>
  <c r="O49" i="2"/>
  <c r="U47" i="22"/>
  <c r="N47" i="2"/>
  <c r="M47" i="2" s="1"/>
  <c r="D47" i="28" s="1"/>
  <c r="H47" i="28" s="1"/>
  <c r="D51" i="17"/>
  <c r="E62" i="4"/>
  <c r="D62" i="4" s="1"/>
  <c r="H47" i="2"/>
  <c r="I48" i="2"/>
  <c r="L50" i="22" s="1"/>
  <c r="L51" i="26"/>
  <c r="D60" i="4"/>
  <c r="G60" i="4" s="1"/>
  <c r="C60" i="4" s="1"/>
  <c r="J61" i="4"/>
  <c r="P50" i="2" s="1"/>
  <c r="E51" i="6"/>
  <c r="K51" i="26"/>
  <c r="N51" i="26"/>
  <c r="P47" i="22"/>
  <c r="V47" i="22" s="1"/>
  <c r="X47" i="22" s="1"/>
  <c r="I45" i="26"/>
  <c r="R44" i="26"/>
  <c r="P44" i="26"/>
  <c r="S44" i="26"/>
  <c r="O44" i="26"/>
  <c r="Q44" i="26"/>
  <c r="J51" i="26"/>
  <c r="C51" i="17"/>
  <c r="M51" i="26"/>
  <c r="D51" i="6"/>
  <c r="H51" i="17"/>
  <c r="F51" i="17"/>
  <c r="G51" i="6"/>
  <c r="E51" i="17"/>
  <c r="H51" i="6"/>
  <c r="M55" i="16"/>
  <c r="Q55" i="16" s="1"/>
  <c r="F53" i="24" s="1"/>
  <c r="F52" i="19"/>
  <c r="H52" i="19"/>
  <c r="D52" i="19"/>
  <c r="E52" i="19"/>
  <c r="G52" i="19"/>
  <c r="C52" i="19"/>
  <c r="O54" i="16"/>
  <c r="D52" i="24" s="1"/>
  <c r="N54" i="16"/>
  <c r="C52" i="24" s="1"/>
  <c r="Q54" i="16"/>
  <c r="F52" i="24" s="1"/>
  <c r="P54" i="16"/>
  <c r="E52" i="24" s="1"/>
  <c r="R53" i="16"/>
  <c r="G51" i="24" s="1"/>
  <c r="L55" i="16"/>
  <c r="H56" i="16"/>
  <c r="C56" i="16"/>
  <c r="D56" i="16"/>
  <c r="E56" i="16"/>
  <c r="F56" i="16"/>
  <c r="G56" i="16"/>
  <c r="I55" i="16"/>
  <c r="G54" i="10"/>
  <c r="H54" i="10"/>
  <c r="C54" i="10"/>
  <c r="E54" i="10"/>
  <c r="D54" i="10"/>
  <c r="F54" i="10"/>
  <c r="I53" i="10"/>
  <c r="C52" i="17" s="1"/>
  <c r="J48" i="22"/>
  <c r="AE4" i="20"/>
  <c r="R46" i="22"/>
  <c r="Z45" i="22"/>
  <c r="G59" i="4"/>
  <c r="C59" i="4" s="1"/>
  <c r="J49" i="2"/>
  <c r="M51" i="22" s="1"/>
  <c r="S47" i="2"/>
  <c r="J47" i="23" s="1"/>
  <c r="Q47" i="22"/>
  <c r="W47" i="22" s="1"/>
  <c r="Y47" i="22" s="1"/>
  <c r="K62" i="4"/>
  <c r="E51" i="28" s="1"/>
  <c r="Q50" i="2"/>
  <c r="A55" i="8"/>
  <c r="E53" i="8"/>
  <c r="M52" i="26" s="1"/>
  <c r="E54" i="7"/>
  <c r="A56" i="7"/>
  <c r="D61" i="4"/>
  <c r="J50" i="2"/>
  <c r="Z46" i="22"/>
  <c r="N48" i="2"/>
  <c r="M48" i="2" s="1"/>
  <c r="D48" i="28" s="1"/>
  <c r="H48" i="28" s="1"/>
  <c r="I58" i="22"/>
  <c r="R49" i="2"/>
  <c r="L60" i="4"/>
  <c r="H60" i="4" s="1"/>
  <c r="A57" i="16"/>
  <c r="A56" i="15"/>
  <c r="A56" i="14"/>
  <c r="A56" i="13"/>
  <c r="A57" i="11"/>
  <c r="A55" i="10"/>
  <c r="A64" i="4"/>
  <c r="AD47" i="31" l="1"/>
  <c r="S52" i="33"/>
  <c r="AB52" i="33" s="1"/>
  <c r="T52" i="33"/>
  <c r="U52" i="33"/>
  <c r="AD52" i="33" s="1"/>
  <c r="R55" i="33"/>
  <c r="X55" i="33"/>
  <c r="R53" i="33"/>
  <c r="X53" i="33"/>
  <c r="AA54" i="33"/>
  <c r="U54" i="33"/>
  <c r="AD54" i="33" s="1"/>
  <c r="S54" i="33"/>
  <c r="T54" i="33"/>
  <c r="AC54" i="33" s="1"/>
  <c r="V51" i="33"/>
  <c r="W51" i="33" s="1"/>
  <c r="AB51" i="33"/>
  <c r="AE51" i="33" s="1"/>
  <c r="AF51" i="33" s="1"/>
  <c r="AE50" i="33"/>
  <c r="AF50" i="33" s="1"/>
  <c r="AG50" i="33"/>
  <c r="AA52" i="33"/>
  <c r="Z42" i="31"/>
  <c r="AE42" i="31" s="1"/>
  <c r="Z43" i="31"/>
  <c r="AE43" i="31" s="1"/>
  <c r="P55" i="16"/>
  <c r="E53" i="24" s="1"/>
  <c r="U43" i="26"/>
  <c r="P45" i="31"/>
  <c r="K49" i="22"/>
  <c r="J49" i="22" s="1"/>
  <c r="Y44" i="31"/>
  <c r="X44" i="31"/>
  <c r="R44" i="31"/>
  <c r="V44" i="31"/>
  <c r="S44" i="31"/>
  <c r="U48" i="31"/>
  <c r="T48" i="31"/>
  <c r="W48" i="31"/>
  <c r="I46" i="23"/>
  <c r="M48" i="31"/>
  <c r="AA48" i="31" s="1"/>
  <c r="I61" i="4"/>
  <c r="O50" i="2" s="1"/>
  <c r="R50" i="2" s="1"/>
  <c r="F52" i="28"/>
  <c r="G52" i="28" s="1"/>
  <c r="F53" i="29"/>
  <c r="I53" i="29"/>
  <c r="N52" i="22"/>
  <c r="J51" i="2"/>
  <c r="G47" i="2"/>
  <c r="L48" i="2"/>
  <c r="S48" i="2" s="1"/>
  <c r="J48" i="23" s="1"/>
  <c r="L52" i="26"/>
  <c r="I49" i="2"/>
  <c r="L51" i="22" s="1"/>
  <c r="H48" i="2"/>
  <c r="G48" i="2" s="1"/>
  <c r="I50" i="2"/>
  <c r="L50" i="2" s="1"/>
  <c r="K51" i="2"/>
  <c r="J52" i="26"/>
  <c r="J62" i="4"/>
  <c r="P51" i="2" s="1"/>
  <c r="N52" i="26"/>
  <c r="K52" i="26"/>
  <c r="T44" i="26"/>
  <c r="G52" i="6"/>
  <c r="D52" i="6"/>
  <c r="O45" i="26"/>
  <c r="R45" i="26"/>
  <c r="S45" i="26"/>
  <c r="Q45" i="26"/>
  <c r="P45" i="26"/>
  <c r="E52" i="6"/>
  <c r="E52" i="17"/>
  <c r="F52" i="6"/>
  <c r="D52" i="17"/>
  <c r="F52" i="17"/>
  <c r="H52" i="17"/>
  <c r="T48" i="22"/>
  <c r="AN4" i="20" s="1"/>
  <c r="C52" i="6"/>
  <c r="G52" i="17"/>
  <c r="H52" i="6"/>
  <c r="H53" i="19"/>
  <c r="C53" i="19"/>
  <c r="D53" i="19"/>
  <c r="F53" i="19"/>
  <c r="G53" i="19"/>
  <c r="E53" i="19"/>
  <c r="M56" i="16"/>
  <c r="P56" i="16" s="1"/>
  <c r="E54" i="24" s="1"/>
  <c r="N55" i="16"/>
  <c r="C53" i="24" s="1"/>
  <c r="O55" i="16"/>
  <c r="D53" i="24" s="1"/>
  <c r="R54" i="16"/>
  <c r="G52" i="24" s="1"/>
  <c r="R55" i="16"/>
  <c r="G53" i="24" s="1"/>
  <c r="L56" i="16"/>
  <c r="O48" i="22"/>
  <c r="I56" i="16"/>
  <c r="D57" i="16"/>
  <c r="C57" i="16"/>
  <c r="E57" i="16"/>
  <c r="F57" i="16"/>
  <c r="H57" i="16"/>
  <c r="G57" i="16"/>
  <c r="C55" i="10"/>
  <c r="D55" i="10"/>
  <c r="E55" i="10"/>
  <c r="F55" i="10"/>
  <c r="G55" i="10"/>
  <c r="H55" i="10"/>
  <c r="I51" i="2"/>
  <c r="I54" i="10"/>
  <c r="C53" i="17" s="1"/>
  <c r="S48" i="22"/>
  <c r="AD4" i="20"/>
  <c r="R47" i="22"/>
  <c r="E54" i="8"/>
  <c r="K64" i="4" s="1"/>
  <c r="E53" i="28" s="1"/>
  <c r="Q51" i="2"/>
  <c r="Z47" i="22"/>
  <c r="E55" i="7"/>
  <c r="K63" i="4"/>
  <c r="E52" i="28" s="1"/>
  <c r="F63" i="4"/>
  <c r="A56" i="8"/>
  <c r="A57" i="7"/>
  <c r="K50" i="22"/>
  <c r="J50" i="22" s="1"/>
  <c r="N49" i="2"/>
  <c r="M49" i="2" s="1"/>
  <c r="D49" i="28" s="1"/>
  <c r="H49" i="28" s="1"/>
  <c r="H49" i="2"/>
  <c r="M52" i="22"/>
  <c r="G61" i="4"/>
  <c r="C61" i="4" s="1"/>
  <c r="A58" i="16"/>
  <c r="A57" i="15"/>
  <c r="A57" i="14"/>
  <c r="A57" i="13"/>
  <c r="A56" i="10"/>
  <c r="A65" i="4"/>
  <c r="L61" i="4" l="1"/>
  <c r="H61" i="4" s="1"/>
  <c r="U53" i="33"/>
  <c r="AD53" i="33" s="1"/>
  <c r="S53" i="33"/>
  <c r="T53" i="33"/>
  <c r="AC53" i="33" s="1"/>
  <c r="V52" i="33"/>
  <c r="W52" i="33" s="1"/>
  <c r="AC52" i="33"/>
  <c r="AE52" i="33" s="1"/>
  <c r="AF52" i="33" s="1"/>
  <c r="N54" i="31"/>
  <c r="N56" i="33"/>
  <c r="AA55" i="33"/>
  <c r="T55" i="33"/>
  <c r="AC55" i="33" s="1"/>
  <c r="U55" i="33"/>
  <c r="AD55" i="33" s="1"/>
  <c r="S55" i="33"/>
  <c r="V54" i="33"/>
  <c r="W54" i="33" s="1"/>
  <c r="AB54" i="33"/>
  <c r="AA53" i="33"/>
  <c r="AG51" i="33"/>
  <c r="T49" i="22"/>
  <c r="O49" i="22"/>
  <c r="I47" i="26" s="1"/>
  <c r="F48" i="2"/>
  <c r="O50" i="31"/>
  <c r="U44" i="26"/>
  <c r="P46" i="31"/>
  <c r="Y45" i="31"/>
  <c r="X45" i="31"/>
  <c r="V45" i="31"/>
  <c r="S45" i="31"/>
  <c r="R45" i="31"/>
  <c r="F47" i="2"/>
  <c r="O49" i="31"/>
  <c r="AC48" i="31"/>
  <c r="AB48" i="31"/>
  <c r="K46" i="23"/>
  <c r="AC4" i="25"/>
  <c r="Z44" i="31"/>
  <c r="AE44" i="31" s="1"/>
  <c r="S49" i="22"/>
  <c r="L53" i="26"/>
  <c r="L52" i="22"/>
  <c r="F53" i="6"/>
  <c r="D53" i="6"/>
  <c r="E53" i="17"/>
  <c r="D54" i="29"/>
  <c r="G54" i="29" s="1"/>
  <c r="C54" i="29"/>
  <c r="E54" i="29"/>
  <c r="H54" i="29" s="1"/>
  <c r="F53" i="28"/>
  <c r="G53" i="28" s="1"/>
  <c r="U48" i="22"/>
  <c r="AO4" i="20" s="1"/>
  <c r="C53" i="6"/>
  <c r="D53" i="17"/>
  <c r="N53" i="22"/>
  <c r="Q56" i="16"/>
  <c r="F54" i="24" s="1"/>
  <c r="N50" i="2"/>
  <c r="M50" i="2" s="1"/>
  <c r="D50" i="28" s="1"/>
  <c r="H50" i="28" s="1"/>
  <c r="G49" i="2"/>
  <c r="L49" i="2"/>
  <c r="S49" i="2" s="1"/>
  <c r="J49" i="23" s="1"/>
  <c r="I62" i="4"/>
  <c r="Q48" i="22"/>
  <c r="AK4" i="20" s="1"/>
  <c r="I46" i="26"/>
  <c r="K53" i="26"/>
  <c r="N53" i="26"/>
  <c r="P49" i="22"/>
  <c r="V49" i="22" s="1"/>
  <c r="X49" i="22" s="1"/>
  <c r="F53" i="17"/>
  <c r="M53" i="26"/>
  <c r="T45" i="26"/>
  <c r="J53" i="26"/>
  <c r="E53" i="6"/>
  <c r="T50" i="22"/>
  <c r="H53" i="6"/>
  <c r="G53" i="17"/>
  <c r="H53" i="17"/>
  <c r="G53" i="6"/>
  <c r="D54" i="19"/>
  <c r="E54" i="19"/>
  <c r="F54" i="19"/>
  <c r="H54" i="19"/>
  <c r="C54" i="19"/>
  <c r="G54" i="19"/>
  <c r="N56" i="16"/>
  <c r="C54" i="24" s="1"/>
  <c r="O56" i="16"/>
  <c r="D54" i="24" s="1"/>
  <c r="M57" i="16"/>
  <c r="L57" i="16"/>
  <c r="AI4" i="20"/>
  <c r="P48" i="22"/>
  <c r="AJ4" i="20" s="1"/>
  <c r="I57" i="16"/>
  <c r="D58" i="16"/>
  <c r="F58" i="16"/>
  <c r="G58" i="16"/>
  <c r="E58" i="16"/>
  <c r="H58" i="16"/>
  <c r="C58" i="16"/>
  <c r="C56" i="10"/>
  <c r="D56" i="10"/>
  <c r="E56" i="10"/>
  <c r="F56" i="10"/>
  <c r="G56" i="10"/>
  <c r="H56" i="10"/>
  <c r="I55" i="10"/>
  <c r="D54" i="17" s="1"/>
  <c r="F64" i="4"/>
  <c r="E55" i="8"/>
  <c r="K54" i="26" s="1"/>
  <c r="A57" i="8"/>
  <c r="E63" i="4"/>
  <c r="K52" i="2"/>
  <c r="Q52" i="2"/>
  <c r="J63" i="4"/>
  <c r="E56" i="7"/>
  <c r="J64" i="4"/>
  <c r="O50" i="22"/>
  <c r="K51" i="22"/>
  <c r="J51" i="22" s="1"/>
  <c r="S50" i="22"/>
  <c r="S50" i="2"/>
  <c r="J50" i="23" s="1"/>
  <c r="H50" i="2"/>
  <c r="K52" i="22" s="1"/>
  <c r="L51" i="2"/>
  <c r="M53" i="22"/>
  <c r="G62" i="4"/>
  <c r="C62" i="4" s="1"/>
  <c r="A57" i="10"/>
  <c r="A66" i="4"/>
  <c r="Q49" i="22" l="1"/>
  <c r="R49" i="22" s="1"/>
  <c r="AD48" i="31"/>
  <c r="U49" i="22"/>
  <c r="J52" i="22"/>
  <c r="O52" i="22" s="1"/>
  <c r="N55" i="31"/>
  <c r="N57" i="33"/>
  <c r="Q53" i="2"/>
  <c r="P56" i="33"/>
  <c r="O56" i="33"/>
  <c r="X56" i="33" s="1"/>
  <c r="Q56" i="33"/>
  <c r="Z56" i="33" s="1"/>
  <c r="AE54" i="33"/>
  <c r="AF54" i="33" s="1"/>
  <c r="AG54" i="33"/>
  <c r="V53" i="33"/>
  <c r="W53" i="33" s="1"/>
  <c r="AB53" i="33"/>
  <c r="Z45" i="31"/>
  <c r="AE45" i="31" s="1"/>
  <c r="V55" i="33"/>
  <c r="W55" i="33" s="1"/>
  <c r="AB55" i="33"/>
  <c r="AG52" i="33"/>
  <c r="F49" i="2"/>
  <c r="O51" i="31"/>
  <c r="U49" i="31"/>
  <c r="W49" i="31"/>
  <c r="T49" i="31"/>
  <c r="I47" i="23"/>
  <c r="K47" i="23" s="1"/>
  <c r="M49" i="31"/>
  <c r="S46" i="31"/>
  <c r="R46" i="31"/>
  <c r="Y46" i="31"/>
  <c r="V46" i="31"/>
  <c r="X46" i="31"/>
  <c r="J28" i="25"/>
  <c r="J29" i="25"/>
  <c r="K29" i="25" s="1"/>
  <c r="T50" i="31"/>
  <c r="U50" i="31"/>
  <c r="W50" i="31"/>
  <c r="O46" i="23"/>
  <c r="AI4" i="25" s="1"/>
  <c r="M46" i="23"/>
  <c r="AG4" i="25" s="1"/>
  <c r="P46" i="23"/>
  <c r="AJ4" i="25" s="1"/>
  <c r="L46" i="23"/>
  <c r="AF4" i="25" s="1"/>
  <c r="AE4" i="25"/>
  <c r="N46" i="23"/>
  <c r="AH4" i="25" s="1"/>
  <c r="I48" i="23"/>
  <c r="K48" i="23" s="1"/>
  <c r="M50" i="31"/>
  <c r="U45" i="26"/>
  <c r="P47" i="31"/>
  <c r="E55" i="29"/>
  <c r="H55" i="29" s="1"/>
  <c r="D55" i="29"/>
  <c r="G55" i="29" s="1"/>
  <c r="C55" i="29"/>
  <c r="F54" i="29"/>
  <c r="I54" i="29"/>
  <c r="W48" i="22"/>
  <c r="Y48" i="22" s="1"/>
  <c r="AS4" i="20" s="1"/>
  <c r="F54" i="28"/>
  <c r="G54" i="28" s="1"/>
  <c r="N54" i="26"/>
  <c r="M54" i="26"/>
  <c r="H51" i="2"/>
  <c r="J54" i="26"/>
  <c r="O51" i="2"/>
  <c r="R51" i="2" s="1"/>
  <c r="S51" i="2" s="1"/>
  <c r="J51" i="23" s="1"/>
  <c r="L54" i="26"/>
  <c r="R56" i="16"/>
  <c r="G54" i="24" s="1"/>
  <c r="L62" i="4"/>
  <c r="H62" i="4" s="1"/>
  <c r="F54" i="6"/>
  <c r="G54" i="17"/>
  <c r="H54" i="17"/>
  <c r="S47" i="26"/>
  <c r="R47" i="26"/>
  <c r="P47" i="26"/>
  <c r="Q47" i="26"/>
  <c r="O47" i="26"/>
  <c r="Q50" i="22"/>
  <c r="W50" i="22" s="1"/>
  <c r="Y50" i="22" s="1"/>
  <c r="I48" i="26"/>
  <c r="C54" i="17"/>
  <c r="P46" i="26"/>
  <c r="R46" i="26"/>
  <c r="S46" i="26"/>
  <c r="O46" i="26"/>
  <c r="Q46" i="26"/>
  <c r="G54" i="6"/>
  <c r="E54" i="17"/>
  <c r="E54" i="6"/>
  <c r="D54" i="6"/>
  <c r="F54" i="17"/>
  <c r="C54" i="6"/>
  <c r="S51" i="22"/>
  <c r="H54" i="6"/>
  <c r="D55" i="19"/>
  <c r="F55" i="19"/>
  <c r="G55" i="19"/>
  <c r="H55" i="19"/>
  <c r="C55" i="19"/>
  <c r="E55" i="19"/>
  <c r="V48" i="22"/>
  <c r="R48" i="22"/>
  <c r="AL4" i="20" s="1"/>
  <c r="O57" i="16"/>
  <c r="D55" i="24" s="1"/>
  <c r="N57" i="16"/>
  <c r="C55" i="24" s="1"/>
  <c r="L58" i="16"/>
  <c r="P57" i="16"/>
  <c r="E55" i="24" s="1"/>
  <c r="Q57" i="16"/>
  <c r="F55" i="24" s="1"/>
  <c r="M58" i="16"/>
  <c r="I58" i="16"/>
  <c r="K53" i="2"/>
  <c r="N55" i="22" s="1"/>
  <c r="AQ4" i="20"/>
  <c r="E57" i="10"/>
  <c r="F57" i="10"/>
  <c r="G57" i="10"/>
  <c r="H57" i="10"/>
  <c r="C57" i="10"/>
  <c r="D57" i="10"/>
  <c r="I56" i="10"/>
  <c r="H55" i="6" s="1"/>
  <c r="U50" i="22"/>
  <c r="E64" i="4"/>
  <c r="N54" i="22"/>
  <c r="E57" i="7"/>
  <c r="E56" i="8"/>
  <c r="K66" i="4" s="1"/>
  <c r="E55" i="28" s="1"/>
  <c r="J52" i="2"/>
  <c r="D63" i="4"/>
  <c r="I63" i="4"/>
  <c r="P52" i="2"/>
  <c r="F65" i="4"/>
  <c r="K65" i="4"/>
  <c r="E54" i="28" s="1"/>
  <c r="T51" i="22"/>
  <c r="P50" i="22"/>
  <c r="I64" i="4"/>
  <c r="P53" i="2"/>
  <c r="W49" i="22"/>
  <c r="Y49" i="22" s="1"/>
  <c r="O51" i="22"/>
  <c r="G50" i="2"/>
  <c r="S52" i="22"/>
  <c r="T52" i="22"/>
  <c r="A67" i="4"/>
  <c r="R56" i="33" l="1"/>
  <c r="Y56" i="33"/>
  <c r="N56" i="31"/>
  <c r="N58" i="33"/>
  <c r="AE53" i="33"/>
  <c r="AF53" i="33" s="1"/>
  <c r="AG53" i="33"/>
  <c r="Q57" i="33"/>
  <c r="Z57" i="33" s="1"/>
  <c r="P57" i="33"/>
  <c r="Y57" i="33" s="1"/>
  <c r="O57" i="33"/>
  <c r="AE55" i="33"/>
  <c r="AF55" i="33" s="1"/>
  <c r="AG55" i="33"/>
  <c r="AA56" i="33"/>
  <c r="F50" i="2"/>
  <c r="O52" i="31"/>
  <c r="AC49" i="31"/>
  <c r="AB49" i="31"/>
  <c r="N47" i="23"/>
  <c r="O47" i="23"/>
  <c r="L47" i="23"/>
  <c r="M47" i="23"/>
  <c r="P47" i="23"/>
  <c r="AC50" i="31"/>
  <c r="AB50" i="31"/>
  <c r="M48" i="23"/>
  <c r="P48" i="23"/>
  <c r="L48" i="23"/>
  <c r="O48" i="23"/>
  <c r="N48" i="23"/>
  <c r="Z46" i="31"/>
  <c r="AE46" i="31" s="1"/>
  <c r="AA49" i="31"/>
  <c r="R47" i="31"/>
  <c r="X47" i="31"/>
  <c r="Y47" i="31"/>
  <c r="V47" i="31"/>
  <c r="S47" i="31"/>
  <c r="AA50" i="31"/>
  <c r="U51" i="31"/>
  <c r="T51" i="31"/>
  <c r="W51" i="31"/>
  <c r="I49" i="23"/>
  <c r="K49" i="23" s="1"/>
  <c r="M51" i="31"/>
  <c r="AA51" i="31" s="1"/>
  <c r="J55" i="26"/>
  <c r="M55" i="26"/>
  <c r="F55" i="29"/>
  <c r="I55" i="29"/>
  <c r="F55" i="28"/>
  <c r="G55" i="28" s="1"/>
  <c r="D56" i="29"/>
  <c r="G56" i="29" s="1"/>
  <c r="E56" i="29"/>
  <c r="H56" i="29" s="1"/>
  <c r="C56" i="29"/>
  <c r="U51" i="22"/>
  <c r="O52" i="2"/>
  <c r="R52" i="2" s="1"/>
  <c r="I52" i="2"/>
  <c r="T47" i="26"/>
  <c r="T46" i="26"/>
  <c r="N51" i="2"/>
  <c r="M51" i="2" s="1"/>
  <c r="D51" i="28" s="1"/>
  <c r="H51" i="28" s="1"/>
  <c r="O53" i="2"/>
  <c r="R53" i="2" s="1"/>
  <c r="D64" i="4"/>
  <c r="G64" i="4" s="1"/>
  <c r="C64" i="4" s="1"/>
  <c r="L53" i="22"/>
  <c r="K55" i="26"/>
  <c r="P51" i="22"/>
  <c r="V51" i="22" s="1"/>
  <c r="X51" i="22" s="1"/>
  <c r="I49" i="26"/>
  <c r="L55" i="26"/>
  <c r="P52" i="22"/>
  <c r="V52" i="22" s="1"/>
  <c r="X52" i="22" s="1"/>
  <c r="I50" i="26"/>
  <c r="N55" i="26"/>
  <c r="S48" i="26"/>
  <c r="P48" i="26"/>
  <c r="R48" i="26"/>
  <c r="O48" i="26"/>
  <c r="Q48" i="26"/>
  <c r="F55" i="6"/>
  <c r="E55" i="6"/>
  <c r="H55" i="17"/>
  <c r="Q55" i="2" s="1"/>
  <c r="D55" i="6"/>
  <c r="C55" i="17"/>
  <c r="D55" i="17"/>
  <c r="G55" i="6"/>
  <c r="G55" i="17"/>
  <c r="F55" i="17"/>
  <c r="E55" i="17"/>
  <c r="C55" i="6"/>
  <c r="AP4" i="20"/>
  <c r="X48" i="22"/>
  <c r="Z48" i="22" s="1"/>
  <c r="F56" i="19"/>
  <c r="H56" i="19"/>
  <c r="D56" i="19"/>
  <c r="E56" i="19"/>
  <c r="C56" i="19"/>
  <c r="G56" i="19"/>
  <c r="Q58" i="16"/>
  <c r="F56" i="24" s="1"/>
  <c r="P58" i="16"/>
  <c r="E56" i="24" s="1"/>
  <c r="R57" i="16"/>
  <c r="G55" i="24" s="1"/>
  <c r="N58" i="16"/>
  <c r="C56" i="24" s="1"/>
  <c r="O58" i="16"/>
  <c r="D56" i="24" s="1"/>
  <c r="I57" i="10"/>
  <c r="E56" i="17" s="1"/>
  <c r="Z49" i="22"/>
  <c r="R50" i="22"/>
  <c r="J53" i="2"/>
  <c r="F66" i="4"/>
  <c r="G63" i="4"/>
  <c r="C63" i="4" s="1"/>
  <c r="M54" i="22"/>
  <c r="E65" i="4"/>
  <c r="K54" i="2"/>
  <c r="L63" i="4"/>
  <c r="H63" i="4" s="1"/>
  <c r="E57" i="8"/>
  <c r="N56" i="26" s="1"/>
  <c r="J65" i="4"/>
  <c r="Q54" i="2"/>
  <c r="V50" i="22"/>
  <c r="X50" i="22" s="1"/>
  <c r="J66" i="4"/>
  <c r="Q51" i="22"/>
  <c r="U52" i="22"/>
  <c r="L64" i="4"/>
  <c r="H64" i="4" s="1"/>
  <c r="Q52" i="22"/>
  <c r="G51" i="2"/>
  <c r="O53" i="31" s="1"/>
  <c r="AD49" i="31" l="1"/>
  <c r="P58" i="33"/>
  <c r="Y58" i="33" s="1"/>
  <c r="O58" i="33"/>
  <c r="Q58" i="33"/>
  <c r="Z58" i="33" s="1"/>
  <c r="N57" i="31"/>
  <c r="N59" i="33"/>
  <c r="R57" i="33"/>
  <c r="X57" i="33"/>
  <c r="U56" i="33"/>
  <c r="AD56" i="33" s="1"/>
  <c r="T56" i="33"/>
  <c r="AC56" i="33" s="1"/>
  <c r="S56" i="33"/>
  <c r="U47" i="26"/>
  <c r="P49" i="31"/>
  <c r="Z47" i="31"/>
  <c r="AE47" i="31" s="1"/>
  <c r="AD50" i="31"/>
  <c r="T52" i="31"/>
  <c r="W52" i="31"/>
  <c r="U52" i="31"/>
  <c r="AC51" i="31"/>
  <c r="AB51" i="31"/>
  <c r="N49" i="23"/>
  <c r="M49" i="23"/>
  <c r="P49" i="23"/>
  <c r="L49" i="23"/>
  <c r="O49" i="23"/>
  <c r="T53" i="31"/>
  <c r="U53" i="31"/>
  <c r="W53" i="31"/>
  <c r="U46" i="26"/>
  <c r="P48" i="31"/>
  <c r="I50" i="23"/>
  <c r="K50" i="23" s="1"/>
  <c r="M52" i="31"/>
  <c r="L54" i="22"/>
  <c r="L52" i="2"/>
  <c r="F56" i="29"/>
  <c r="I56" i="29"/>
  <c r="C57" i="29"/>
  <c r="D57" i="29"/>
  <c r="G57" i="29" s="1"/>
  <c r="E57" i="29"/>
  <c r="H57" i="29" s="1"/>
  <c r="R51" i="22"/>
  <c r="F56" i="28"/>
  <c r="G56" i="28" s="1"/>
  <c r="F51" i="2"/>
  <c r="I53" i="2"/>
  <c r="L55" i="22" s="1"/>
  <c r="AR4" i="20"/>
  <c r="L56" i="26"/>
  <c r="E66" i="4"/>
  <c r="H53" i="2"/>
  <c r="H52" i="2"/>
  <c r="K53" i="22"/>
  <c r="J53" i="22" s="1"/>
  <c r="N52" i="2"/>
  <c r="M52" i="2" s="1"/>
  <c r="D52" i="28" s="1"/>
  <c r="H52" i="28" s="1"/>
  <c r="F56" i="17"/>
  <c r="M56" i="26"/>
  <c r="J56" i="26"/>
  <c r="T48" i="26"/>
  <c r="K56" i="26"/>
  <c r="O50" i="26"/>
  <c r="Q50" i="26"/>
  <c r="P50" i="26"/>
  <c r="S50" i="26"/>
  <c r="R50" i="26"/>
  <c r="S49" i="26"/>
  <c r="Q49" i="26"/>
  <c r="R49" i="26"/>
  <c r="P49" i="26"/>
  <c r="O49" i="26"/>
  <c r="H56" i="6"/>
  <c r="G56" i="6"/>
  <c r="D56" i="17"/>
  <c r="C56" i="17"/>
  <c r="C56" i="6"/>
  <c r="F56" i="6"/>
  <c r="H56" i="17"/>
  <c r="D56" i="6"/>
  <c r="E56" i="6"/>
  <c r="G56" i="17"/>
  <c r="R58" i="16"/>
  <c r="G56" i="24" s="1"/>
  <c r="AM4" i="20"/>
  <c r="AT4" i="20"/>
  <c r="Z50" i="22"/>
  <c r="R52" i="22"/>
  <c r="K55" i="2"/>
  <c r="N57" i="22" s="1"/>
  <c r="M55" i="22"/>
  <c r="S52" i="2"/>
  <c r="J52" i="23" s="1"/>
  <c r="N56" i="22"/>
  <c r="P54" i="2"/>
  <c r="I65" i="4"/>
  <c r="K67" i="4"/>
  <c r="E56" i="28" s="1"/>
  <c r="F67" i="4"/>
  <c r="J54" i="2"/>
  <c r="D65" i="4"/>
  <c r="W51" i="22"/>
  <c r="Y51" i="22" s="1"/>
  <c r="I66" i="4"/>
  <c r="P55" i="2"/>
  <c r="W52" i="22"/>
  <c r="Y52" i="22" s="1"/>
  <c r="N53" i="2"/>
  <c r="M53" i="2" s="1"/>
  <c r="D53" i="28" s="1"/>
  <c r="H53" i="28" s="1"/>
  <c r="AD51" i="31" l="1"/>
  <c r="N58" i="31"/>
  <c r="N60" i="33"/>
  <c r="K54" i="22"/>
  <c r="AA57" i="33"/>
  <c r="V56" i="33"/>
  <c r="W56" i="33" s="1"/>
  <c r="AB56" i="33"/>
  <c r="U57" i="33"/>
  <c r="AD57" i="33" s="1"/>
  <c r="T57" i="33"/>
  <c r="AC57" i="33" s="1"/>
  <c r="S57" i="33"/>
  <c r="R58" i="33"/>
  <c r="X58" i="33"/>
  <c r="O59" i="33"/>
  <c r="Q59" i="33"/>
  <c r="Z59" i="33" s="1"/>
  <c r="P59" i="33"/>
  <c r="Y59" i="33" s="1"/>
  <c r="AC52" i="31"/>
  <c r="AB52" i="31"/>
  <c r="L50" i="23"/>
  <c r="O50" i="23"/>
  <c r="M50" i="23"/>
  <c r="P50" i="23"/>
  <c r="N50" i="23"/>
  <c r="G52" i="2"/>
  <c r="O54" i="31" s="1"/>
  <c r="AA52" i="31"/>
  <c r="U48" i="26"/>
  <c r="P50" i="31"/>
  <c r="S48" i="31"/>
  <c r="Y48" i="31"/>
  <c r="R48" i="31"/>
  <c r="V48" i="31"/>
  <c r="X48" i="31"/>
  <c r="I51" i="23"/>
  <c r="K51" i="23" s="1"/>
  <c r="M53" i="31"/>
  <c r="V49" i="31"/>
  <c r="R49" i="31"/>
  <c r="Y49" i="31"/>
  <c r="X49" i="31"/>
  <c r="S49" i="31"/>
  <c r="G53" i="2"/>
  <c r="O55" i="31" s="1"/>
  <c r="L53" i="2"/>
  <c r="S53" i="2" s="1"/>
  <c r="J53" i="23" s="1"/>
  <c r="C58" i="29"/>
  <c r="D58" i="29"/>
  <c r="G58" i="29" s="1"/>
  <c r="E58" i="29"/>
  <c r="H58" i="29" s="1"/>
  <c r="F57" i="29"/>
  <c r="I57" i="29"/>
  <c r="T49" i="26"/>
  <c r="J55" i="2"/>
  <c r="M57" i="22" s="1"/>
  <c r="O55" i="2"/>
  <c r="R55" i="2" s="1"/>
  <c r="I54" i="2"/>
  <c r="L54" i="2" s="1"/>
  <c r="D66" i="4"/>
  <c r="G66" i="4" s="1"/>
  <c r="C66" i="4" s="1"/>
  <c r="T50" i="26"/>
  <c r="J28" i="20"/>
  <c r="J29" i="20"/>
  <c r="K29" i="20" s="1"/>
  <c r="Z52" i="22"/>
  <c r="Z51" i="22"/>
  <c r="M56" i="22"/>
  <c r="G65" i="4"/>
  <c r="C65" i="4" s="1"/>
  <c r="Q56" i="2"/>
  <c r="J67" i="4"/>
  <c r="O54" i="2"/>
  <c r="R54" i="2" s="1"/>
  <c r="L65" i="4"/>
  <c r="H65" i="4" s="1"/>
  <c r="K56" i="2"/>
  <c r="E67" i="4"/>
  <c r="K55" i="22"/>
  <c r="J55" i="22" s="1"/>
  <c r="S53" i="22"/>
  <c r="T53" i="22"/>
  <c r="L66" i="4"/>
  <c r="H66" i="4" s="1"/>
  <c r="O53" i="22"/>
  <c r="J54" i="22"/>
  <c r="F53" i="2" l="1"/>
  <c r="Z48" i="31"/>
  <c r="AE48" i="31" s="1"/>
  <c r="AD52" i="31"/>
  <c r="AA58" i="33"/>
  <c r="S58" i="33"/>
  <c r="U58" i="33"/>
  <c r="AD58" i="33" s="1"/>
  <c r="T58" i="33"/>
  <c r="AC58" i="33" s="1"/>
  <c r="AE56" i="33"/>
  <c r="AF56" i="33" s="1"/>
  <c r="AG56" i="33"/>
  <c r="V57" i="33"/>
  <c r="W57" i="33" s="1"/>
  <c r="AB57" i="33"/>
  <c r="P60" i="33"/>
  <c r="Y60" i="33" s="1"/>
  <c r="Q60" i="33"/>
  <c r="Z60" i="33" s="1"/>
  <c r="O60" i="33"/>
  <c r="R59" i="33"/>
  <c r="X59" i="33"/>
  <c r="U49" i="26"/>
  <c r="P51" i="31"/>
  <c r="W54" i="31"/>
  <c r="T54" i="31"/>
  <c r="U54" i="31"/>
  <c r="Z49" i="31"/>
  <c r="AE49" i="31" s="1"/>
  <c r="S50" i="31"/>
  <c r="R50" i="31"/>
  <c r="V50" i="31"/>
  <c r="X50" i="31"/>
  <c r="Y50" i="31"/>
  <c r="AC53" i="31"/>
  <c r="AB53" i="31"/>
  <c r="AA53" i="31"/>
  <c r="U50" i="26"/>
  <c r="P52" i="31"/>
  <c r="I53" i="23"/>
  <c r="K53" i="23" s="1"/>
  <c r="L53" i="23" s="1"/>
  <c r="M55" i="31"/>
  <c r="L51" i="23"/>
  <c r="P51" i="23"/>
  <c r="O51" i="23"/>
  <c r="N51" i="23"/>
  <c r="M51" i="23"/>
  <c r="F52" i="2"/>
  <c r="W55" i="31"/>
  <c r="T55" i="31"/>
  <c r="U55" i="31"/>
  <c r="F58" i="29"/>
  <c r="I58" i="29"/>
  <c r="H55" i="2"/>
  <c r="N54" i="2"/>
  <c r="M54" i="2" s="1"/>
  <c r="D54" i="28" s="1"/>
  <c r="H54" i="28" s="1"/>
  <c r="H54" i="2"/>
  <c r="G54" i="2" s="1"/>
  <c r="O56" i="31" s="1"/>
  <c r="I55" i="2"/>
  <c r="P53" i="22"/>
  <c r="V53" i="22" s="1"/>
  <c r="X53" i="22" s="1"/>
  <c r="I51" i="26"/>
  <c r="N58" i="22"/>
  <c r="S54" i="2"/>
  <c r="J54" i="23" s="1"/>
  <c r="I67" i="4"/>
  <c r="P56" i="2"/>
  <c r="D67" i="4"/>
  <c r="J56" i="2"/>
  <c r="L56" i="22"/>
  <c r="S55" i="22"/>
  <c r="T55" i="22"/>
  <c r="O55" i="22"/>
  <c r="U53" i="22"/>
  <c r="N55" i="2"/>
  <c r="M55" i="2" s="1"/>
  <c r="D55" i="28" s="1"/>
  <c r="H55" i="28" s="1"/>
  <c r="O54" i="22"/>
  <c r="T54" i="22"/>
  <c r="S54" i="22"/>
  <c r="Q53" i="22"/>
  <c r="N53" i="23" l="1"/>
  <c r="K56" i="22"/>
  <c r="M53" i="23"/>
  <c r="P53" i="23"/>
  <c r="O53" i="23"/>
  <c r="AA59" i="33"/>
  <c r="U59" i="33"/>
  <c r="AD59" i="33" s="1"/>
  <c r="T59" i="33"/>
  <c r="AC59" i="33" s="1"/>
  <c r="S59" i="33"/>
  <c r="AE57" i="33"/>
  <c r="AF57" i="33" s="1"/>
  <c r="AG57" i="33"/>
  <c r="R60" i="33"/>
  <c r="X60" i="33"/>
  <c r="V58" i="33"/>
  <c r="W58" i="33" s="1"/>
  <c r="AB58" i="33"/>
  <c r="AE58" i="33" s="1"/>
  <c r="AF58" i="33" s="1"/>
  <c r="AD53" i="31"/>
  <c r="AC55" i="31"/>
  <c r="AB55" i="31"/>
  <c r="W56" i="31"/>
  <c r="T56" i="31"/>
  <c r="U56" i="31"/>
  <c r="AA55" i="31"/>
  <c r="S51" i="31"/>
  <c r="R51" i="31"/>
  <c r="V51" i="31"/>
  <c r="Y51" i="31"/>
  <c r="X51" i="31"/>
  <c r="I52" i="23"/>
  <c r="K52" i="23" s="1"/>
  <c r="M54" i="31"/>
  <c r="Y52" i="31"/>
  <c r="R52" i="31"/>
  <c r="V52" i="31"/>
  <c r="S52" i="31"/>
  <c r="X52" i="31"/>
  <c r="Z50" i="31"/>
  <c r="AE50" i="31" s="1"/>
  <c r="L55" i="2"/>
  <c r="S55" i="2" s="1"/>
  <c r="J55" i="23" s="1"/>
  <c r="L57" i="22"/>
  <c r="I56" i="2"/>
  <c r="L56" i="2" s="1"/>
  <c r="O56" i="2"/>
  <c r="R56" i="2" s="1"/>
  <c r="Q54" i="22"/>
  <c r="W54" i="22" s="1"/>
  <c r="Y54" i="22" s="1"/>
  <c r="I52" i="26"/>
  <c r="O51" i="26"/>
  <c r="S51" i="26"/>
  <c r="P51" i="26"/>
  <c r="R51" i="26"/>
  <c r="Q51" i="26"/>
  <c r="Q55" i="22"/>
  <c r="W55" i="22" s="1"/>
  <c r="Y55" i="22" s="1"/>
  <c r="I53" i="26"/>
  <c r="R53" i="22"/>
  <c r="F54" i="2"/>
  <c r="M58" i="22"/>
  <c r="J56" i="22"/>
  <c r="L67" i="4"/>
  <c r="H67" i="4" s="1"/>
  <c r="G67" i="4"/>
  <c r="C67" i="4" s="1"/>
  <c r="P55" i="22"/>
  <c r="V55" i="22" s="1"/>
  <c r="X55" i="22" s="1"/>
  <c r="P54" i="22"/>
  <c r="W53" i="22"/>
  <c r="Y53" i="22" s="1"/>
  <c r="U54" i="22"/>
  <c r="U55" i="22"/>
  <c r="K57" i="22"/>
  <c r="G55" i="2"/>
  <c r="AD55" i="31" l="1"/>
  <c r="AA60" i="33"/>
  <c r="V59" i="33"/>
  <c r="W59" i="33" s="1"/>
  <c r="AB59" i="33"/>
  <c r="AE59" i="33" s="1"/>
  <c r="AF59" i="33" s="1"/>
  <c r="Z52" i="31"/>
  <c r="AE52" i="31" s="1"/>
  <c r="S60" i="33"/>
  <c r="T60" i="33"/>
  <c r="AC60" i="33" s="1"/>
  <c r="U60" i="33"/>
  <c r="AD60" i="33" s="1"/>
  <c r="AG58" i="33"/>
  <c r="O52" i="23"/>
  <c r="N52" i="23"/>
  <c r="M52" i="23"/>
  <c r="L52" i="23"/>
  <c r="P52" i="23"/>
  <c r="AC54" i="31"/>
  <c r="AB54" i="31"/>
  <c r="AA54" i="31"/>
  <c r="I54" i="23"/>
  <c r="K54" i="23" s="1"/>
  <c r="L54" i="23" s="1"/>
  <c r="M56" i="31"/>
  <c r="F55" i="2"/>
  <c r="O57" i="31"/>
  <c r="Z51" i="31"/>
  <c r="AE51" i="31" s="1"/>
  <c r="L58" i="22"/>
  <c r="N56" i="2"/>
  <c r="M56" i="2" s="1"/>
  <c r="D56" i="28" s="1"/>
  <c r="H56" i="28" s="1"/>
  <c r="H56" i="2"/>
  <c r="G56" i="2" s="1"/>
  <c r="T51" i="26"/>
  <c r="S52" i="26"/>
  <c r="Q52" i="26"/>
  <c r="P52" i="26"/>
  <c r="O52" i="26"/>
  <c r="R52" i="26"/>
  <c r="O53" i="26"/>
  <c r="P53" i="26"/>
  <c r="S53" i="26"/>
  <c r="R53" i="26"/>
  <c r="Q53" i="26"/>
  <c r="S56" i="22"/>
  <c r="R54" i="22"/>
  <c r="Z53" i="22"/>
  <c r="R55" i="22"/>
  <c r="S56" i="2"/>
  <c r="J56" i="23" s="1"/>
  <c r="T56" i="22"/>
  <c r="O56" i="22"/>
  <c r="V54" i="22"/>
  <c r="X54" i="22" s="1"/>
  <c r="Z55" i="22"/>
  <c r="J57" i="22"/>
  <c r="O54" i="23" l="1"/>
  <c r="N54" i="23"/>
  <c r="P54" i="23"/>
  <c r="M54" i="23"/>
  <c r="V60" i="33"/>
  <c r="W60" i="33" s="1"/>
  <c r="AB60" i="33"/>
  <c r="AG60" i="33" s="1"/>
  <c r="AG59" i="33"/>
  <c r="F56" i="2"/>
  <c r="O58" i="31"/>
  <c r="K58" i="22"/>
  <c r="J58" i="22" s="1"/>
  <c r="AD54" i="31"/>
  <c r="I55" i="23"/>
  <c r="K55" i="23" s="1"/>
  <c r="M57" i="31"/>
  <c r="AA57" i="31" s="1"/>
  <c r="T57" i="31"/>
  <c r="U57" i="31"/>
  <c r="W57" i="31"/>
  <c r="AC56" i="31"/>
  <c r="AB56" i="31"/>
  <c r="AA56" i="31"/>
  <c r="U51" i="26"/>
  <c r="P53" i="31"/>
  <c r="Q56" i="22"/>
  <c r="W56" i="22" s="1"/>
  <c r="Y56" i="22" s="1"/>
  <c r="I54" i="26"/>
  <c r="T53" i="26"/>
  <c r="T52" i="26"/>
  <c r="U56" i="22"/>
  <c r="Z54" i="22"/>
  <c r="P56" i="22"/>
  <c r="S57" i="22"/>
  <c r="T57" i="22"/>
  <c r="O57" i="22"/>
  <c r="AD56" i="31" l="1"/>
  <c r="AE60" i="33"/>
  <c r="AF60" i="33" s="1"/>
  <c r="AC57" i="31"/>
  <c r="AB57" i="31"/>
  <c r="O55" i="23"/>
  <c r="L55" i="23"/>
  <c r="M55" i="23"/>
  <c r="N55" i="23"/>
  <c r="P55" i="23"/>
  <c r="U52" i="26"/>
  <c r="P54" i="31"/>
  <c r="U53" i="26"/>
  <c r="P55" i="31"/>
  <c r="R53" i="31"/>
  <c r="S53" i="31"/>
  <c r="V53" i="31"/>
  <c r="Y53" i="31"/>
  <c r="X53" i="31"/>
  <c r="U58" i="31"/>
  <c r="W58" i="31"/>
  <c r="T58" i="31"/>
  <c r="I56" i="23"/>
  <c r="K56" i="23" s="1"/>
  <c r="N56" i="23" s="1"/>
  <c r="M58" i="31"/>
  <c r="P57" i="22"/>
  <c r="V57" i="22" s="1"/>
  <c r="X57" i="22" s="1"/>
  <c r="I55" i="26"/>
  <c r="P54" i="26"/>
  <c r="O54" i="26"/>
  <c r="R54" i="26"/>
  <c r="Q54" i="26"/>
  <c r="S54" i="26"/>
  <c r="R56" i="22"/>
  <c r="V56" i="22"/>
  <c r="X56" i="22" s="1"/>
  <c r="S58" i="22"/>
  <c r="T58" i="22"/>
  <c r="U57" i="22"/>
  <c r="Q57" i="22"/>
  <c r="W57" i="22" s="1"/>
  <c r="Y57" i="22" s="1"/>
  <c r="O58" i="22"/>
  <c r="AD57" i="31" l="1"/>
  <c r="AC58" i="31"/>
  <c r="AB58" i="31"/>
  <c r="P56" i="23"/>
  <c r="L56" i="23"/>
  <c r="Z53" i="31"/>
  <c r="AE53" i="31" s="1"/>
  <c r="Y55" i="31"/>
  <c r="S55" i="31"/>
  <c r="V55" i="31"/>
  <c r="R55" i="31"/>
  <c r="X55" i="31"/>
  <c r="M56" i="23"/>
  <c r="AA58" i="31"/>
  <c r="V54" i="31"/>
  <c r="X54" i="31"/>
  <c r="Y54" i="31"/>
  <c r="S54" i="31"/>
  <c r="R54" i="31"/>
  <c r="O56" i="23"/>
  <c r="P58" i="22"/>
  <c r="V58" i="22" s="1"/>
  <c r="X58" i="22" s="1"/>
  <c r="I56" i="26"/>
  <c r="T54" i="26"/>
  <c r="R55" i="26"/>
  <c r="S55" i="26"/>
  <c r="O55" i="26"/>
  <c r="Q55" i="26"/>
  <c r="P55" i="26"/>
  <c r="Z56" i="22"/>
  <c r="R57" i="22"/>
  <c r="U58" i="22"/>
  <c r="Z57" i="22"/>
  <c r="Q58" i="22"/>
  <c r="W58" i="22" s="1"/>
  <c r="Y58" i="22" s="1"/>
  <c r="AD58" i="31" l="1"/>
  <c r="U54" i="26"/>
  <c r="P56" i="31"/>
  <c r="Z54" i="31"/>
  <c r="AE54" i="31" s="1"/>
  <c r="Z55" i="31"/>
  <c r="AE55" i="31" s="1"/>
  <c r="T55" i="26"/>
  <c r="P56" i="26"/>
  <c r="Q56" i="26"/>
  <c r="O56" i="26"/>
  <c r="S56" i="26"/>
  <c r="R56" i="26"/>
  <c r="R58" i="22"/>
  <c r="Z58" i="22"/>
  <c r="U55" i="26" l="1"/>
  <c r="P57" i="31"/>
  <c r="X56" i="31"/>
  <c r="V56" i="31"/>
  <c r="R56" i="31"/>
  <c r="Y56" i="31"/>
  <c r="S56" i="31"/>
  <c r="T56" i="26"/>
  <c r="Z56" i="31" l="1"/>
  <c r="AE56" i="31" s="1"/>
  <c r="U56" i="26"/>
  <c r="P58" i="31"/>
  <c r="R57" i="31"/>
  <c r="S57" i="31"/>
  <c r="X57" i="31"/>
  <c r="V57" i="31"/>
  <c r="Y57" i="31"/>
  <c r="Z57" i="31" l="1"/>
  <c r="AE57" i="31" s="1"/>
  <c r="Y58" i="31"/>
  <c r="R58" i="31"/>
  <c r="S58" i="31"/>
  <c r="X58" i="31"/>
  <c r="V58" i="31"/>
  <c r="Z58" i="31" l="1"/>
  <c r="AE58" i="31" s="1"/>
</calcChain>
</file>

<file path=xl/sharedStrings.xml><?xml version="1.0" encoding="utf-8"?>
<sst xmlns="http://schemas.openxmlformats.org/spreadsheetml/2006/main" count="1114" uniqueCount="381">
  <si>
    <t>Car1</t>
  </si>
  <si>
    <t>Car2</t>
  </si>
  <si>
    <t>Car3</t>
  </si>
  <si>
    <t>Truck1</t>
  </si>
  <si>
    <t>Truck2</t>
  </si>
  <si>
    <t>Truck3</t>
  </si>
  <si>
    <t>CAV Vehicle Type</t>
  </si>
  <si>
    <t>Phase 1 Categories</t>
  </si>
  <si>
    <t>Conservative</t>
  </si>
  <si>
    <t>Optimistic</t>
  </si>
  <si>
    <t>Pessimistic</t>
  </si>
  <si>
    <t>Early success</t>
  </si>
  <si>
    <t>Early difficulties</t>
  </si>
  <si>
    <t>Cautious</t>
  </si>
  <si>
    <t>Fully autonomous</t>
  </si>
  <si>
    <t>Vehicle type availability -- years</t>
  </si>
  <si>
    <t>Public acceptance delay -- years</t>
  </si>
  <si>
    <t>Dedicated facilities -- percent dedicated</t>
  </si>
  <si>
    <t>Area types</t>
  </si>
  <si>
    <t>Suburban Business</t>
  </si>
  <si>
    <t>Suburban Residential</t>
  </si>
  <si>
    <t>Convert HOV/HOT lanes</t>
  </si>
  <si>
    <t>Lanes on freeways and arterials</t>
  </si>
  <si>
    <t>Lanes on freeways</t>
  </si>
  <si>
    <t>Enhanced safety features and connectivity</t>
  </si>
  <si>
    <t>Driver assistance and automation on specified facilities</t>
  </si>
  <si>
    <t>Vehicle Type Descriptions</t>
  </si>
  <si>
    <t>Limited coverage</t>
  </si>
  <si>
    <t>Good urban coverage</t>
  </si>
  <si>
    <t>Good urban and suburban coverage</t>
  </si>
  <si>
    <t>After-Market</t>
  </si>
  <si>
    <t>Staged</t>
  </si>
  <si>
    <t>Aggressive investments</t>
  </si>
  <si>
    <t>Non-Licensed drivers -- years after public acceptance</t>
  </si>
  <si>
    <t>Operator type</t>
  </si>
  <si>
    <t>Non-licensed adult</t>
  </si>
  <si>
    <t>Unaccompanied children</t>
  </si>
  <si>
    <t>Handicapped and elderly adult</t>
  </si>
  <si>
    <t>License required</t>
  </si>
  <si>
    <t>Adult required</t>
  </si>
  <si>
    <t>Permit children alone</t>
  </si>
  <si>
    <t>Urban</t>
  </si>
  <si>
    <t>Rural</t>
  </si>
  <si>
    <t>No restrictions</t>
  </si>
  <si>
    <t>No curb parking in downtown</t>
  </si>
  <si>
    <t>No curb parking in urban areas</t>
  </si>
  <si>
    <t>Incentive Level</t>
  </si>
  <si>
    <t>No VMT tax</t>
  </si>
  <si>
    <t>Charges in downtown during peak periods</t>
  </si>
  <si>
    <t>Annual vehicle use tax</t>
  </si>
  <si>
    <t>No subsidies</t>
  </si>
  <si>
    <t>Limited subsidies</t>
  </si>
  <si>
    <t>Major subsidies</t>
  </si>
  <si>
    <t>Moderate subsidies</t>
  </si>
  <si>
    <t>Urban Peak</t>
  </si>
  <si>
    <t>Urban Offpeak</t>
  </si>
  <si>
    <t>Suburban Business Peak</t>
  </si>
  <si>
    <t>Suburban Business Offpeak</t>
  </si>
  <si>
    <t>Area types and period</t>
  </si>
  <si>
    <t>No fee</t>
  </si>
  <si>
    <t>Fees in urban areas</t>
  </si>
  <si>
    <t>Fees in all areas</t>
  </si>
  <si>
    <t>No satellite parking</t>
  </si>
  <si>
    <t>Satellite lots near downtown</t>
  </si>
  <si>
    <t>Satellite lots in urban areas</t>
  </si>
  <si>
    <t>Limited incentives</t>
  </si>
  <si>
    <t>Attractive urban area incentives</t>
  </si>
  <si>
    <t>Significant incentives in urban and suburban areas</t>
  </si>
  <si>
    <t>No congestion pricing</t>
  </si>
  <si>
    <t>Congestion pricing on urban freeways</t>
  </si>
  <si>
    <t>Congestion pricing on urban and suburban freeways and major arterials</t>
  </si>
  <si>
    <t>Facility types in area types by time of day</t>
  </si>
  <si>
    <t>Urban freeways in peak periods</t>
  </si>
  <si>
    <t>Major urban arterials in peak periods</t>
  </si>
  <si>
    <t>Suburban freeways in peak periods</t>
  </si>
  <si>
    <t>Major suburban arterials in peak periods</t>
  </si>
  <si>
    <t>Congestion pricing -- percent with mileage fees</t>
  </si>
  <si>
    <t>Shared-ride incentives -- percent with major discounts</t>
  </si>
  <si>
    <t>Satellite parking -- percent of parking</t>
  </si>
  <si>
    <t>NOVMT fee -- percent with fees</t>
  </si>
  <si>
    <t>VMT pricing -- percent with fees</t>
  </si>
  <si>
    <t>Curb-space management -- percent of managed curb space</t>
  </si>
  <si>
    <t>Connected Infrastructure -- percent with connected vehicle technology</t>
  </si>
  <si>
    <t>Ride Sourcing -- percent with good service</t>
  </si>
  <si>
    <t>Subsidized EV infrastructure -- percent of major subsidies</t>
  </si>
  <si>
    <t>Phase 2 Range</t>
  </si>
  <si>
    <t>Minimum</t>
  </si>
  <si>
    <t>Maximum</t>
  </si>
  <si>
    <t>AECOM Default</t>
  </si>
  <si>
    <t>Based on City Type</t>
  </si>
  <si>
    <t>Freeway Offset Year</t>
  </si>
  <si>
    <t>Arterial Offset Year</t>
  </si>
  <si>
    <t>Facility type, year and rate</t>
  </si>
  <si>
    <t>Freeway Dedication Rate</t>
  </si>
  <si>
    <t>Arterial Dedication Rate</t>
  </si>
  <si>
    <t>Freeway Connection Rate</t>
  </si>
  <si>
    <t>Arterial Connection Rate</t>
  </si>
  <si>
    <t>Year</t>
  </si>
  <si>
    <t>CAV</t>
  </si>
  <si>
    <t>Standard</t>
  </si>
  <si>
    <t>Type1</t>
  </si>
  <si>
    <t>Type2</t>
  </si>
  <si>
    <t>Type3</t>
  </si>
  <si>
    <t>Car Model</t>
  </si>
  <si>
    <t>Truck Model</t>
  </si>
  <si>
    <t>Selection</t>
  </si>
  <si>
    <t>City Data</t>
  </si>
  <si>
    <t>Current Freeway VMT</t>
  </si>
  <si>
    <t>Current Arterial VMT</t>
  </si>
  <si>
    <t>Current Population</t>
  </si>
  <si>
    <t>Current Employment</t>
  </si>
  <si>
    <t>Current Total VMT</t>
  </si>
  <si>
    <t>Growth Rate</t>
  </si>
  <si>
    <t>City Truck Share of VMT</t>
  </si>
  <si>
    <t>VMT</t>
  </si>
  <si>
    <t>Total</t>
  </si>
  <si>
    <t>Car</t>
  </si>
  <si>
    <t>Truck</t>
  </si>
  <si>
    <t>Summary Year:</t>
  </si>
  <si>
    <t>CAV Share of Total VMT</t>
  </si>
  <si>
    <t>Change in Total VMT</t>
  </si>
  <si>
    <t>Dedicated Facilities</t>
  </si>
  <si>
    <t>Curb-Space Management</t>
  </si>
  <si>
    <t>VMT Pricing</t>
  </si>
  <si>
    <t>ZOVMT Fee</t>
  </si>
  <si>
    <t>Satellite Parking</t>
  </si>
  <si>
    <t>Dedicated Facilities Model</t>
  </si>
  <si>
    <t>Fleet Mix by CAV Vehicle Type Model</t>
  </si>
  <si>
    <t>Freeway</t>
  </si>
  <si>
    <t>Arterial</t>
  </si>
  <si>
    <t>Maximum Percent of Freeways</t>
  </si>
  <si>
    <t>Maximum Percent of Arterials</t>
  </si>
  <si>
    <t>Connected Infrastructure Model</t>
  </si>
  <si>
    <t>Implementation Year</t>
  </si>
  <si>
    <t>Implementation Offset Year</t>
  </si>
  <si>
    <t>City Share</t>
  </si>
  <si>
    <t>Factor</t>
  </si>
  <si>
    <t>Impact Variables</t>
  </si>
  <si>
    <t>Vehicle type availability year</t>
  </si>
  <si>
    <t>Public acceptance delay</t>
  </si>
  <si>
    <t>Connected infrastructure</t>
  </si>
  <si>
    <t>Dedicated facilities</t>
  </si>
  <si>
    <t>Percent Change in VMT by CAV Vehicle Type</t>
  </si>
  <si>
    <t>Area Types</t>
  </si>
  <si>
    <t>Time of Day</t>
  </si>
  <si>
    <t>Peak Period</t>
  </si>
  <si>
    <t>Offpeak Period</t>
  </si>
  <si>
    <t>Ride Sourcing Model</t>
  </si>
  <si>
    <t>Curb Space Management Model</t>
  </si>
  <si>
    <t>Suburban Business peak</t>
  </si>
  <si>
    <t>Area Type</t>
  </si>
  <si>
    <t>Period</t>
  </si>
  <si>
    <t>↑↑</t>
  </si>
  <si>
    <t>↓↓</t>
  </si>
  <si>
    <t>NOVMT Fee Model</t>
  </si>
  <si>
    <t>Satellite Parking Model</t>
  </si>
  <si>
    <t>Shared-Ride Incentives Model</t>
  </si>
  <si>
    <t>Handicapped and elderly</t>
  </si>
  <si>
    <t>Potential Market</t>
  </si>
  <si>
    <t>Congestion Pricing Model</t>
  </si>
  <si>
    <t>Urban freeways in offpeak periods</t>
  </si>
  <si>
    <t>Suburban freeways in offpeak periods</t>
  </si>
  <si>
    <t>Facility Type</t>
  </si>
  <si>
    <t>VMT Type Factor</t>
  </si>
  <si>
    <t>Ride-Sourcing</t>
  </si>
  <si>
    <t>Non-Licensed Drivers</t>
  </si>
  <si>
    <t>Subsidized EV Infrastructure</t>
  </si>
  <si>
    <t>Shared-Ride Incentives</t>
  </si>
  <si>
    <t>increase demand</t>
  </si>
  <si>
    <t>decrease demand</t>
  </si>
  <si>
    <t>reduce demand</t>
  </si>
  <si>
    <t>set demand</t>
  </si>
  <si>
    <t>Subsidize EV Infrastructure</t>
  </si>
  <si>
    <t>Incentive</t>
  </si>
  <si>
    <t>VMT Impact</t>
  </si>
  <si>
    <t>Induced Demand Model</t>
  </si>
  <si>
    <t>Fully Autonomous Share</t>
  </si>
  <si>
    <t>CAV Share</t>
  </si>
  <si>
    <t>Capacity Factor</t>
  </si>
  <si>
    <t>Automation Assistance</t>
  </si>
  <si>
    <t>Share</t>
  </si>
  <si>
    <t>Average</t>
  </si>
  <si>
    <t>Assisted</t>
  </si>
  <si>
    <t>Travel Time Index</t>
  </si>
  <si>
    <t>Congestion</t>
  </si>
  <si>
    <t>Percent Lane Miles</t>
  </si>
  <si>
    <t>Percent Peak VMT</t>
  </si>
  <si>
    <t>Number of Hours</t>
  </si>
  <si>
    <t>Freeway Planning Index</t>
  </si>
  <si>
    <t>Peak VMT</t>
  </si>
  <si>
    <t>VHD</t>
  </si>
  <si>
    <t>Time Ratio</t>
  </si>
  <si>
    <t>Time Ratios</t>
  </si>
  <si>
    <t>VMT based VHD</t>
  </si>
  <si>
    <t>CAV based  VHD</t>
  </si>
  <si>
    <t>Change in Total VHD</t>
  </si>
  <si>
    <t>CAV Impact on VHD</t>
  </si>
  <si>
    <t>Model Parameters</t>
  </si>
  <si>
    <t>Freeway Free Speed</t>
  </si>
  <si>
    <t>Arterial Free Speed</t>
  </si>
  <si>
    <t>Availability Offset Year</t>
  </si>
  <si>
    <t>Introduction Delay</t>
  </si>
  <si>
    <t>years</t>
  </si>
  <si>
    <t>Acceptance Rate</t>
  </si>
  <si>
    <t>share</t>
  </si>
  <si>
    <t>First Year</t>
  </si>
  <si>
    <t>VMT without CAV</t>
  </si>
  <si>
    <t>Without CAV</t>
  </si>
  <si>
    <t>With CAV</t>
  </si>
  <si>
    <t>Congestion Levels</t>
  </si>
  <si>
    <t>Percent Autonomous Driving</t>
  </si>
  <si>
    <t>Year Weights</t>
  </si>
  <si>
    <t>Year Weight</t>
  </si>
  <si>
    <t>Downtown</t>
  </si>
  <si>
    <t>Downtown Peak</t>
  </si>
  <si>
    <t>Downtown Offpeak</t>
  </si>
  <si>
    <t>Subarea Business</t>
  </si>
  <si>
    <t>Area Type Share</t>
  </si>
  <si>
    <t>Peak VHT</t>
  </si>
  <si>
    <t>Offpeak VMT</t>
  </si>
  <si>
    <t>Daily VHT</t>
  </si>
  <si>
    <t>Daily Free VHT</t>
  </si>
  <si>
    <t>Adjust Peak VHT</t>
  </si>
  <si>
    <t>Peak Time Ratio</t>
  </si>
  <si>
    <t>Daily Time Ratio</t>
  </si>
  <si>
    <t>Peak Free VHT</t>
  </si>
  <si>
    <t>Off Free VHT</t>
  </si>
  <si>
    <t>Peak VHD</t>
  </si>
  <si>
    <t>Total VMT</t>
  </si>
  <si>
    <t>CAV VMT</t>
  </si>
  <si>
    <t>Suburban</t>
  </si>
  <si>
    <t>Congestion Pricing</t>
  </si>
  <si>
    <t>CAV Impact by Area Type Model</t>
  </si>
  <si>
    <t>Non-CAV VMT</t>
  </si>
  <si>
    <t>Business</t>
  </si>
  <si>
    <t>Residential</t>
  </si>
  <si>
    <t>CBD</t>
  </si>
  <si>
    <t>Suburbs</t>
  </si>
  <si>
    <t>SBD</t>
  </si>
  <si>
    <t>Household Vehicle Fleet</t>
  </si>
  <si>
    <t>Current Households</t>
  </si>
  <si>
    <t>Number of HH Vehicles - No CAVs</t>
  </si>
  <si>
    <t>Number of HH Vehicles</t>
  </si>
  <si>
    <t>Vehicle Replacement Rate</t>
  </si>
  <si>
    <t>Connected Infrastructure</t>
  </si>
  <si>
    <t>CAV Share of Total Vehicles</t>
  </si>
  <si>
    <t>Change in Total Vehicle</t>
  </si>
  <si>
    <t>Assisted Share</t>
  </si>
  <si>
    <t>Midwest</t>
  </si>
  <si>
    <t>Northeast</t>
  </si>
  <si>
    <t>Southeast</t>
  </si>
  <si>
    <t>Southwest</t>
  </si>
  <si>
    <t>West</t>
  </si>
  <si>
    <t>Region</t>
  </si>
  <si>
    <t>High</t>
  </si>
  <si>
    <t>Low</t>
  </si>
  <si>
    <t>Cost Reduction</t>
  </si>
  <si>
    <t>Increase in Freight by Autonomous Truck</t>
  </si>
  <si>
    <t>Truck VMT</t>
  </si>
  <si>
    <t>High Cost Freight Increase Rate</t>
  </si>
  <si>
    <t>Low Cost Freight Increase Rate</t>
  </si>
  <si>
    <t>Freight</t>
  </si>
  <si>
    <t>Impact</t>
  </si>
  <si>
    <t>Increase</t>
  </si>
  <si>
    <t>Impact Factor</t>
  </si>
  <si>
    <t>Induced Spending</t>
  </si>
  <si>
    <t>Spending</t>
  </si>
  <si>
    <t>Trip Spending</t>
  </si>
  <si>
    <t>Population Share</t>
  </si>
  <si>
    <t>Increased Spending:</t>
  </si>
  <si>
    <t>Increace In Freight Miles:</t>
  </si>
  <si>
    <t>Taxes and Fees</t>
  </si>
  <si>
    <t>Parking Revenues</t>
  </si>
  <si>
    <t>Parking Fines</t>
  </si>
  <si>
    <t>Traffic Citations</t>
  </si>
  <si>
    <t>Camera</t>
  </si>
  <si>
    <t>Towing</t>
  </si>
  <si>
    <t>Gas Tax</t>
  </si>
  <si>
    <t>Licensing</t>
  </si>
  <si>
    <t>Registration</t>
  </si>
  <si>
    <t>Annual/Person</t>
  </si>
  <si>
    <t>Population</t>
  </si>
  <si>
    <t>Annual Taxes and Fees:</t>
  </si>
  <si>
    <t>Fleet Factor</t>
  </si>
  <si>
    <t>VMT Factor</t>
  </si>
  <si>
    <t>EV Factor</t>
  </si>
  <si>
    <t>Type3 Share</t>
  </si>
  <si>
    <t>VMT Fees</t>
  </si>
  <si>
    <t>NOVMT Fees</t>
  </si>
  <si>
    <t>Pricing</t>
  </si>
  <si>
    <t>VMT Fee</t>
  </si>
  <si>
    <t>NOVMT Fee</t>
  </si>
  <si>
    <t>Annualization</t>
  </si>
  <si>
    <t>per mile</t>
  </si>
  <si>
    <t>VMT per Person</t>
  </si>
  <si>
    <t>Travel Fees</t>
  </si>
  <si>
    <t>Total Fees</t>
  </si>
  <si>
    <t>Annual CAV Fees</t>
  </si>
  <si>
    <t>Annual Taxes and Fees</t>
  </si>
  <si>
    <t>With CAVs</t>
  </si>
  <si>
    <t xml:space="preserve"> without CAVs</t>
  </si>
  <si>
    <t>without CAVs</t>
  </si>
  <si>
    <t>with CAVs</t>
  </si>
  <si>
    <t>New Fees</t>
  </si>
  <si>
    <t>Change in Taxes and Fees:</t>
  </si>
  <si>
    <t>New Travel Fees:</t>
  </si>
  <si>
    <t>Total CAV and New Fees:</t>
  </si>
  <si>
    <t>Winners</t>
  </si>
  <si>
    <t>Losers</t>
  </si>
  <si>
    <t>Skill Level</t>
  </si>
  <si>
    <t># Jobs</t>
  </si>
  <si>
    <t>Mean Salary</t>
  </si>
  <si>
    <t>Medium</t>
  </si>
  <si>
    <t>Job Skill Levels</t>
  </si>
  <si>
    <t>Employment</t>
  </si>
  <si>
    <t>New Jobs</t>
  </si>
  <si>
    <t>Percent of Employment</t>
  </si>
  <si>
    <t>Changes in Jobs due to CAV Technologies</t>
  </si>
  <si>
    <t>Lost Jobs</t>
  </si>
  <si>
    <t>Salaries</t>
  </si>
  <si>
    <t>Net Change</t>
  </si>
  <si>
    <t>Job Impacts</t>
  </si>
  <si>
    <t>Change in CAV Impacted Jobs</t>
  </si>
  <si>
    <t>Change in Salaries</t>
  </si>
  <si>
    <t>Number of Jobs Lost</t>
  </si>
  <si>
    <t>Number of New Jobs</t>
  </si>
  <si>
    <t>Current Freeway VMT Share</t>
  </si>
  <si>
    <t>Current Arterial VMT Share</t>
  </si>
  <si>
    <t>Downtown Ridesource Offset</t>
  </si>
  <si>
    <t>Urban Ridesource Offset</t>
  </si>
  <si>
    <t>Suburban Business Ridesource Offset</t>
  </si>
  <si>
    <t>Suburban Residential Ridesource Offset</t>
  </si>
  <si>
    <t>Rural Ridesource Offset</t>
  </si>
  <si>
    <t>Downtown % Congested</t>
  </si>
  <si>
    <t>Urban % Congested</t>
  </si>
  <si>
    <t>Suburban Business % Congested</t>
  </si>
  <si>
    <t>Suburban Residential % Congested</t>
  </si>
  <si>
    <t>Rural % Congested</t>
  </si>
  <si>
    <t>Downtown Free Speed</t>
  </si>
  <si>
    <t>Urban Free Speed</t>
  </si>
  <si>
    <t>Suburban Business Free Speed</t>
  </si>
  <si>
    <t>Suburban Residential Free Speed</t>
  </si>
  <si>
    <t>Rural Free Speed</t>
  </si>
  <si>
    <t>Non-licensed adult Trip Spending</t>
  </si>
  <si>
    <t>Handicapped and elderly Trip Spending</t>
  </si>
  <si>
    <t>Unaccompanied children Trip Spending</t>
  </si>
  <si>
    <t>Travel Time Index - Freeway Share</t>
  </si>
  <si>
    <t>Freeway Planning Index - Freeway Share</t>
  </si>
  <si>
    <t>Travel Time Index - Arterial Share</t>
  </si>
  <si>
    <t>Freeway Planning Index - Arterial Share</t>
  </si>
  <si>
    <t>Travel Time Index - Area Type Share</t>
  </si>
  <si>
    <t>Freeway Planning Index - Area Type Share</t>
  </si>
  <si>
    <t>Medium Skill Jobs - Winners</t>
  </si>
  <si>
    <t>Low Skill Jobs - Winners</t>
  </si>
  <si>
    <t>High Skill Mean Salary - Winners</t>
  </si>
  <si>
    <t>Medium Skill Mean Salary - Winners</t>
  </si>
  <si>
    <t>Low Skill Mean Salary - Winners</t>
  </si>
  <si>
    <t>High Skill Jobs - Winners</t>
  </si>
  <si>
    <t>High Skill Jobs - Losers</t>
  </si>
  <si>
    <t>Medium Skill Jobs - Losers</t>
  </si>
  <si>
    <t>Low Skill Jobs - Losers</t>
  </si>
  <si>
    <t>High Skill Mean Salary - Losers</t>
  </si>
  <si>
    <t>Medium Skill Mean Salary - Losers</t>
  </si>
  <si>
    <t>Low Skill Mean Salary - Losers</t>
  </si>
  <si>
    <t>High Skill Jobs - % Lost</t>
  </si>
  <si>
    <t>Medium Skill Jobs - % Lost</t>
  </si>
  <si>
    <t>Low Skill Jobs - % Lost</t>
  </si>
  <si>
    <t>Exponential growth of good ride sourcing</t>
  </si>
  <si>
    <t>Linear Growth of dedicated facilities</t>
  </si>
  <si>
    <t>0-1 growth</t>
  </si>
  <si>
    <t>Linear growth</t>
  </si>
  <si>
    <t>Potential Simulation Inputs</t>
  </si>
  <si>
    <t>Complication</t>
  </si>
  <si>
    <t>Implementation in TRANSIMS</t>
  </si>
  <si>
    <t>AV type not available</t>
  </si>
  <si>
    <t>lane use</t>
  </si>
  <si>
    <t>Ride-sharing</t>
  </si>
  <si>
    <t>??</t>
  </si>
  <si>
    <t>congestion pricing</t>
  </si>
  <si>
    <t>dynamic toll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</si>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</sst>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0"/>
    <numFmt numFmtId="167" formatCode="_(* #,##0.0_);_(* \(#,##0.0\);_(* &quot;-&quot;??_);_(@_)"/>
    <numFmt numFmtId="168" formatCode="0.0"/>
    <numFmt numFmtId="169" formatCode="_(&quot;$&quot;* #,##0_);_(&quot;$&quot;* \(#,##0\);_(&quot;$&quot;* &quot;-&quot;??_);_(@_)"/>
    <numFmt numFmtId="170" formatCode="0.00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rgb="FF0070C0"/>
      <name val="Calibri"/>
      <family val="2"/>
      <scheme val="minor"/>
    </font>
    <font>
      <sz val="11"/>
      <color rgb="FF000000"/>
      <name val="Courier New"/>
      <family val="3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9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1" applyNumberFormat="1" applyFont="1"/>
    <xf numFmtId="0" fontId="0" fillId="0" borderId="0" xfId="0" applyAlignment="1"/>
    <xf numFmtId="9" fontId="0" fillId="0" borderId="0" xfId="1" applyFont="1"/>
    <xf numFmtId="164" fontId="0" fillId="0" borderId="0" xfId="0" applyNumberFormat="1"/>
    <xf numFmtId="165" fontId="0" fillId="0" borderId="0" xfId="4" applyNumberFormat="1" applyFont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4" applyNumberFormat="1" applyFont="1"/>
    <xf numFmtId="0" fontId="0" fillId="0" borderId="0" xfId="0" applyAlignment="1">
      <alignment horizontal="left"/>
    </xf>
    <xf numFmtId="164" fontId="1" fillId="0" borderId="0" xfId="1" applyNumberFormat="1" applyFont="1"/>
    <xf numFmtId="0" fontId="5" fillId="2" borderId="0" xfId="0" applyFont="1" applyFill="1" applyAlignment="1">
      <alignment horizontal="center" vertical="center"/>
    </xf>
    <xf numFmtId="0" fontId="5" fillId="0" borderId="0" xfId="0" applyFont="1"/>
    <xf numFmtId="9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4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9" fontId="0" fillId="0" borderId="0" xfId="0" applyNumberFormat="1" applyAlignment="1"/>
    <xf numFmtId="9" fontId="0" fillId="0" borderId="0" xfId="1" applyFont="1" applyAlignment="1"/>
    <xf numFmtId="0" fontId="8" fillId="0" borderId="0" xfId="0" applyFont="1" applyAlignment="1">
      <alignment horizontal="left" vertical="center" indent="1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43" fontId="0" fillId="0" borderId="0" xfId="4" applyNumberFormat="1" applyFont="1"/>
    <xf numFmtId="43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4" applyFont="1"/>
    <xf numFmtId="167" fontId="0" fillId="0" borderId="0" xfId="4" applyNumberFormat="1" applyFont="1"/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9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0" xfId="0" applyBorder="1"/>
    <xf numFmtId="9" fontId="0" fillId="0" borderId="6" xfId="1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6" xfId="4" applyNumberFormat="1" applyFont="1" applyBorder="1"/>
    <xf numFmtId="165" fontId="0" fillId="0" borderId="0" xfId="4" applyNumberFormat="1" applyFont="1" applyBorder="1"/>
    <xf numFmtId="4" fontId="0" fillId="0" borderId="0" xfId="4" applyNumberFormat="1" applyFont="1" applyBorder="1"/>
    <xf numFmtId="3" fontId="0" fillId="0" borderId="0" xfId="4" applyNumberFormat="1" applyFont="1" applyBorder="1"/>
    <xf numFmtId="3" fontId="0" fillId="0" borderId="2" xfId="0" applyNumberFormat="1" applyBorder="1"/>
    <xf numFmtId="165" fontId="0" fillId="0" borderId="7" xfId="4" applyNumberFormat="1" applyFont="1" applyBorder="1"/>
    <xf numFmtId="165" fontId="0" fillId="0" borderId="1" xfId="4" applyNumberFormat="1" applyFont="1" applyBorder="1"/>
    <xf numFmtId="4" fontId="0" fillId="0" borderId="1" xfId="4" applyNumberFormat="1" applyFont="1" applyBorder="1"/>
    <xf numFmtId="3" fontId="0" fillId="0" borderId="1" xfId="4" applyNumberFormat="1" applyFont="1" applyBorder="1"/>
    <xf numFmtId="3" fontId="0" fillId="0" borderId="8" xfId="0" applyNumberFormat="1" applyBorder="1"/>
    <xf numFmtId="9" fontId="0" fillId="0" borderId="0" xfId="0" applyNumberFormat="1" applyBorder="1"/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9" fontId="0" fillId="0" borderId="0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4" applyNumberFormat="1" applyFont="1" applyFill="1"/>
    <xf numFmtId="0" fontId="0" fillId="0" borderId="0" xfId="0" applyAlignment="1">
      <alignment horizontal="center"/>
    </xf>
    <xf numFmtId="9" fontId="0" fillId="0" borderId="1" xfId="0" applyNumberFormat="1" applyBorder="1"/>
    <xf numFmtId="168" fontId="0" fillId="0" borderId="0" xfId="0" applyNumberFormat="1"/>
    <xf numFmtId="0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43" fontId="0" fillId="0" borderId="0" xfId="1" applyNumberFormat="1" applyFont="1"/>
    <xf numFmtId="165" fontId="0" fillId="0" borderId="2" xfId="0" applyNumberFormat="1" applyBorder="1"/>
    <xf numFmtId="43" fontId="0" fillId="0" borderId="2" xfId="1" applyNumberFormat="1" applyFont="1" applyBorder="1"/>
    <xf numFmtId="165" fontId="0" fillId="0" borderId="2" xfId="4" applyNumberFormat="1" applyFont="1" applyBorder="1"/>
    <xf numFmtId="165" fontId="0" fillId="0" borderId="2" xfId="4" applyNumberFormat="1" applyFont="1" applyFill="1" applyBorder="1"/>
    <xf numFmtId="43" fontId="0" fillId="0" borderId="2" xfId="0" applyNumberFormat="1" applyBorder="1"/>
    <xf numFmtId="10" fontId="0" fillId="0" borderId="2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Alignment="1">
      <alignment vertical="center" wrapText="1"/>
    </xf>
    <xf numFmtId="9" fontId="0" fillId="0" borderId="0" xfId="1" applyFont="1" applyFill="1"/>
    <xf numFmtId="0" fontId="0" fillId="0" borderId="0" xfId="0" applyFill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9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37" fontId="0" fillId="0" borderId="0" xfId="4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4" applyNumberFormat="1" applyFont="1" applyAlignment="1">
      <alignment horizontal="right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8" fontId="0" fillId="0" borderId="0" xfId="0" applyNumberFormat="1"/>
    <xf numFmtId="44" fontId="0" fillId="0" borderId="0" xfId="5" applyFont="1"/>
    <xf numFmtId="8" fontId="0" fillId="0" borderId="0" xfId="0" applyNumberFormat="1" applyAlignment="1">
      <alignment horizontal="center"/>
    </xf>
    <xf numFmtId="169" fontId="0" fillId="0" borderId="0" xfId="5" applyNumberFormat="1" applyFont="1"/>
    <xf numFmtId="169" fontId="0" fillId="0" borderId="0" xfId="0" applyNumberFormat="1"/>
    <xf numFmtId="0" fontId="0" fillId="0" borderId="0" xfId="0" applyFill="1"/>
    <xf numFmtId="165" fontId="0" fillId="0" borderId="0" xfId="4" applyNumberFormat="1" applyFont="1" applyAlignment="1">
      <alignment horizontal="left"/>
    </xf>
    <xf numFmtId="4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37" fontId="0" fillId="0" borderId="0" xfId="0" applyNumberFormat="1"/>
    <xf numFmtId="2" fontId="0" fillId="0" borderId="0" xfId="4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44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left" indent="2"/>
    </xf>
    <xf numFmtId="170" fontId="0" fillId="0" borderId="0" xfId="1" applyNumberFormat="1" applyFont="1"/>
    <xf numFmtId="170" fontId="0" fillId="0" borderId="0" xfId="0" applyNumberFormat="1"/>
    <xf numFmtId="170" fontId="0" fillId="0" borderId="0" xfId="1" applyNumberFormat="1" applyFont="1" applyAlignment="1">
      <alignment horizontal="center" vertical="center"/>
    </xf>
    <xf numFmtId="169" fontId="0" fillId="0" borderId="0" xfId="5" applyNumberFormat="1" applyFont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0" xfId="1" applyNumberFormat="1" applyFont="1" applyAlignment="1">
      <alignment horizontal="center" vertical="center"/>
    </xf>
    <xf numFmtId="44" fontId="0" fillId="0" borderId="0" xfId="1" applyNumberFormat="1" applyFont="1" applyAlignment="1">
      <alignment horizontal="center" vertical="center"/>
    </xf>
    <xf numFmtId="0" fontId="0" fillId="3" borderId="0" xfId="0" applyFill="1"/>
    <xf numFmtId="43" fontId="0" fillId="3" borderId="0" xfId="0" applyNumberFormat="1" applyFill="1"/>
    <xf numFmtId="43" fontId="0" fillId="3" borderId="2" xfId="0" applyNumberFormat="1" applyFill="1" applyBorder="1"/>
    <xf numFmtId="10" fontId="0" fillId="3" borderId="0" xfId="1" applyNumberFormat="1" applyFont="1" applyFill="1"/>
    <xf numFmtId="10" fontId="0" fillId="3" borderId="2" xfId="1" applyNumberFormat="1" applyFont="1" applyFill="1" applyBorder="1"/>
    <xf numFmtId="165" fontId="0" fillId="3" borderId="0" xfId="0" applyNumberFormat="1" applyFill="1"/>
    <xf numFmtId="165" fontId="0" fillId="3" borderId="0" xfId="4" applyNumberFormat="1" applyFont="1" applyFill="1"/>
    <xf numFmtId="165" fontId="0" fillId="3" borderId="2" xfId="4" applyNumberFormat="1" applyFont="1" applyFill="1" applyBorder="1"/>
  </cellXfs>
  <cellStyles count="6">
    <cellStyle name="Comma" xfId="4" builtinId="3"/>
    <cellStyle name="Comma 2" xfId="2"/>
    <cellStyle name="Currency" xfId="5" builtinId="4"/>
    <cellStyle name="Normal" xfId="0" builtinId="0"/>
    <cellStyle name="Normal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Facilities Dedicated to CAV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287984496594077"/>
          <c:y val="0.13388367853505964"/>
          <c:w val="0.85273895294838964"/>
          <c:h val="0.71413522154529918"/>
        </c:manualLayout>
      </c:layout>
      <c:lineChart>
        <c:grouping val="standard"/>
        <c:varyColors val="0"/>
        <c:ser>
          <c:idx val="0"/>
          <c:order val="0"/>
          <c:tx>
            <c:strRef>
              <c:f>Dedicate!$C$4</c:f>
              <c:strCache>
                <c:ptCount val="1"/>
                <c:pt idx="0">
                  <c:v>Freeway</c:v>
                </c:pt>
              </c:strCache>
            </c:strRef>
          </c:tx>
          <c:marker>
            <c:symbol val="none"/>
          </c:marker>
          <c:cat>
            <c:numRef>
              <c:f>Dedicate!$B$5:$B$57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Dedicate!$C$5:$C$57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3.0000000000000072E-2</c:v>
                </c:pt>
                <c:pt idx="9">
                  <c:v>8.0000000000000071E-2</c:v>
                </c:pt>
                <c:pt idx="10">
                  <c:v>0.13000000000000009</c:v>
                </c:pt>
                <c:pt idx="11">
                  <c:v>0.18000000000000008</c:v>
                </c:pt>
                <c:pt idx="12">
                  <c:v>0.23000000000000009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Dedicate!$D$4</c:f>
              <c:strCache>
                <c:ptCount val="1"/>
                <c:pt idx="0">
                  <c:v>Arterial</c:v>
                </c:pt>
              </c:strCache>
            </c:strRef>
          </c:tx>
          <c:marker>
            <c:symbol val="none"/>
          </c:marker>
          <c:cat>
            <c:numRef>
              <c:f>Dedicate!$B$5:$B$57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Dedicate!$D$5:$D$57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Dedicate!$E$4</c:f>
              <c:strCache>
                <c:ptCount val="1"/>
                <c:pt idx="0">
                  <c:v>Factor</c:v>
                </c:pt>
              </c:strCache>
            </c:strRef>
          </c:tx>
          <c:marker>
            <c:symbol val="none"/>
          </c:marker>
          <c:val>
            <c:numRef>
              <c:f>Dedicate!$E$5:$E$57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1.3928571428571462E-2</c:v>
                </c:pt>
                <c:pt idx="9">
                  <c:v>3.7142857142857179E-2</c:v>
                </c:pt>
                <c:pt idx="10">
                  <c:v>6.0357142857142901E-2</c:v>
                </c:pt>
                <c:pt idx="11">
                  <c:v>8.3571428571428616E-2</c:v>
                </c:pt>
                <c:pt idx="12">
                  <c:v>0.10678571428571433</c:v>
                </c:pt>
                <c:pt idx="13">
                  <c:v>0.11607142857142858</c:v>
                </c:pt>
                <c:pt idx="14">
                  <c:v>0.11607142857142858</c:v>
                </c:pt>
                <c:pt idx="15">
                  <c:v>0.11607142857142858</c:v>
                </c:pt>
                <c:pt idx="16">
                  <c:v>0.11607142857142858</c:v>
                </c:pt>
                <c:pt idx="17">
                  <c:v>0.11607142857142858</c:v>
                </c:pt>
                <c:pt idx="18">
                  <c:v>0.11607142857142858</c:v>
                </c:pt>
                <c:pt idx="19">
                  <c:v>0.11607142857142858</c:v>
                </c:pt>
                <c:pt idx="20">
                  <c:v>0.11607142857142858</c:v>
                </c:pt>
                <c:pt idx="21">
                  <c:v>0.11607142857142858</c:v>
                </c:pt>
                <c:pt idx="22">
                  <c:v>0.11607142857142858</c:v>
                </c:pt>
                <c:pt idx="23">
                  <c:v>0.11607142857142858</c:v>
                </c:pt>
                <c:pt idx="24">
                  <c:v>0.11607142857142858</c:v>
                </c:pt>
                <c:pt idx="25">
                  <c:v>0.11607142857142858</c:v>
                </c:pt>
                <c:pt idx="26">
                  <c:v>0.11607142857142858</c:v>
                </c:pt>
                <c:pt idx="27">
                  <c:v>0.11607142857142858</c:v>
                </c:pt>
                <c:pt idx="28">
                  <c:v>0.11607142857142858</c:v>
                </c:pt>
                <c:pt idx="29">
                  <c:v>0.11607142857142858</c:v>
                </c:pt>
                <c:pt idx="30">
                  <c:v>0.11607142857142858</c:v>
                </c:pt>
                <c:pt idx="31">
                  <c:v>0.11607142857142858</c:v>
                </c:pt>
                <c:pt idx="32">
                  <c:v>0.11607142857142858</c:v>
                </c:pt>
                <c:pt idx="33">
                  <c:v>0.11607142857142858</c:v>
                </c:pt>
                <c:pt idx="34">
                  <c:v>0.11607142857142858</c:v>
                </c:pt>
                <c:pt idx="35">
                  <c:v>0.11607142857142858</c:v>
                </c:pt>
                <c:pt idx="36">
                  <c:v>0.11607142857142858</c:v>
                </c:pt>
                <c:pt idx="37">
                  <c:v>0.11607142857142858</c:v>
                </c:pt>
                <c:pt idx="38">
                  <c:v>0.11607142857142858</c:v>
                </c:pt>
                <c:pt idx="39">
                  <c:v>0.11607142857142858</c:v>
                </c:pt>
                <c:pt idx="40">
                  <c:v>0.11607142857142858</c:v>
                </c:pt>
                <c:pt idx="41">
                  <c:v>0.11607142857142858</c:v>
                </c:pt>
                <c:pt idx="42">
                  <c:v>0.11607142857142858</c:v>
                </c:pt>
                <c:pt idx="43">
                  <c:v>0.11607142857142858</c:v>
                </c:pt>
                <c:pt idx="44">
                  <c:v>0.11607142857142858</c:v>
                </c:pt>
                <c:pt idx="45">
                  <c:v>0.11607142857142858</c:v>
                </c:pt>
                <c:pt idx="46">
                  <c:v>0.11607142857142858</c:v>
                </c:pt>
                <c:pt idx="47">
                  <c:v>0.11607142857142858</c:v>
                </c:pt>
                <c:pt idx="48">
                  <c:v>0.11607142857142858</c:v>
                </c:pt>
                <c:pt idx="49">
                  <c:v>0.11607142857142858</c:v>
                </c:pt>
                <c:pt idx="50">
                  <c:v>0.11607142857142858</c:v>
                </c:pt>
                <c:pt idx="51">
                  <c:v>0.11607142857142858</c:v>
                </c:pt>
                <c:pt idx="52">
                  <c:v>0.11607142857142858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797120"/>
        <c:axId val="401799424"/>
      </c:lineChart>
      <c:catAx>
        <c:axId val="401797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799424"/>
        <c:crosses val="autoZero"/>
        <c:auto val="1"/>
        <c:lblAlgn val="ctr"/>
        <c:lblOffset val="100"/>
        <c:tickMarkSkip val="5"/>
        <c:noMultiLvlLbl val="0"/>
      </c:catAx>
      <c:valAx>
        <c:axId val="40179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Dedicated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401797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701296275859728"/>
          <c:y val="0.20634151344253843"/>
          <c:w val="0.14190359884902526"/>
          <c:h val="0.17620376198237703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Area with NOVMT Fees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NOVMT!$C$4</c:f>
              <c:strCache>
                <c:ptCount val="1"/>
                <c:pt idx="0">
                  <c:v>Downtown Peak</c:v>
                </c:pt>
              </c:strCache>
            </c:strRef>
          </c:tx>
          <c:marker>
            <c:symbol val="none"/>
          </c:marker>
          <c:cat>
            <c:numRef>
              <c:f>NOVMT!$B$5:$B$57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NOVMT!$C$5:$C$57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NOVMT!$D$4</c:f>
              <c:strCache>
                <c:ptCount val="1"/>
                <c:pt idx="0">
                  <c:v>Downtown Offpeak</c:v>
                </c:pt>
              </c:strCache>
            </c:strRef>
          </c:tx>
          <c:marker>
            <c:symbol val="none"/>
          </c:marker>
          <c:cat>
            <c:numRef>
              <c:f>NOVMT!$B$5:$B$57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NOVMT!$D$5:$D$57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NOVMT!$E$4</c:f>
              <c:strCache>
                <c:ptCount val="1"/>
                <c:pt idx="0">
                  <c:v>Urban Peak</c:v>
                </c:pt>
              </c:strCache>
            </c:strRef>
          </c:tx>
          <c:marker>
            <c:symbol val="none"/>
          </c:marker>
          <c:cat>
            <c:numRef>
              <c:f>NOVMT!$B$5:$B$57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NOVMT!$E$5:$E$57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NOVMT!$F$4</c:f>
              <c:strCache>
                <c:ptCount val="1"/>
                <c:pt idx="0">
                  <c:v>Urban Offpeak</c:v>
                </c:pt>
              </c:strCache>
            </c:strRef>
          </c:tx>
          <c:marker>
            <c:symbol val="none"/>
          </c:marker>
          <c:cat>
            <c:numRef>
              <c:f>NOVMT!$B$5:$B$57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NOVMT!$F$5:$F$57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NOVMT!$G$4</c:f>
              <c:strCache>
                <c:ptCount val="1"/>
                <c:pt idx="0">
                  <c:v>Suburban Business peak</c:v>
                </c:pt>
              </c:strCache>
            </c:strRef>
          </c:tx>
          <c:marker>
            <c:symbol val="none"/>
          </c:marker>
          <c:cat>
            <c:numRef>
              <c:f>NOVMT!$B$5:$B$57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NOVMT!$G$5:$G$57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NOVMT!$H$4</c:f>
              <c:strCache>
                <c:ptCount val="1"/>
                <c:pt idx="0">
                  <c:v>Suburban Business Offpeak</c:v>
                </c:pt>
              </c:strCache>
            </c:strRef>
          </c:tx>
          <c:marker>
            <c:symbol val="none"/>
          </c:marker>
          <c:val>
            <c:numRef>
              <c:f>NOVMT!$H$5:$H$57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NOVMT!$I$4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val>
            <c:numRef>
              <c:f>NOVMT!$I$5:$I$57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NOVMT!$J$4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val>
            <c:numRef>
              <c:f>NOVMT!$J$5:$J$57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30080"/>
        <c:axId val="410031616"/>
      </c:lineChart>
      <c:catAx>
        <c:axId val="4100300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0031616"/>
        <c:crosses val="autoZero"/>
        <c:auto val="1"/>
        <c:lblAlgn val="ctr"/>
        <c:lblOffset val="100"/>
        <c:tickMarkSkip val="5"/>
        <c:noMultiLvlLbl val="0"/>
      </c:catAx>
      <c:valAx>
        <c:axId val="4100316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003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Area Type with NOVMT Fees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NOVMT!$L$4</c:f>
              <c:strCache>
                <c:ptCount val="1"/>
                <c:pt idx="0">
                  <c:v>Downtown</c:v>
                </c:pt>
              </c:strCache>
            </c:strRef>
          </c:tx>
          <c:marker>
            <c:symbol val="none"/>
          </c:marker>
          <c:val>
            <c:numRef>
              <c:f>NOVMT!$L$5:$L$57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0.67500000000000004</c:v>
                </c:pt>
                <c:pt idx="18">
                  <c:v>0.67500000000000004</c:v>
                </c:pt>
                <c:pt idx="19">
                  <c:v>0.67500000000000004</c:v>
                </c:pt>
                <c:pt idx="20">
                  <c:v>0.67500000000000004</c:v>
                </c:pt>
                <c:pt idx="21">
                  <c:v>0.67500000000000004</c:v>
                </c:pt>
                <c:pt idx="22">
                  <c:v>0.67500000000000004</c:v>
                </c:pt>
                <c:pt idx="23">
                  <c:v>0.67500000000000004</c:v>
                </c:pt>
                <c:pt idx="24">
                  <c:v>0.67500000000000004</c:v>
                </c:pt>
                <c:pt idx="25">
                  <c:v>0.67500000000000004</c:v>
                </c:pt>
                <c:pt idx="26">
                  <c:v>0.67500000000000004</c:v>
                </c:pt>
                <c:pt idx="27">
                  <c:v>0.67500000000000004</c:v>
                </c:pt>
                <c:pt idx="28">
                  <c:v>0.67500000000000004</c:v>
                </c:pt>
                <c:pt idx="29">
                  <c:v>0.67500000000000004</c:v>
                </c:pt>
                <c:pt idx="30">
                  <c:v>0.67500000000000004</c:v>
                </c:pt>
                <c:pt idx="31">
                  <c:v>0.67500000000000004</c:v>
                </c:pt>
                <c:pt idx="32">
                  <c:v>0.67500000000000004</c:v>
                </c:pt>
                <c:pt idx="33">
                  <c:v>0.67500000000000004</c:v>
                </c:pt>
                <c:pt idx="34">
                  <c:v>0.67500000000000004</c:v>
                </c:pt>
                <c:pt idx="35">
                  <c:v>0.67500000000000004</c:v>
                </c:pt>
                <c:pt idx="36">
                  <c:v>0.67500000000000004</c:v>
                </c:pt>
                <c:pt idx="37">
                  <c:v>0.67500000000000004</c:v>
                </c:pt>
                <c:pt idx="38">
                  <c:v>0.67500000000000004</c:v>
                </c:pt>
                <c:pt idx="39">
                  <c:v>0.67500000000000004</c:v>
                </c:pt>
                <c:pt idx="40">
                  <c:v>0.67500000000000004</c:v>
                </c:pt>
                <c:pt idx="41">
                  <c:v>0.67500000000000004</c:v>
                </c:pt>
                <c:pt idx="42">
                  <c:v>0.67500000000000004</c:v>
                </c:pt>
                <c:pt idx="43">
                  <c:v>0.67500000000000004</c:v>
                </c:pt>
                <c:pt idx="44">
                  <c:v>0.67500000000000004</c:v>
                </c:pt>
                <c:pt idx="45">
                  <c:v>0.67500000000000004</c:v>
                </c:pt>
                <c:pt idx="46">
                  <c:v>0.67500000000000004</c:v>
                </c:pt>
                <c:pt idx="47">
                  <c:v>0.67500000000000004</c:v>
                </c:pt>
                <c:pt idx="48">
                  <c:v>0.67500000000000004</c:v>
                </c:pt>
                <c:pt idx="49">
                  <c:v>0.67500000000000004</c:v>
                </c:pt>
                <c:pt idx="50">
                  <c:v>0.67500000000000004</c:v>
                </c:pt>
                <c:pt idx="51">
                  <c:v>0.67500000000000004</c:v>
                </c:pt>
                <c:pt idx="52">
                  <c:v>0.67500000000000004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NOVMT!$M$4</c:f>
              <c:strCache>
                <c:ptCount val="1"/>
                <c:pt idx="0">
                  <c:v>Urban</c:v>
                </c:pt>
              </c:strCache>
            </c:strRef>
          </c:tx>
          <c:marker>
            <c:symbol val="none"/>
          </c:marker>
          <c:val>
            <c:numRef>
              <c:f>NOVMT!$M$5:$M$57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NOVMT!$N$4</c:f>
              <c:strCache>
                <c:ptCount val="1"/>
                <c:pt idx="0">
                  <c:v>Suburban Business</c:v>
                </c:pt>
              </c:strCache>
            </c:strRef>
          </c:tx>
          <c:marker>
            <c:symbol val="none"/>
          </c:marker>
          <c:val>
            <c:numRef>
              <c:f>NOVMT!$N$5:$N$57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1.7499999999999998E-2</c:v>
                </c:pt>
                <c:pt idx="18">
                  <c:v>1.7499999999999998E-2</c:v>
                </c:pt>
                <c:pt idx="19">
                  <c:v>1.7499999999999998E-2</c:v>
                </c:pt>
                <c:pt idx="20">
                  <c:v>1.7499999999999998E-2</c:v>
                </c:pt>
                <c:pt idx="21">
                  <c:v>1.7499999999999998E-2</c:v>
                </c:pt>
                <c:pt idx="22">
                  <c:v>1.7499999999999998E-2</c:v>
                </c:pt>
                <c:pt idx="23">
                  <c:v>1.7499999999999998E-2</c:v>
                </c:pt>
                <c:pt idx="24">
                  <c:v>1.7499999999999998E-2</c:v>
                </c:pt>
                <c:pt idx="25">
                  <c:v>1.7499999999999998E-2</c:v>
                </c:pt>
                <c:pt idx="26">
                  <c:v>1.7499999999999998E-2</c:v>
                </c:pt>
                <c:pt idx="27">
                  <c:v>1.7499999999999998E-2</c:v>
                </c:pt>
                <c:pt idx="28">
                  <c:v>1.7499999999999998E-2</c:v>
                </c:pt>
                <c:pt idx="29">
                  <c:v>1.7499999999999998E-2</c:v>
                </c:pt>
                <c:pt idx="30">
                  <c:v>1.7499999999999998E-2</c:v>
                </c:pt>
                <c:pt idx="31">
                  <c:v>1.7499999999999998E-2</c:v>
                </c:pt>
                <c:pt idx="32">
                  <c:v>1.7499999999999998E-2</c:v>
                </c:pt>
                <c:pt idx="33">
                  <c:v>1.7499999999999998E-2</c:v>
                </c:pt>
                <c:pt idx="34">
                  <c:v>1.7499999999999998E-2</c:v>
                </c:pt>
                <c:pt idx="35">
                  <c:v>1.7499999999999998E-2</c:v>
                </c:pt>
                <c:pt idx="36">
                  <c:v>1.7499999999999998E-2</c:v>
                </c:pt>
                <c:pt idx="37">
                  <c:v>1.7499999999999998E-2</c:v>
                </c:pt>
                <c:pt idx="38">
                  <c:v>1.7499999999999998E-2</c:v>
                </c:pt>
                <c:pt idx="39">
                  <c:v>1.7499999999999998E-2</c:v>
                </c:pt>
                <c:pt idx="40">
                  <c:v>1.7499999999999998E-2</c:v>
                </c:pt>
                <c:pt idx="41">
                  <c:v>1.7499999999999998E-2</c:v>
                </c:pt>
                <c:pt idx="42">
                  <c:v>1.7499999999999998E-2</c:v>
                </c:pt>
                <c:pt idx="43">
                  <c:v>1.7499999999999998E-2</c:v>
                </c:pt>
                <c:pt idx="44">
                  <c:v>1.7499999999999998E-2</c:v>
                </c:pt>
                <c:pt idx="45">
                  <c:v>1.7499999999999998E-2</c:v>
                </c:pt>
                <c:pt idx="46">
                  <c:v>1.7499999999999998E-2</c:v>
                </c:pt>
                <c:pt idx="47">
                  <c:v>1.7499999999999998E-2</c:v>
                </c:pt>
                <c:pt idx="48">
                  <c:v>1.7499999999999998E-2</c:v>
                </c:pt>
                <c:pt idx="49">
                  <c:v>1.7499999999999998E-2</c:v>
                </c:pt>
                <c:pt idx="50">
                  <c:v>1.7499999999999998E-2</c:v>
                </c:pt>
                <c:pt idx="51">
                  <c:v>1.7499999999999998E-2</c:v>
                </c:pt>
                <c:pt idx="52">
                  <c:v>1.7499999999999998E-2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NOVMT!$O$4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val>
            <c:numRef>
              <c:f>NOVMT!$O$5:$O$57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NOVMT!$P$4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val>
            <c:numRef>
              <c:f>NOVMT!$P$5:$P$57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51712"/>
        <c:axId val="410053248"/>
      </c:lineChart>
      <c:catAx>
        <c:axId val="4100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10053248"/>
        <c:crosses val="autoZero"/>
        <c:auto val="1"/>
        <c:lblAlgn val="ctr"/>
        <c:lblOffset val="100"/>
        <c:noMultiLvlLbl val="0"/>
      </c:catAx>
      <c:valAx>
        <c:axId val="4100532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005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Area with Major Shared Ride Discounts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ShareRide!$C$4</c:f>
              <c:strCache>
                <c:ptCount val="1"/>
                <c:pt idx="0">
                  <c:v>Downtown</c:v>
                </c:pt>
              </c:strCache>
            </c:strRef>
          </c:tx>
          <c:marker>
            <c:symbol val="none"/>
          </c:marker>
          <c:cat>
            <c:numRef>
              <c:f>ShareRide!$B$5:$B$57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ShareRide!$C$5:$C$57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ShareRide!$D$4</c:f>
              <c:strCache>
                <c:ptCount val="1"/>
                <c:pt idx="0">
                  <c:v>Urban</c:v>
                </c:pt>
              </c:strCache>
            </c:strRef>
          </c:tx>
          <c:marker>
            <c:symbol val="none"/>
          </c:marker>
          <c:cat>
            <c:numRef>
              <c:f>ShareRide!$B$5:$B$57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ShareRide!$D$5:$D$57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ShareRide!$E$4</c:f>
              <c:strCache>
                <c:ptCount val="1"/>
                <c:pt idx="0">
                  <c:v>Suburban Business</c:v>
                </c:pt>
              </c:strCache>
            </c:strRef>
          </c:tx>
          <c:marker>
            <c:symbol val="none"/>
          </c:marker>
          <c:cat>
            <c:numRef>
              <c:f>ShareRide!$B$5:$B$57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ShareRide!$E$5:$E$57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ShareRide!$F$4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cat>
            <c:numRef>
              <c:f>ShareRide!$B$5:$B$57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ShareRide!$F$5:$F$57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ShareRide!$G$4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cat>
            <c:numRef>
              <c:f>ShareRide!$B$5:$B$57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ShareRide!$G$5:$G$57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00800"/>
        <c:axId val="405835776"/>
      </c:lineChart>
      <c:catAx>
        <c:axId val="405100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05835776"/>
        <c:crosses val="autoZero"/>
        <c:auto val="1"/>
        <c:lblAlgn val="ctr"/>
        <c:lblOffset val="100"/>
        <c:tickMarkSkip val="5"/>
        <c:noMultiLvlLbl val="0"/>
      </c:catAx>
      <c:valAx>
        <c:axId val="405835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510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Area with Satellite Parking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Satellite!$C$4</c:f>
              <c:strCache>
                <c:ptCount val="1"/>
                <c:pt idx="0">
                  <c:v>Downtown</c:v>
                </c:pt>
              </c:strCache>
            </c:strRef>
          </c:tx>
          <c:marker>
            <c:symbol val="none"/>
          </c:marker>
          <c:cat>
            <c:numRef>
              <c:f>Satellite!$B$5:$B$57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Satellite!$C$5:$C$57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Satellite!$D$4</c:f>
              <c:strCache>
                <c:ptCount val="1"/>
                <c:pt idx="0">
                  <c:v>Urban</c:v>
                </c:pt>
              </c:strCache>
            </c:strRef>
          </c:tx>
          <c:marker>
            <c:symbol val="none"/>
          </c:marker>
          <c:cat>
            <c:numRef>
              <c:f>Satellite!$B$5:$B$57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Satellite!$D$5:$D$57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Satellite!$E$4</c:f>
              <c:strCache>
                <c:ptCount val="1"/>
                <c:pt idx="0">
                  <c:v>Suburban Business</c:v>
                </c:pt>
              </c:strCache>
            </c:strRef>
          </c:tx>
          <c:marker>
            <c:symbol val="none"/>
          </c:marker>
          <c:cat>
            <c:numRef>
              <c:f>Satellite!$B$5:$B$57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Satellite!$E$5:$E$57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Satellite!$F$4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cat>
            <c:numRef>
              <c:f>Satellite!$B$5:$B$57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Satellite!$F$5:$F$57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Satellite!$G$4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cat>
            <c:numRef>
              <c:f>Satellite!$B$5:$B$57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Satellite!$G$5:$G$57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90784"/>
        <c:axId val="282006656"/>
      </c:lineChart>
      <c:catAx>
        <c:axId val="4059907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82006656"/>
        <c:crosses val="autoZero"/>
        <c:auto val="1"/>
        <c:lblAlgn val="ctr"/>
        <c:lblOffset val="100"/>
        <c:tickMarkSkip val="5"/>
        <c:noMultiLvlLbl val="0"/>
      </c:catAx>
      <c:valAx>
        <c:axId val="2820066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599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Facilities with Congestion Pricing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081489483999196E-2"/>
          <c:y val="0.11798823528892252"/>
          <c:w val="0.55181950741005859"/>
          <c:h val="0.78157874633097957"/>
        </c:manualLayout>
      </c:layout>
      <c:lineChart>
        <c:grouping val="standard"/>
        <c:varyColors val="0"/>
        <c:ser>
          <c:idx val="0"/>
          <c:order val="0"/>
          <c:tx>
            <c:strRef>
              <c:f>Pricing!$C$5</c:f>
              <c:strCache>
                <c:ptCount val="1"/>
                <c:pt idx="0">
                  <c:v>Urban freeways in peak periods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Pricing!$C$6:$C$58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Pricing!$D$5</c:f>
              <c:strCache>
                <c:ptCount val="1"/>
                <c:pt idx="0">
                  <c:v>Urban freeways in offpeak periods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Pricing!$D$6:$D$58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Pricing!$E$5</c:f>
              <c:strCache>
                <c:ptCount val="1"/>
                <c:pt idx="0">
                  <c:v>Major urban arterials in peak periods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Pricing!$E$6:$E$58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Pricing!$F$5</c:f>
              <c:strCache>
                <c:ptCount val="1"/>
                <c:pt idx="0">
                  <c:v>Suburban freeways in peak periods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Pricing!$F$6:$F$58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Pricing!$G$5</c:f>
              <c:strCache>
                <c:ptCount val="1"/>
                <c:pt idx="0">
                  <c:v>Suburban freeways in offpeak periods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Pricing!$G$6:$G$58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Pricing!$H$5</c:f>
              <c:strCache>
                <c:ptCount val="1"/>
                <c:pt idx="0">
                  <c:v>Major suburban arterials in peak periods</c:v>
                </c:pt>
              </c:strCache>
            </c:strRef>
          </c:tx>
          <c:marker>
            <c:symbol val="none"/>
          </c:marker>
          <c:val>
            <c:numRef>
              <c:f>Pricing!$H$6:$H$58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76384"/>
        <c:axId val="410577920"/>
      </c:lineChart>
      <c:catAx>
        <c:axId val="4105763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0577920"/>
        <c:crosses val="autoZero"/>
        <c:auto val="1"/>
        <c:lblAlgn val="ctr"/>
        <c:lblOffset val="100"/>
        <c:tickMarkSkip val="5"/>
        <c:noMultiLvlLbl val="0"/>
      </c:catAx>
      <c:valAx>
        <c:axId val="410577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0576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424918476099578"/>
          <c:y val="0.39131088520597074"/>
          <c:w val="0.36564980513799411"/>
          <c:h val="0.304234050717818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Area Types with Congestion Pricing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Pricing!$N$5</c:f>
              <c:strCache>
                <c:ptCount val="1"/>
                <c:pt idx="0">
                  <c:v>Downtown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Pricing!$N$6:$N$58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5.0127551020408161E-2</c:v>
                </c:pt>
                <c:pt idx="11">
                  <c:v>5.0127551020408161E-2</c:v>
                </c:pt>
                <c:pt idx="12">
                  <c:v>5.0127551020408161E-2</c:v>
                </c:pt>
                <c:pt idx="13">
                  <c:v>5.0127551020408161E-2</c:v>
                </c:pt>
                <c:pt idx="14">
                  <c:v>5.0127551020408161E-2</c:v>
                </c:pt>
                <c:pt idx="15">
                  <c:v>5.0127551020408161E-2</c:v>
                </c:pt>
                <c:pt idx="16">
                  <c:v>5.0127551020408161E-2</c:v>
                </c:pt>
                <c:pt idx="17">
                  <c:v>5.0127551020408161E-2</c:v>
                </c:pt>
                <c:pt idx="18">
                  <c:v>5.0127551020408161E-2</c:v>
                </c:pt>
                <c:pt idx="19">
                  <c:v>5.0127551020408161E-2</c:v>
                </c:pt>
                <c:pt idx="20">
                  <c:v>5.0127551020408161E-2</c:v>
                </c:pt>
                <c:pt idx="21">
                  <c:v>5.0127551020408161E-2</c:v>
                </c:pt>
                <c:pt idx="22">
                  <c:v>5.0127551020408161E-2</c:v>
                </c:pt>
                <c:pt idx="23">
                  <c:v>5.0127551020408161E-2</c:v>
                </c:pt>
                <c:pt idx="24">
                  <c:v>5.0127551020408161E-2</c:v>
                </c:pt>
                <c:pt idx="25">
                  <c:v>5.0127551020408161E-2</c:v>
                </c:pt>
                <c:pt idx="26">
                  <c:v>5.0127551020408161E-2</c:v>
                </c:pt>
                <c:pt idx="27">
                  <c:v>5.0127551020408161E-2</c:v>
                </c:pt>
                <c:pt idx="28">
                  <c:v>5.0127551020408161E-2</c:v>
                </c:pt>
                <c:pt idx="29">
                  <c:v>5.0127551020408161E-2</c:v>
                </c:pt>
                <c:pt idx="30">
                  <c:v>5.0127551020408161E-2</c:v>
                </c:pt>
                <c:pt idx="31">
                  <c:v>5.0127551020408161E-2</c:v>
                </c:pt>
                <c:pt idx="32">
                  <c:v>5.0127551020408161E-2</c:v>
                </c:pt>
                <c:pt idx="33">
                  <c:v>5.0127551020408161E-2</c:v>
                </c:pt>
                <c:pt idx="34">
                  <c:v>5.0127551020408161E-2</c:v>
                </c:pt>
                <c:pt idx="35">
                  <c:v>5.0127551020408161E-2</c:v>
                </c:pt>
                <c:pt idx="36">
                  <c:v>5.0127551020408161E-2</c:v>
                </c:pt>
                <c:pt idx="37">
                  <c:v>5.0127551020408161E-2</c:v>
                </c:pt>
                <c:pt idx="38">
                  <c:v>5.0127551020408161E-2</c:v>
                </c:pt>
                <c:pt idx="39">
                  <c:v>5.0127551020408161E-2</c:v>
                </c:pt>
                <c:pt idx="40">
                  <c:v>5.0127551020408161E-2</c:v>
                </c:pt>
                <c:pt idx="41">
                  <c:v>5.0127551020408161E-2</c:v>
                </c:pt>
                <c:pt idx="42">
                  <c:v>5.0127551020408161E-2</c:v>
                </c:pt>
                <c:pt idx="43">
                  <c:v>5.0127551020408161E-2</c:v>
                </c:pt>
                <c:pt idx="44">
                  <c:v>5.0127551020408161E-2</c:v>
                </c:pt>
                <c:pt idx="45">
                  <c:v>5.0127551020408161E-2</c:v>
                </c:pt>
                <c:pt idx="46">
                  <c:v>5.0127551020408161E-2</c:v>
                </c:pt>
                <c:pt idx="47">
                  <c:v>5.0127551020408161E-2</c:v>
                </c:pt>
                <c:pt idx="48">
                  <c:v>5.0127551020408161E-2</c:v>
                </c:pt>
                <c:pt idx="49">
                  <c:v>5.0127551020408161E-2</c:v>
                </c:pt>
                <c:pt idx="50">
                  <c:v>5.0127551020408161E-2</c:v>
                </c:pt>
                <c:pt idx="51">
                  <c:v>5.0127551020408161E-2</c:v>
                </c:pt>
                <c:pt idx="52">
                  <c:v>5.0127551020408161E-2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Pricing!$O$5</c:f>
              <c:strCache>
                <c:ptCount val="1"/>
                <c:pt idx="0">
                  <c:v>Urban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Pricing!$O$6:$O$58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0.12531887755102042</c:v>
                </c:pt>
                <c:pt idx="11">
                  <c:v>0.12531887755102042</c:v>
                </c:pt>
                <c:pt idx="12">
                  <c:v>0.12531887755102042</c:v>
                </c:pt>
                <c:pt idx="13">
                  <c:v>0.12531887755102042</c:v>
                </c:pt>
                <c:pt idx="14">
                  <c:v>0.12531887755102042</c:v>
                </c:pt>
                <c:pt idx="15">
                  <c:v>0.12531887755102042</c:v>
                </c:pt>
                <c:pt idx="16">
                  <c:v>0.12531887755102042</c:v>
                </c:pt>
                <c:pt idx="17">
                  <c:v>0.12531887755102042</c:v>
                </c:pt>
                <c:pt idx="18">
                  <c:v>0.12531887755102042</c:v>
                </c:pt>
                <c:pt idx="19">
                  <c:v>0.12531887755102042</c:v>
                </c:pt>
                <c:pt idx="20">
                  <c:v>0.12531887755102042</c:v>
                </c:pt>
                <c:pt idx="21">
                  <c:v>0.12531887755102042</c:v>
                </c:pt>
                <c:pt idx="22">
                  <c:v>0.12531887755102042</c:v>
                </c:pt>
                <c:pt idx="23">
                  <c:v>0.12531887755102042</c:v>
                </c:pt>
                <c:pt idx="24">
                  <c:v>0.12531887755102042</c:v>
                </c:pt>
                <c:pt idx="25">
                  <c:v>0.12531887755102042</c:v>
                </c:pt>
                <c:pt idx="26">
                  <c:v>0.12531887755102042</c:v>
                </c:pt>
                <c:pt idx="27">
                  <c:v>0.12531887755102042</c:v>
                </c:pt>
                <c:pt idx="28">
                  <c:v>0.12531887755102042</c:v>
                </c:pt>
                <c:pt idx="29">
                  <c:v>0.12531887755102042</c:v>
                </c:pt>
                <c:pt idx="30">
                  <c:v>0.12531887755102042</c:v>
                </c:pt>
                <c:pt idx="31">
                  <c:v>0.12531887755102042</c:v>
                </c:pt>
                <c:pt idx="32">
                  <c:v>0.12531887755102042</c:v>
                </c:pt>
                <c:pt idx="33">
                  <c:v>0.12531887755102042</c:v>
                </c:pt>
                <c:pt idx="34">
                  <c:v>0.12531887755102042</c:v>
                </c:pt>
                <c:pt idx="35">
                  <c:v>0.12531887755102042</c:v>
                </c:pt>
                <c:pt idx="36">
                  <c:v>0.12531887755102042</c:v>
                </c:pt>
                <c:pt idx="37">
                  <c:v>0.12531887755102042</c:v>
                </c:pt>
                <c:pt idx="38">
                  <c:v>0.12531887755102042</c:v>
                </c:pt>
                <c:pt idx="39">
                  <c:v>0.12531887755102042</c:v>
                </c:pt>
                <c:pt idx="40">
                  <c:v>0.12531887755102042</c:v>
                </c:pt>
                <c:pt idx="41">
                  <c:v>0.12531887755102042</c:v>
                </c:pt>
                <c:pt idx="42">
                  <c:v>0.12531887755102042</c:v>
                </c:pt>
                <c:pt idx="43">
                  <c:v>0.12531887755102042</c:v>
                </c:pt>
                <c:pt idx="44">
                  <c:v>0.12531887755102042</c:v>
                </c:pt>
                <c:pt idx="45">
                  <c:v>0.12531887755102042</c:v>
                </c:pt>
                <c:pt idx="46">
                  <c:v>0.12531887755102042</c:v>
                </c:pt>
                <c:pt idx="47">
                  <c:v>0.12531887755102042</c:v>
                </c:pt>
                <c:pt idx="48">
                  <c:v>0.12531887755102042</c:v>
                </c:pt>
                <c:pt idx="49">
                  <c:v>0.12531887755102042</c:v>
                </c:pt>
                <c:pt idx="50">
                  <c:v>0.12531887755102042</c:v>
                </c:pt>
                <c:pt idx="51">
                  <c:v>0.12531887755102042</c:v>
                </c:pt>
                <c:pt idx="52">
                  <c:v>0.12531887755102042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Pricing!$P$5</c:f>
              <c:strCache>
                <c:ptCount val="1"/>
                <c:pt idx="0">
                  <c:v>Suburban Business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Pricing!$P$6:$P$58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1.6035714285714289E-2</c:v>
                </c:pt>
                <c:pt idx="11">
                  <c:v>1.6035714285714289E-2</c:v>
                </c:pt>
                <c:pt idx="12">
                  <c:v>1.6035714285714289E-2</c:v>
                </c:pt>
                <c:pt idx="13">
                  <c:v>1.6035714285714289E-2</c:v>
                </c:pt>
                <c:pt idx="14">
                  <c:v>1.6035714285714289E-2</c:v>
                </c:pt>
                <c:pt idx="15">
                  <c:v>1.6035714285714289E-2</c:v>
                </c:pt>
                <c:pt idx="16">
                  <c:v>1.6035714285714289E-2</c:v>
                </c:pt>
                <c:pt idx="17">
                  <c:v>1.6035714285714289E-2</c:v>
                </c:pt>
                <c:pt idx="18">
                  <c:v>1.6035714285714289E-2</c:v>
                </c:pt>
                <c:pt idx="19">
                  <c:v>1.6035714285714289E-2</c:v>
                </c:pt>
                <c:pt idx="20">
                  <c:v>1.6035714285714289E-2</c:v>
                </c:pt>
                <c:pt idx="21">
                  <c:v>1.6035714285714289E-2</c:v>
                </c:pt>
                <c:pt idx="22">
                  <c:v>1.6035714285714289E-2</c:v>
                </c:pt>
                <c:pt idx="23">
                  <c:v>1.6035714285714289E-2</c:v>
                </c:pt>
                <c:pt idx="24">
                  <c:v>1.6035714285714289E-2</c:v>
                </c:pt>
                <c:pt idx="25">
                  <c:v>1.6035714285714289E-2</c:v>
                </c:pt>
                <c:pt idx="26">
                  <c:v>1.6035714285714289E-2</c:v>
                </c:pt>
                <c:pt idx="27">
                  <c:v>1.6035714285714289E-2</c:v>
                </c:pt>
                <c:pt idx="28">
                  <c:v>1.6035714285714289E-2</c:v>
                </c:pt>
                <c:pt idx="29">
                  <c:v>1.6035714285714289E-2</c:v>
                </c:pt>
                <c:pt idx="30">
                  <c:v>1.6035714285714289E-2</c:v>
                </c:pt>
                <c:pt idx="31">
                  <c:v>1.6035714285714289E-2</c:v>
                </c:pt>
                <c:pt idx="32">
                  <c:v>1.6035714285714289E-2</c:v>
                </c:pt>
                <c:pt idx="33">
                  <c:v>1.6035714285714289E-2</c:v>
                </c:pt>
                <c:pt idx="34">
                  <c:v>1.6035714285714289E-2</c:v>
                </c:pt>
                <c:pt idx="35">
                  <c:v>1.6035714285714289E-2</c:v>
                </c:pt>
                <c:pt idx="36">
                  <c:v>1.6035714285714289E-2</c:v>
                </c:pt>
                <c:pt idx="37">
                  <c:v>1.6035714285714289E-2</c:v>
                </c:pt>
                <c:pt idx="38">
                  <c:v>1.6035714285714289E-2</c:v>
                </c:pt>
                <c:pt idx="39">
                  <c:v>1.6035714285714289E-2</c:v>
                </c:pt>
                <c:pt idx="40">
                  <c:v>1.6035714285714289E-2</c:v>
                </c:pt>
                <c:pt idx="41">
                  <c:v>1.6035714285714289E-2</c:v>
                </c:pt>
                <c:pt idx="42">
                  <c:v>1.6035714285714289E-2</c:v>
                </c:pt>
                <c:pt idx="43">
                  <c:v>1.6035714285714289E-2</c:v>
                </c:pt>
                <c:pt idx="44">
                  <c:v>1.6035714285714289E-2</c:v>
                </c:pt>
                <c:pt idx="45">
                  <c:v>1.6035714285714289E-2</c:v>
                </c:pt>
                <c:pt idx="46">
                  <c:v>1.6035714285714289E-2</c:v>
                </c:pt>
                <c:pt idx="47">
                  <c:v>1.6035714285714289E-2</c:v>
                </c:pt>
                <c:pt idx="48">
                  <c:v>1.6035714285714289E-2</c:v>
                </c:pt>
                <c:pt idx="49">
                  <c:v>1.6035714285714289E-2</c:v>
                </c:pt>
                <c:pt idx="50">
                  <c:v>1.6035714285714289E-2</c:v>
                </c:pt>
                <c:pt idx="51">
                  <c:v>1.6035714285714289E-2</c:v>
                </c:pt>
                <c:pt idx="52">
                  <c:v>1.6035714285714289E-2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Pricing!$Q$5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Pricing!$Q$6:$Q$58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6.4142857142857154E-2</c:v>
                </c:pt>
                <c:pt idx="11">
                  <c:v>6.4142857142857154E-2</c:v>
                </c:pt>
                <c:pt idx="12">
                  <c:v>6.4142857142857154E-2</c:v>
                </c:pt>
                <c:pt idx="13">
                  <c:v>6.4142857142857154E-2</c:v>
                </c:pt>
                <c:pt idx="14">
                  <c:v>6.4142857142857154E-2</c:v>
                </c:pt>
                <c:pt idx="15">
                  <c:v>6.4142857142857154E-2</c:v>
                </c:pt>
                <c:pt idx="16">
                  <c:v>6.4142857142857154E-2</c:v>
                </c:pt>
                <c:pt idx="17">
                  <c:v>6.4142857142857154E-2</c:v>
                </c:pt>
                <c:pt idx="18">
                  <c:v>6.4142857142857154E-2</c:v>
                </c:pt>
                <c:pt idx="19">
                  <c:v>6.4142857142857154E-2</c:v>
                </c:pt>
                <c:pt idx="20">
                  <c:v>6.4142857142857154E-2</c:v>
                </c:pt>
                <c:pt idx="21">
                  <c:v>6.4142857142857154E-2</c:v>
                </c:pt>
                <c:pt idx="22">
                  <c:v>6.4142857142857154E-2</c:v>
                </c:pt>
                <c:pt idx="23">
                  <c:v>6.4142857142857154E-2</c:v>
                </c:pt>
                <c:pt idx="24">
                  <c:v>6.4142857142857154E-2</c:v>
                </c:pt>
                <c:pt idx="25">
                  <c:v>6.4142857142857154E-2</c:v>
                </c:pt>
                <c:pt idx="26">
                  <c:v>6.4142857142857154E-2</c:v>
                </c:pt>
                <c:pt idx="27">
                  <c:v>6.4142857142857154E-2</c:v>
                </c:pt>
                <c:pt idx="28">
                  <c:v>6.4142857142857154E-2</c:v>
                </c:pt>
                <c:pt idx="29">
                  <c:v>6.4142857142857154E-2</c:v>
                </c:pt>
                <c:pt idx="30">
                  <c:v>6.4142857142857154E-2</c:v>
                </c:pt>
                <c:pt idx="31">
                  <c:v>6.4142857142857154E-2</c:v>
                </c:pt>
                <c:pt idx="32">
                  <c:v>6.4142857142857154E-2</c:v>
                </c:pt>
                <c:pt idx="33">
                  <c:v>6.4142857142857154E-2</c:v>
                </c:pt>
                <c:pt idx="34">
                  <c:v>6.4142857142857154E-2</c:v>
                </c:pt>
                <c:pt idx="35">
                  <c:v>6.4142857142857154E-2</c:v>
                </c:pt>
                <c:pt idx="36">
                  <c:v>6.4142857142857154E-2</c:v>
                </c:pt>
                <c:pt idx="37">
                  <c:v>6.4142857142857154E-2</c:v>
                </c:pt>
                <c:pt idx="38">
                  <c:v>6.4142857142857154E-2</c:v>
                </c:pt>
                <c:pt idx="39">
                  <c:v>6.4142857142857154E-2</c:v>
                </c:pt>
                <c:pt idx="40">
                  <c:v>6.4142857142857154E-2</c:v>
                </c:pt>
                <c:pt idx="41">
                  <c:v>6.4142857142857154E-2</c:v>
                </c:pt>
                <c:pt idx="42">
                  <c:v>6.4142857142857154E-2</c:v>
                </c:pt>
                <c:pt idx="43">
                  <c:v>6.4142857142857154E-2</c:v>
                </c:pt>
                <c:pt idx="44">
                  <c:v>6.4142857142857154E-2</c:v>
                </c:pt>
                <c:pt idx="45">
                  <c:v>6.4142857142857154E-2</c:v>
                </c:pt>
                <c:pt idx="46">
                  <c:v>6.4142857142857154E-2</c:v>
                </c:pt>
                <c:pt idx="47">
                  <c:v>6.4142857142857154E-2</c:v>
                </c:pt>
                <c:pt idx="48">
                  <c:v>6.4142857142857154E-2</c:v>
                </c:pt>
                <c:pt idx="49">
                  <c:v>6.4142857142857154E-2</c:v>
                </c:pt>
                <c:pt idx="50">
                  <c:v>6.4142857142857154E-2</c:v>
                </c:pt>
                <c:pt idx="51">
                  <c:v>6.4142857142857154E-2</c:v>
                </c:pt>
                <c:pt idx="52">
                  <c:v>6.4142857142857154E-2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Pricing!$R$5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Pricing!$R$6:$R$58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9.6214285714285724E-3</c:v>
                </c:pt>
                <c:pt idx="11">
                  <c:v>9.6214285714285724E-3</c:v>
                </c:pt>
                <c:pt idx="12">
                  <c:v>9.6214285714285724E-3</c:v>
                </c:pt>
                <c:pt idx="13">
                  <c:v>9.6214285714285724E-3</c:v>
                </c:pt>
                <c:pt idx="14">
                  <c:v>9.6214285714285724E-3</c:v>
                </c:pt>
                <c:pt idx="15">
                  <c:v>9.6214285714285724E-3</c:v>
                </c:pt>
                <c:pt idx="16">
                  <c:v>9.6214285714285724E-3</c:v>
                </c:pt>
                <c:pt idx="17">
                  <c:v>9.6214285714285724E-3</c:v>
                </c:pt>
                <c:pt idx="18">
                  <c:v>9.6214285714285724E-3</c:v>
                </c:pt>
                <c:pt idx="19">
                  <c:v>9.6214285714285724E-3</c:v>
                </c:pt>
                <c:pt idx="20">
                  <c:v>9.6214285714285724E-3</c:v>
                </c:pt>
                <c:pt idx="21">
                  <c:v>9.6214285714285724E-3</c:v>
                </c:pt>
                <c:pt idx="22">
                  <c:v>9.6214285714285724E-3</c:v>
                </c:pt>
                <c:pt idx="23">
                  <c:v>9.6214285714285724E-3</c:v>
                </c:pt>
                <c:pt idx="24">
                  <c:v>9.6214285714285724E-3</c:v>
                </c:pt>
                <c:pt idx="25">
                  <c:v>9.6214285714285724E-3</c:v>
                </c:pt>
                <c:pt idx="26">
                  <c:v>9.6214285714285724E-3</c:v>
                </c:pt>
                <c:pt idx="27">
                  <c:v>9.6214285714285724E-3</c:v>
                </c:pt>
                <c:pt idx="28">
                  <c:v>9.6214285714285724E-3</c:v>
                </c:pt>
                <c:pt idx="29">
                  <c:v>9.6214285714285724E-3</c:v>
                </c:pt>
                <c:pt idx="30">
                  <c:v>9.6214285714285724E-3</c:v>
                </c:pt>
                <c:pt idx="31">
                  <c:v>9.6214285714285724E-3</c:v>
                </c:pt>
                <c:pt idx="32">
                  <c:v>9.6214285714285724E-3</c:v>
                </c:pt>
                <c:pt idx="33">
                  <c:v>9.6214285714285724E-3</c:v>
                </c:pt>
                <c:pt idx="34">
                  <c:v>9.6214285714285724E-3</c:v>
                </c:pt>
                <c:pt idx="35">
                  <c:v>9.6214285714285724E-3</c:v>
                </c:pt>
                <c:pt idx="36">
                  <c:v>9.6214285714285724E-3</c:v>
                </c:pt>
                <c:pt idx="37">
                  <c:v>9.6214285714285724E-3</c:v>
                </c:pt>
                <c:pt idx="38">
                  <c:v>9.6214285714285724E-3</c:v>
                </c:pt>
                <c:pt idx="39">
                  <c:v>9.6214285714285724E-3</c:v>
                </c:pt>
                <c:pt idx="40">
                  <c:v>9.6214285714285724E-3</c:v>
                </c:pt>
                <c:pt idx="41">
                  <c:v>9.6214285714285724E-3</c:v>
                </c:pt>
                <c:pt idx="42">
                  <c:v>9.6214285714285724E-3</c:v>
                </c:pt>
                <c:pt idx="43">
                  <c:v>9.6214285714285724E-3</c:v>
                </c:pt>
                <c:pt idx="44">
                  <c:v>9.6214285714285724E-3</c:v>
                </c:pt>
                <c:pt idx="45">
                  <c:v>9.6214285714285724E-3</c:v>
                </c:pt>
                <c:pt idx="46">
                  <c:v>9.6214285714285724E-3</c:v>
                </c:pt>
                <c:pt idx="47">
                  <c:v>9.6214285714285724E-3</c:v>
                </c:pt>
                <c:pt idx="48">
                  <c:v>9.6214285714285724E-3</c:v>
                </c:pt>
                <c:pt idx="49">
                  <c:v>9.6214285714285724E-3</c:v>
                </c:pt>
                <c:pt idx="50">
                  <c:v>9.6214285714285724E-3</c:v>
                </c:pt>
                <c:pt idx="51">
                  <c:v>9.6214285714285724E-3</c:v>
                </c:pt>
                <c:pt idx="52">
                  <c:v>9.6214285714285724E-3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147072"/>
        <c:axId val="410165248"/>
      </c:lineChart>
      <c:catAx>
        <c:axId val="4101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165248"/>
        <c:crosses val="autoZero"/>
        <c:auto val="1"/>
        <c:lblAlgn val="ctr"/>
        <c:lblOffset val="100"/>
        <c:noMultiLvlLbl val="0"/>
      </c:catAx>
      <c:valAx>
        <c:axId val="4101652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014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CAV Vehicle Types by Year -</a:t>
            </a:r>
            <a:r>
              <a:rPr lang="en-US" baseline="0"/>
              <a:t> Car Model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277066774769794E-2"/>
          <c:y val="7.625945574568678E-2"/>
          <c:w val="0.90570574640755119"/>
          <c:h val="0.82819228045992788"/>
        </c:manualLayout>
      </c:layout>
      <c:lineChart>
        <c:grouping val="standard"/>
        <c:varyColors val="0"/>
        <c:ser>
          <c:idx val="0"/>
          <c:order val="0"/>
          <c:tx>
            <c:strRef>
              <c:f>'Fleet Types'!$D$14</c:f>
              <c:strCache>
                <c:ptCount val="1"/>
                <c:pt idx="0">
                  <c:v>Type1</c:v>
                </c:pt>
              </c:strCache>
            </c:strRef>
          </c:tx>
          <c:marker>
            <c:symbol val="none"/>
          </c:marker>
          <c:cat>
            <c:numRef>
              <c:f>'Fleet Types'!$B$15:$B$67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'Fleet Types'!$D$15:$D$67</c:f>
              <c:numCache>
                <c:formatCode>0.0%</c:formatCode>
                <c:ptCount val="53"/>
                <c:pt idx="0">
                  <c:v>9.0197612339455296E-5</c:v>
                </c:pt>
                <c:pt idx="1">
                  <c:v>4.3086497130903354E-3</c:v>
                </c:pt>
                <c:pt idx="2">
                  <c:v>2.4830638368554658E-2</c:v>
                </c:pt>
                <c:pt idx="3">
                  <c:v>6.7003208456452495E-2</c:v>
                </c:pt>
                <c:pt idx="4">
                  <c:v>0.12184546625552699</c:v>
                </c:pt>
                <c:pt idx="5">
                  <c:v>0.17385588362964924</c:v>
                </c:pt>
                <c:pt idx="6">
                  <c:v>0.21046689929198956</c:v>
                </c:pt>
                <c:pt idx="7">
                  <c:v>0.22618415840856351</c:v>
                </c:pt>
                <c:pt idx="8">
                  <c:v>0.22294806109337248</c:v>
                </c:pt>
                <c:pt idx="9">
                  <c:v>0.20466177620843407</c:v>
                </c:pt>
                <c:pt idx="10">
                  <c:v>0.17608764443939115</c:v>
                </c:pt>
                <c:pt idx="11">
                  <c:v>0.14278106030526999</c:v>
                </c:pt>
                <c:pt idx="12">
                  <c:v>0.10967599418094114</c:v>
                </c:pt>
                <c:pt idx="13">
                  <c:v>8.0573261515859584E-2</c:v>
                </c:pt>
                <c:pt idx="14">
                  <c:v>5.7343752176999697E-2</c:v>
                </c:pt>
                <c:pt idx="15">
                  <c:v>4.0044839081750515E-2</c:v>
                </c:pt>
                <c:pt idx="16">
                  <c:v>2.7750290379685127E-2</c:v>
                </c:pt>
                <c:pt idx="17">
                  <c:v>1.9200623648231233E-2</c:v>
                </c:pt>
                <c:pt idx="18">
                  <c:v>1.3261562230376263E-2</c:v>
                </c:pt>
                <c:pt idx="19">
                  <c:v>9.0895461725490571E-3</c:v>
                </c:pt>
                <c:pt idx="20">
                  <c:v>6.1224516730936807E-3</c:v>
                </c:pt>
                <c:pt idx="21">
                  <c:v>4.0039585490580483E-3</c:v>
                </c:pt>
                <c:pt idx="22">
                  <c:v>2.5153574666369246E-3</c:v>
                </c:pt>
                <c:pt idx="23">
                  <c:v>1.5041938024695249E-3</c:v>
                </c:pt>
                <c:pt idx="24">
                  <c:v>8.5000137946228372E-4</c:v>
                </c:pt>
                <c:pt idx="25">
                  <c:v>4.5131596366857971E-4</c:v>
                </c:pt>
                <c:pt idx="26">
                  <c:v>2.2421781523510745E-4</c:v>
                </c:pt>
                <c:pt idx="27">
                  <c:v>1.0395300378414339E-4</c:v>
                </c:pt>
                <c:pt idx="28">
                  <c:v>4.493889060607265E-5</c:v>
                </c:pt>
                <c:pt idx="29">
                  <c:v>1.8140335919711487E-5</c:v>
                </c:pt>
                <c:pt idx="30">
                  <c:v>6.8651805899199825E-6</c:v>
                </c:pt>
                <c:pt idx="31">
                  <c:v>2.4520479416023109E-6</c:v>
                </c:pt>
                <c:pt idx="32">
                  <c:v>8.3395580542987522E-7</c:v>
                </c:pt>
                <c:pt idx="33">
                  <c:v>2.7605943367532789E-7</c:v>
                </c:pt>
                <c:pt idx="34">
                  <c:v>9.0058348415731662E-8</c:v>
                </c:pt>
                <c:pt idx="35">
                  <c:v>2.9091158216296579E-8</c:v>
                </c:pt>
                <c:pt idx="36">
                  <c:v>9.3987901643925973E-9</c:v>
                </c:pt>
                <c:pt idx="37">
                  <c:v>3.0631022510995362E-9</c:v>
                </c:pt>
                <c:pt idx="38">
                  <c:v>1.0138996800822164E-9</c:v>
                </c:pt>
                <c:pt idx="39">
                  <c:v>3.4260754220467468E-10</c:v>
                </c:pt>
                <c:pt idx="40">
                  <c:v>1.1860643567367063E-10</c:v>
                </c:pt>
                <c:pt idx="41">
                  <c:v>4.215778323482482E-11</c:v>
                </c:pt>
                <c:pt idx="42">
                  <c:v>1.5401647971992448E-11</c:v>
                </c:pt>
                <c:pt idx="43">
                  <c:v>5.7843682260138679E-12</c:v>
                </c:pt>
                <c:pt idx="44">
                  <c:v>2.7068078282617474E-12</c:v>
                </c:pt>
                <c:pt idx="45">
                  <c:v>1.564146342676506E-12</c:v>
                </c:pt>
                <c:pt idx="46">
                  <c:v>9.0154413795700283E-13</c:v>
                </c:pt>
                <c:pt idx="47">
                  <c:v>5.183621219950112E-13</c:v>
                </c:pt>
                <c:pt idx="48">
                  <c:v>2.9734474012622396E-13</c:v>
                </c:pt>
                <c:pt idx="49">
                  <c:v>1.7018034269201526E-13</c:v>
                </c:pt>
                <c:pt idx="50">
                  <c:v>9.7189552687757808E-14</c:v>
                </c:pt>
                <c:pt idx="51">
                  <c:v>5.5389503732082761E-14</c:v>
                </c:pt>
                <c:pt idx="52">
                  <c:v>3.1504138430354002E-14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'Fleet Types'!$E$14</c:f>
              <c:strCache>
                <c:ptCount val="1"/>
                <c:pt idx="0">
                  <c:v>Type2</c:v>
                </c:pt>
              </c:strCache>
            </c:strRef>
          </c:tx>
          <c:marker>
            <c:symbol val="none"/>
          </c:marker>
          <c:cat>
            <c:numRef>
              <c:f>'Fleet Types'!$B$15:$B$67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'Fleet Types'!$E$15:$E$67</c:f>
              <c:numCache>
                <c:formatCode>0.0%</c:formatCode>
                <c:ptCount val="53"/>
                <c:pt idx="0">
                  <c:v>6.403318360296229E-5</c:v>
                </c:pt>
                <c:pt idx="1">
                  <c:v>6.403318360296229E-5</c:v>
                </c:pt>
                <c:pt idx="2">
                  <c:v>8.4368075014587508E-4</c:v>
                </c:pt>
                <c:pt idx="3">
                  <c:v>4.114746800374566E-3</c:v>
                </c:pt>
                <c:pt idx="4">
                  <c:v>1.2350989844452541E-2</c:v>
                </c:pt>
                <c:pt idx="5">
                  <c:v>2.7777486098350384E-2</c:v>
                </c:pt>
                <c:pt idx="6">
                  <c:v>5.157828699500893E-2</c:v>
                </c:pt>
                <c:pt idx="7">
                  <c:v>8.3549750155405167E-2</c:v>
                </c:pt>
                <c:pt idx="8">
                  <c:v>0.12311370107992543</c:v>
                </c:pt>
                <c:pt idx="9">
                  <c:v>0.16839263248291708</c:v>
                </c:pt>
                <c:pt idx="10">
                  <c:v>0.2161254796167329</c:v>
                </c:pt>
                <c:pt idx="11">
                  <c:v>0.26330840721001381</c:v>
                </c:pt>
                <c:pt idx="12">
                  <c:v>0.30714154844646702</c:v>
                </c:pt>
                <c:pt idx="13">
                  <c:v>0.34435067151352328</c:v>
                </c:pt>
                <c:pt idx="14">
                  <c:v>0.37330547308313072</c:v>
                </c:pt>
                <c:pt idx="15">
                  <c:v>0.39358860637259924</c:v>
                </c:pt>
                <c:pt idx="16">
                  <c:v>0.40483427932594912</c:v>
                </c:pt>
                <c:pt idx="17">
                  <c:v>0.40718573206422304</c:v>
                </c:pt>
                <c:pt idx="18">
                  <c:v>0.40117523421218981</c:v>
                </c:pt>
                <c:pt idx="19">
                  <c:v>0.38760708826966367</c:v>
                </c:pt>
                <c:pt idx="20">
                  <c:v>0.36732501896665481</c:v>
                </c:pt>
                <c:pt idx="21">
                  <c:v>0.34048761331920113</c:v>
                </c:pt>
                <c:pt idx="22">
                  <c:v>0.30963243900018733</c:v>
                </c:pt>
                <c:pt idx="23">
                  <c:v>0.27601316240165102</c:v>
                </c:pt>
                <c:pt idx="24">
                  <c:v>0.24091136028354165</c:v>
                </c:pt>
                <c:pt idx="25">
                  <c:v>0.20562169842207989</c:v>
                </c:pt>
                <c:pt idx="26">
                  <c:v>0.17140944450241125</c:v>
                </c:pt>
                <c:pt idx="27">
                  <c:v>0.13943279641651476</c:v>
                </c:pt>
                <c:pt idx="28">
                  <c:v>0.11064135834336476</c:v>
                </c:pt>
                <c:pt idx="29">
                  <c:v>8.5680352561125411E-2</c:v>
                </c:pt>
                <c:pt idx="30">
                  <c:v>6.4835880316337191E-2</c:v>
                </c:pt>
                <c:pt idx="31">
                  <c:v>4.8043641733023945E-2</c:v>
                </c:pt>
                <c:pt idx="32">
                  <c:v>3.49583864000578E-2</c:v>
                </c:pt>
                <c:pt idx="33">
                  <c:v>2.5106175657249753E-2</c:v>
                </c:pt>
                <c:pt idx="34">
                  <c:v>1.7872027208095775E-2</c:v>
                </c:pt>
                <c:pt idx="35">
                  <c:v>1.2641905578261399E-2</c:v>
                </c:pt>
                <c:pt idx="36">
                  <c:v>8.9130639385815516E-3</c:v>
                </c:pt>
                <c:pt idx="37">
                  <c:v>6.2799186973654412E-3</c:v>
                </c:pt>
                <c:pt idx="38">
                  <c:v>4.4311138057604718E-3</c:v>
                </c:pt>
                <c:pt idx="39">
                  <c:v>3.1362148629459968E-3</c:v>
                </c:pt>
                <c:pt idx="40">
                  <c:v>2.2291257808230141E-3</c:v>
                </c:pt>
                <c:pt idx="41">
                  <c:v>1.5923089339447691E-3</c:v>
                </c:pt>
                <c:pt idx="42">
                  <c:v>1.1435863736847464E-3</c:v>
                </c:pt>
                <c:pt idx="43">
                  <c:v>8.2590756357363629E-4</c:v>
                </c:pt>
                <c:pt idx="44">
                  <c:v>6.337553313899198E-4</c:v>
                </c:pt>
                <c:pt idx="45">
                  <c:v>5.1543000511157858E-4</c:v>
                </c:pt>
                <c:pt idx="46">
                  <c:v>4.1804375503063778E-4</c:v>
                </c:pt>
                <c:pt idx="47">
                  <c:v>3.3816499997297444E-4</c:v>
                </c:pt>
                <c:pt idx="48">
                  <c:v>2.7285892516499622E-4</c:v>
                </c:pt>
                <c:pt idx="49">
                  <c:v>2.1963171896732621E-4</c:v>
                </c:pt>
                <c:pt idx="50">
                  <c:v>1.7637679827021459E-4</c:v>
                </c:pt>
                <c:pt idx="51">
                  <c:v>1.4132434380985108E-4</c:v>
                </c:pt>
                <c:pt idx="52">
                  <c:v>1.12994934364821E-4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'Fleet Types'!$F$14</c:f>
              <c:strCache>
                <c:ptCount val="1"/>
                <c:pt idx="0">
                  <c:v>Type3</c:v>
                </c:pt>
              </c:strCache>
            </c:strRef>
          </c:tx>
          <c:marker>
            <c:symbol val="none"/>
          </c:marker>
          <c:cat>
            <c:numRef>
              <c:f>'Fleet Types'!$B$15:$B$67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'Fleet Types'!$F$15:$F$67</c:f>
              <c:numCache>
                <c:formatCode>0.0%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6.7453356959466578E-3</c:v>
                </c:pt>
                <c:pt idx="9">
                  <c:v>1.6642524263412124E-2</c:v>
                </c:pt>
                <c:pt idx="10">
                  <c:v>2.7686050788352977E-2</c:v>
                </c:pt>
                <c:pt idx="11">
                  <c:v>4.0012853182000443E-2</c:v>
                </c:pt>
                <c:pt idx="12">
                  <c:v>5.3773677228331485E-2</c:v>
                </c:pt>
                <c:pt idx="13">
                  <c:v>6.9037665700086098E-2</c:v>
                </c:pt>
                <c:pt idx="14">
                  <c:v>8.5950764461609749E-2</c:v>
                </c:pt>
                <c:pt idx="15">
                  <c:v>0.10473555882950639</c:v>
                </c:pt>
                <c:pt idx="16">
                  <c:v>0.12556877142857148</c:v>
                </c:pt>
                <c:pt idx="17">
                  <c:v>0.14862405464239117</c:v>
                </c:pt>
                <c:pt idx="18">
                  <c:v>0.17406279970929789</c:v>
                </c:pt>
                <c:pt idx="19">
                  <c:v>0.20202212653399576</c:v>
                </c:pt>
                <c:pt idx="20">
                  <c:v>0.2325526975253373</c:v>
                </c:pt>
                <c:pt idx="21">
                  <c:v>0.26524486024332805</c:v>
                </c:pt>
                <c:pt idx="22">
                  <c:v>0.30042528096453353</c:v>
                </c:pt>
                <c:pt idx="23">
                  <c:v>0.33795990011829652</c:v>
                </c:pt>
                <c:pt idx="24">
                  <c:v>0.37761558546771445</c:v>
                </c:pt>
                <c:pt idx="25">
                  <c:v>0.4190570477978246</c:v>
                </c:pt>
                <c:pt idx="26">
                  <c:v>0.46185388433572333</c:v>
                </c:pt>
                <c:pt idx="27">
                  <c:v>0.50549883697024067</c:v>
                </c:pt>
                <c:pt idx="28">
                  <c:v>0.54943620339618682</c:v>
                </c:pt>
                <c:pt idx="29">
                  <c:v>0.59309704451932221</c:v>
                </c:pt>
                <c:pt idx="30">
                  <c:v>0.63593615517731694</c:v>
                </c:pt>
                <c:pt idx="31">
                  <c:v>0.6774653322264943</c:v>
                </c:pt>
                <c:pt idx="32">
                  <c:v>0.71727844873018176</c:v>
                </c:pt>
                <c:pt idx="33">
                  <c:v>0.75428269343965637</c:v>
                </c:pt>
                <c:pt idx="34">
                  <c:v>0.78843487005184687</c:v>
                </c:pt>
                <c:pt idx="35">
                  <c:v>0.82012911446203174</c:v>
                </c:pt>
                <c:pt idx="36">
                  <c:v>0.84934516169310526</c:v>
                </c:pt>
                <c:pt idx="37">
                  <c:v>0.87612910000253874</c:v>
                </c:pt>
                <c:pt idx="38">
                  <c:v>0.90057662979279163</c:v>
                </c:pt>
                <c:pt idx="39">
                  <c:v>0.9228174956658447</c:v>
                </c:pt>
                <c:pt idx="40">
                  <c:v>0.94300215080444838</c:v>
                </c:pt>
                <c:pt idx="41">
                  <c:v>0.96129106996511682</c:v>
                </c:pt>
                <c:pt idx="42">
                  <c:v>0.9778466812580221</c:v>
                </c:pt>
                <c:pt idx="43">
                  <c:v>0.99282762799085167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'Fleet Types'!$G$14</c:f>
              <c:strCache>
                <c:ptCount val="1"/>
                <c:pt idx="0">
                  <c:v>CAV</c:v>
                </c:pt>
              </c:strCache>
            </c:strRef>
          </c:tx>
          <c:marker>
            <c:symbol val="none"/>
          </c:marker>
          <c:val>
            <c:numRef>
              <c:f>'Fleet Types'!$G$15:$G$67</c:f>
              <c:numCache>
                <c:formatCode>0.0%</c:formatCode>
                <c:ptCount val="53"/>
                <c:pt idx="0">
                  <c:v>1.542307959424176E-4</c:v>
                </c:pt>
                <c:pt idx="1">
                  <c:v>4.3726828966932979E-3</c:v>
                </c:pt>
                <c:pt idx="2">
                  <c:v>2.5674319118700533E-2</c:v>
                </c:pt>
                <c:pt idx="3">
                  <c:v>7.1117955256827056E-2</c:v>
                </c:pt>
                <c:pt idx="4">
                  <c:v>0.13419645609997952</c:v>
                </c:pt>
                <c:pt idx="5">
                  <c:v>0.20163336972799961</c:v>
                </c:pt>
                <c:pt idx="6">
                  <c:v>0.26204518628699847</c:v>
                </c:pt>
                <c:pt idx="7">
                  <c:v>0.30973390856396865</c:v>
                </c:pt>
                <c:pt idx="8">
                  <c:v>0.35280709786924458</c:v>
                </c:pt>
                <c:pt idx="9">
                  <c:v>0.38969693295476326</c:v>
                </c:pt>
                <c:pt idx="10">
                  <c:v>0.41989917484447703</c:v>
                </c:pt>
                <c:pt idx="11">
                  <c:v>0.44610232069728423</c:v>
                </c:pt>
                <c:pt idx="12">
                  <c:v>0.47059121985573965</c:v>
                </c:pt>
                <c:pt idx="13">
                  <c:v>0.49396159872946893</c:v>
                </c:pt>
                <c:pt idx="14">
                  <c:v>0.51659998972174015</c:v>
                </c:pt>
                <c:pt idx="15">
                  <c:v>0.53836900428385615</c:v>
                </c:pt>
                <c:pt idx="16">
                  <c:v>0.55815334113420567</c:v>
                </c:pt>
                <c:pt idx="17">
                  <c:v>0.57501041035484546</c:v>
                </c:pt>
                <c:pt idx="18">
                  <c:v>0.58849959615186398</c:v>
                </c:pt>
                <c:pt idx="19">
                  <c:v>0.59871876097620857</c:v>
                </c:pt>
                <c:pt idx="20">
                  <c:v>0.60600016816508584</c:v>
                </c:pt>
                <c:pt idx="21">
                  <c:v>0.60973643211158712</c:v>
                </c:pt>
                <c:pt idx="22">
                  <c:v>0.61257307743135769</c:v>
                </c:pt>
                <c:pt idx="23">
                  <c:v>0.61547725632241712</c:v>
                </c:pt>
                <c:pt idx="24">
                  <c:v>0.61937694713071834</c:v>
                </c:pt>
                <c:pt idx="25">
                  <c:v>0.62513006218357303</c:v>
                </c:pt>
                <c:pt idx="26">
                  <c:v>0.6334875466533697</c:v>
                </c:pt>
                <c:pt idx="27">
                  <c:v>0.64503558639053959</c:v>
                </c:pt>
                <c:pt idx="28">
                  <c:v>0.66012250063015765</c:v>
                </c:pt>
                <c:pt idx="29">
                  <c:v>0.67879553741636733</c:v>
                </c:pt>
                <c:pt idx="30">
                  <c:v>0.70077890067424409</c:v>
                </c:pt>
                <c:pt idx="31">
                  <c:v>0.72551142600745977</c:v>
                </c:pt>
                <c:pt idx="32">
                  <c:v>0.75223766908604495</c:v>
                </c:pt>
                <c:pt idx="33">
                  <c:v>0.77938914515633972</c:v>
                </c:pt>
                <c:pt idx="34">
                  <c:v>0.80630698731829109</c:v>
                </c:pt>
                <c:pt idx="35">
                  <c:v>0.83277104913145139</c:v>
                </c:pt>
                <c:pt idx="36">
                  <c:v>0.85825823503047705</c:v>
                </c:pt>
                <c:pt idx="37">
                  <c:v>0.8824090217630064</c:v>
                </c:pt>
                <c:pt idx="38">
                  <c:v>0.9050077446124517</c:v>
                </c:pt>
                <c:pt idx="39">
                  <c:v>0.92595371087139822</c:v>
                </c:pt>
                <c:pt idx="40">
                  <c:v>0.94523127670387785</c:v>
                </c:pt>
                <c:pt idx="41">
                  <c:v>0.96288337894121945</c:v>
                </c:pt>
                <c:pt idx="42">
                  <c:v>0.9789902676471085</c:v>
                </c:pt>
                <c:pt idx="43">
                  <c:v>0.99365353556020963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'Fleet Types'!$C$14</c:f>
              <c:strCache>
                <c:ptCount val="1"/>
                <c:pt idx="0">
                  <c:v>Standard</c:v>
                </c:pt>
              </c:strCache>
            </c:strRef>
          </c:tx>
          <c:marker>
            <c:symbol val="none"/>
          </c:marker>
          <c:val>
            <c:numRef>
              <c:f>'Fleet Types'!$C$15:$C$67</c:f>
              <c:numCache>
                <c:formatCode>0%</c:formatCode>
                <c:ptCount val="53"/>
                <c:pt idx="0">
                  <c:v>0.99984576920405754</c:v>
                </c:pt>
                <c:pt idx="1">
                  <c:v>0.99562731710330665</c:v>
                </c:pt>
                <c:pt idx="2">
                  <c:v>0.97432568088129945</c:v>
                </c:pt>
                <c:pt idx="3">
                  <c:v>0.92888204474317293</c:v>
                </c:pt>
                <c:pt idx="4">
                  <c:v>0.86580354390002046</c:v>
                </c:pt>
                <c:pt idx="5">
                  <c:v>0.79836663027200039</c:v>
                </c:pt>
                <c:pt idx="6">
                  <c:v>0.73795481371300153</c:v>
                </c:pt>
                <c:pt idx="7">
                  <c:v>0.69026609143603135</c:v>
                </c:pt>
                <c:pt idx="8">
                  <c:v>0.64719290213075542</c:v>
                </c:pt>
                <c:pt idx="9">
                  <c:v>0.61030306704523674</c:v>
                </c:pt>
                <c:pt idx="10">
                  <c:v>0.58010082515552297</c:v>
                </c:pt>
                <c:pt idx="11">
                  <c:v>0.55389767930271572</c:v>
                </c:pt>
                <c:pt idx="12">
                  <c:v>0.5294087801442604</c:v>
                </c:pt>
                <c:pt idx="13">
                  <c:v>0.50603840127053101</c:v>
                </c:pt>
                <c:pt idx="14">
                  <c:v>0.48340001027825985</c:v>
                </c:pt>
                <c:pt idx="15">
                  <c:v>0.46163099571614385</c:v>
                </c:pt>
                <c:pt idx="16">
                  <c:v>0.44184665886579433</c:v>
                </c:pt>
                <c:pt idx="17">
                  <c:v>0.42498958964515454</c:v>
                </c:pt>
                <c:pt idx="18">
                  <c:v>0.41150040384813602</c:v>
                </c:pt>
                <c:pt idx="19">
                  <c:v>0.40128123902379143</c:v>
                </c:pt>
                <c:pt idx="20">
                  <c:v>0.39399983183491416</c:v>
                </c:pt>
                <c:pt idx="21">
                  <c:v>0.39026356788841288</c:v>
                </c:pt>
                <c:pt idx="22">
                  <c:v>0.38742692256864231</c:v>
                </c:pt>
                <c:pt idx="23">
                  <c:v>0.38452274367758288</c:v>
                </c:pt>
                <c:pt idx="24">
                  <c:v>0.38062305286928166</c:v>
                </c:pt>
                <c:pt idx="25">
                  <c:v>0.37486993781642697</c:v>
                </c:pt>
                <c:pt idx="26">
                  <c:v>0.3665124533466303</c:v>
                </c:pt>
                <c:pt idx="27">
                  <c:v>0.35496441360946041</c:v>
                </c:pt>
                <c:pt idx="28">
                  <c:v>0.33987749936984235</c:v>
                </c:pt>
                <c:pt idx="29">
                  <c:v>0.32120446258363267</c:v>
                </c:pt>
                <c:pt idx="30">
                  <c:v>0.29922109932575591</c:v>
                </c:pt>
                <c:pt idx="31">
                  <c:v>0.27448857399254023</c:v>
                </c:pt>
                <c:pt idx="32">
                  <c:v>0.24776233091395505</c:v>
                </c:pt>
                <c:pt idx="33">
                  <c:v>0.22061085484366028</c:v>
                </c:pt>
                <c:pt idx="34">
                  <c:v>0.19369301268170891</c:v>
                </c:pt>
                <c:pt idx="35">
                  <c:v>0.16722895086854861</c:v>
                </c:pt>
                <c:pt idx="36">
                  <c:v>0.14174176496952295</c:v>
                </c:pt>
                <c:pt idx="37">
                  <c:v>0.1175909782369936</c:v>
                </c:pt>
                <c:pt idx="38">
                  <c:v>9.4992255387548297E-2</c:v>
                </c:pt>
                <c:pt idx="39">
                  <c:v>7.4046289128601783E-2</c:v>
                </c:pt>
                <c:pt idx="40">
                  <c:v>5.4768723296122146E-2</c:v>
                </c:pt>
                <c:pt idx="41">
                  <c:v>3.7116621058780552E-2</c:v>
                </c:pt>
                <c:pt idx="42">
                  <c:v>2.1009732352891497E-2</c:v>
                </c:pt>
                <c:pt idx="43">
                  <c:v>6.3464644397903669E-3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06592"/>
        <c:axId val="410616576"/>
      </c:lineChart>
      <c:catAx>
        <c:axId val="410606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0616576"/>
        <c:crosses val="autoZero"/>
        <c:auto val="1"/>
        <c:lblAlgn val="ctr"/>
        <c:lblOffset val="100"/>
        <c:tickMarkSkip val="5"/>
        <c:noMultiLvlLbl val="0"/>
      </c:catAx>
      <c:valAx>
        <c:axId val="410616576"/>
        <c:scaling>
          <c:orientation val="minMax"/>
          <c:max val="1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10606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8875791500868"/>
          <c:y val="0.38197763960819925"/>
          <c:w val="0.11540321144107693"/>
          <c:h val="0.219386291941497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CAV Vehicle Types by Year -</a:t>
            </a:r>
            <a:r>
              <a:rPr lang="en-US" baseline="0"/>
              <a:t> Truck Model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277066774769794E-2"/>
          <c:y val="7.625945574568678E-2"/>
          <c:w val="0.90570574640755119"/>
          <c:h val="0.82819228045992788"/>
        </c:manualLayout>
      </c:layout>
      <c:lineChart>
        <c:grouping val="standard"/>
        <c:varyColors val="0"/>
        <c:ser>
          <c:idx val="0"/>
          <c:order val="0"/>
          <c:tx>
            <c:strRef>
              <c:f>'Fleet Types'!$I$14</c:f>
              <c:strCache>
                <c:ptCount val="1"/>
                <c:pt idx="0">
                  <c:v>Type1</c:v>
                </c:pt>
              </c:strCache>
            </c:strRef>
          </c:tx>
          <c:marker>
            <c:symbol val="none"/>
          </c:marker>
          <c:cat>
            <c:numRef>
              <c:f>'Fleet Types'!$B$15:$B$67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'Fleet Types'!$I$15:$I$67</c:f>
              <c:numCache>
                <c:formatCode>0.0%</c:formatCode>
                <c:ptCount val="53"/>
                <c:pt idx="0">
                  <c:v>9.6351884362913184E-4</c:v>
                </c:pt>
                <c:pt idx="1">
                  <c:v>1.9214704965523563E-2</c:v>
                </c:pt>
                <c:pt idx="2">
                  <c:v>7.8297050482102976E-2</c:v>
                </c:pt>
                <c:pt idx="3">
                  <c:v>0.16653102478293502</c:v>
                </c:pt>
                <c:pt idx="4">
                  <c:v>0.24804254652640964</c:v>
                </c:pt>
                <c:pt idx="5">
                  <c:v>0.29491178353550562</c:v>
                </c:pt>
                <c:pt idx="6">
                  <c:v>0.30012880011952398</c:v>
                </c:pt>
                <c:pt idx="7">
                  <c:v>0.27253446910722245</c:v>
                </c:pt>
                <c:pt idx="8">
                  <c:v>0.22697367113978706</c:v>
                </c:pt>
                <c:pt idx="9">
                  <c:v>0.17640294642530752</c:v>
                </c:pt>
                <c:pt idx="10">
                  <c:v>0.1294319865439556</c:v>
                </c:pt>
                <c:pt idx="11">
                  <c:v>9.0464426632779663E-2</c:v>
                </c:pt>
                <c:pt idx="12">
                  <c:v>6.0672686571413094E-2</c:v>
                </c:pt>
                <c:pt idx="13">
                  <c:v>3.9321819449523406E-2</c:v>
                </c:pt>
                <c:pt idx="14">
                  <c:v>2.4785398108619537E-2</c:v>
                </c:pt>
                <c:pt idx="15">
                  <c:v>1.5275570085040968E-2</c:v>
                </c:pt>
                <c:pt idx="16">
                  <c:v>9.2448749991699171E-3</c:v>
                </c:pt>
                <c:pt idx="17">
                  <c:v>5.5098398084763188E-3</c:v>
                </c:pt>
                <c:pt idx="18">
                  <c:v>3.2385668666807454E-3</c:v>
                </c:pt>
                <c:pt idx="19">
                  <c:v>1.8782294166672939E-3</c:v>
                </c:pt>
                <c:pt idx="20">
                  <c:v>1.0746938270705076E-3</c:v>
                </c:pt>
                <c:pt idx="21">
                  <c:v>6.0638145122926166E-4</c:v>
                </c:pt>
                <c:pt idx="22">
                  <c:v>3.3737542836962271E-4</c:v>
                </c:pt>
                <c:pt idx="23">
                  <c:v>1.8511154340756397E-4</c:v>
                </c:pt>
                <c:pt idx="24">
                  <c:v>1.0019075231604044E-4</c:v>
                </c:pt>
                <c:pt idx="25">
                  <c:v>5.3513170042162162E-5</c:v>
                </c:pt>
                <c:pt idx="26">
                  <c:v>2.8217168072406535E-5</c:v>
                </c:pt>
                <c:pt idx="27">
                  <c:v>1.4695006888321757E-5</c:v>
                </c:pt>
                <c:pt idx="28">
                  <c:v>7.5616891684163756E-6</c:v>
                </c:pt>
                <c:pt idx="29">
                  <c:v>3.8465071514785996E-6</c:v>
                </c:pt>
                <c:pt idx="30">
                  <c:v>1.9353115236209009E-6</c:v>
                </c:pt>
                <c:pt idx="31">
                  <c:v>9.6372543572810552E-7</c:v>
                </c:pt>
                <c:pt idx="32">
                  <c:v>4.7533895056099794E-7</c:v>
                </c:pt>
                <c:pt idx="33">
                  <c:v>2.3255465459115996E-7</c:v>
                </c:pt>
                <c:pt idx="34">
                  <c:v>1.1298444917659226E-7</c:v>
                </c:pt>
                <c:pt idx="35">
                  <c:v>5.455014982488199E-8</c:v>
                </c:pt>
                <c:pt idx="36">
                  <c:v>2.619903458594818E-8</c:v>
                </c:pt>
                <c:pt idx="37">
                  <c:v>1.2528262219258942E-8</c:v>
                </c:pt>
                <c:pt idx="38">
                  <c:v>5.9700765111529219E-9</c:v>
                </c:pt>
                <c:pt idx="39">
                  <c:v>2.8371015516822258E-9</c:v>
                </c:pt>
                <c:pt idx="40">
                  <c:v>1.3453944072313459E-9</c:v>
                </c:pt>
                <c:pt idx="41">
                  <c:v>6.3698531420652483E-10</c:v>
                </c:pt>
                <c:pt idx="42">
                  <c:v>3.0122701287796408E-10</c:v>
                </c:pt>
                <c:pt idx="43">
                  <c:v>1.4232515649816374E-10</c:v>
                </c:pt>
                <c:pt idx="44">
                  <c:v>6.7204093679040154E-11</c:v>
                </c:pt>
                <c:pt idx="45">
                  <c:v>3.1718263406207506E-11</c:v>
                </c:pt>
                <c:pt idx="46">
                  <c:v>1.4964831602544753E-11</c:v>
                </c:pt>
                <c:pt idx="47">
                  <c:v>7.0585105577728699E-12</c:v>
                </c:pt>
                <c:pt idx="48">
                  <c:v>3.3284991878938298E-12</c:v>
                </c:pt>
                <c:pt idx="49">
                  <c:v>1.6096251727115573E-12</c:v>
                </c:pt>
                <c:pt idx="50">
                  <c:v>7.8034317303990678E-13</c:v>
                </c:pt>
                <c:pt idx="51">
                  <c:v>3.7750668948214167E-13</c:v>
                </c:pt>
                <c:pt idx="52">
                  <c:v>1.8225394047950586E-13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'Fleet Types'!$J$14</c:f>
              <c:strCache>
                <c:ptCount val="1"/>
                <c:pt idx="0">
                  <c:v>Type2</c:v>
                </c:pt>
              </c:strCache>
            </c:strRef>
          </c:tx>
          <c:marker>
            <c:symbol val="none"/>
          </c:marker>
          <c:cat>
            <c:numRef>
              <c:f>'Fleet Types'!$B$15:$B$67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'Fleet Types'!$J$15:$J$67</c:f>
              <c:numCache>
                <c:formatCode>0.0%</c:formatCode>
                <c:ptCount val="53"/>
                <c:pt idx="0">
                  <c:v>5.9745072854697574E-5</c:v>
                </c:pt>
                <c:pt idx="1">
                  <c:v>5.4598709725145228E-4</c:v>
                </c:pt>
                <c:pt idx="2">
                  <c:v>3.1752429079499956E-3</c:v>
                </c:pt>
                <c:pt idx="3">
                  <c:v>1.0562052416781447E-2</c:v>
                </c:pt>
                <c:pt idx="4">
                  <c:v>2.5448752173639778E-2</c:v>
                </c:pt>
                <c:pt idx="5">
                  <c:v>4.9690893772637044E-2</c:v>
                </c:pt>
                <c:pt idx="6">
                  <c:v>8.3677631874436054E-2</c:v>
                </c:pt>
                <c:pt idx="7">
                  <c:v>0.12624809479125582</c:v>
                </c:pt>
                <c:pt idx="8">
                  <c:v>0.17631758255381147</c:v>
                </c:pt>
                <c:pt idx="9">
                  <c:v>0.23133158345916058</c:v>
                </c:pt>
                <c:pt idx="10">
                  <c:v>0.28726398258760383</c:v>
                </c:pt>
                <c:pt idx="11">
                  <c:v>0.34078895274520143</c:v>
                </c:pt>
                <c:pt idx="12">
                  <c:v>0.38899764754959504</c:v>
                </c:pt>
                <c:pt idx="13">
                  <c:v>0.42845806332473335</c:v>
                </c:pt>
                <c:pt idx="14">
                  <c:v>0.4578264355725738</c:v>
                </c:pt>
                <c:pt idx="15">
                  <c:v>0.47717295116283814</c:v>
                </c:pt>
                <c:pt idx="16">
                  <c:v>0.48653556893206579</c:v>
                </c:pt>
                <c:pt idx="17">
                  <c:v>0.48649728163217598</c:v>
                </c:pt>
                <c:pt idx="18">
                  <c:v>0.47803988400756275</c:v>
                </c:pt>
                <c:pt idx="19">
                  <c:v>0.46240054521441432</c:v>
                </c:pt>
                <c:pt idx="20">
                  <c:v>0.44077241787068977</c:v>
                </c:pt>
                <c:pt idx="21">
                  <c:v>0.41329573483980553</c:v>
                </c:pt>
                <c:pt idx="22">
                  <c:v>0.38296379874960079</c:v>
                </c:pt>
                <c:pt idx="23">
                  <c:v>0.35100435895067805</c:v>
                </c:pt>
                <c:pt idx="24">
                  <c:v>0.318478056387205</c:v>
                </c:pt>
                <c:pt idx="25">
                  <c:v>0.28626514257283597</c:v>
                </c:pt>
                <c:pt idx="26">
                  <c:v>0.25506597731767672</c:v>
                </c:pt>
                <c:pt idx="27">
                  <c:v>0.22541114800474346</c:v>
                </c:pt>
                <c:pt idx="28">
                  <c:v>0.1976776558474036</c:v>
                </c:pt>
                <c:pt idx="29">
                  <c:v>0.17210836125395065</c:v>
                </c:pt>
                <c:pt idx="30">
                  <c:v>0.1488326360586873</c:v>
                </c:pt>
                <c:pt idx="31">
                  <c:v>0.1278868329967015</c:v>
                </c:pt>
                <c:pt idx="32">
                  <c:v>0.10923369293539333</c:v>
                </c:pt>
                <c:pt idx="33">
                  <c:v>9.2609490467079336E-2</c:v>
                </c:pt>
                <c:pt idx="34">
                  <c:v>7.8013156217589863E-2</c:v>
                </c:pt>
                <c:pt idx="35">
                  <c:v>6.5400769117632457E-2</c:v>
                </c:pt>
                <c:pt idx="36">
                  <c:v>5.4581087960104399E-2</c:v>
                </c:pt>
                <c:pt idx="37">
                  <c:v>4.5360453897213132E-2</c:v>
                </c:pt>
                <c:pt idx="38">
                  <c:v>3.754995019440454E-2</c:v>
                </c:pt>
                <c:pt idx="39">
                  <c:v>3.0970500238100523E-2</c:v>
                </c:pt>
                <c:pt idx="40">
                  <c:v>2.5456196221450032E-2</c:v>
                </c:pt>
                <c:pt idx="41">
                  <c:v>2.0856180241471421E-2</c:v>
                </c:pt>
                <c:pt idx="42">
                  <c:v>1.7035398011861668E-2</c:v>
                </c:pt>
                <c:pt idx="43">
                  <c:v>1.387451980108852E-2</c:v>
                </c:pt>
                <c:pt idx="44">
                  <c:v>1.1269282732153692E-2</c:v>
                </c:pt>
                <c:pt idx="45">
                  <c:v>9.1294619330013586E-3</c:v>
                </c:pt>
                <c:pt idx="46">
                  <c:v>7.3776318299894643E-3</c:v>
                </c:pt>
                <c:pt idx="47">
                  <c:v>5.9478372727787346E-3</c:v>
                </c:pt>
                <c:pt idx="48">
                  <c:v>4.7842591549516929E-3</c:v>
                </c:pt>
                <c:pt idx="49">
                  <c:v>3.849707041207775E-3</c:v>
                </c:pt>
                <c:pt idx="50">
                  <c:v>3.0920695818063286E-3</c:v>
                </c:pt>
                <c:pt idx="51">
                  <c:v>2.4780696509577541E-3</c:v>
                </c:pt>
                <c:pt idx="52">
                  <c:v>1.9817857373387979E-3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'Fleet Types'!$K$14</c:f>
              <c:strCache>
                <c:ptCount val="1"/>
                <c:pt idx="0">
                  <c:v>Type3</c:v>
                </c:pt>
              </c:strCache>
            </c:strRef>
          </c:tx>
          <c:marker>
            <c:symbol val="none"/>
          </c:marker>
          <c:cat>
            <c:numRef>
              <c:f>'Fleet Types'!$B$15:$B$67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'Fleet Types'!$K$15:$K$67</c:f>
              <c:numCache>
                <c:formatCode>0.0%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3.5685524236427411E-3</c:v>
                </c:pt>
                <c:pt idx="7">
                  <c:v>1.1711350258125384E-2</c:v>
                </c:pt>
                <c:pt idx="8">
                  <c:v>2.066466340670221E-2</c:v>
                </c:pt>
                <c:pt idx="9">
                  <c:v>3.057458294599685E-2</c:v>
                </c:pt>
                <c:pt idx="10">
                  <c:v>4.1508700956428779E-2</c:v>
                </c:pt>
                <c:pt idx="11">
                  <c:v>5.3572644894188795E-2</c:v>
                </c:pt>
                <c:pt idx="12">
                  <c:v>6.6880225524481321E-2</c:v>
                </c:pt>
                <c:pt idx="13">
                  <c:v>8.1440583104134726E-2</c:v>
                </c:pt>
                <c:pt idx="14">
                  <c:v>9.7360034448115945E-2</c:v>
                </c:pt>
                <c:pt idx="15">
                  <c:v>0.1148208700973235</c:v>
                </c:pt>
                <c:pt idx="16">
                  <c:v>0.13394360165437141</c:v>
                </c:pt>
                <c:pt idx="17">
                  <c:v>0.15484406351100988</c:v>
                </c:pt>
                <c:pt idx="18">
                  <c:v>0.17762777296234131</c:v>
                </c:pt>
                <c:pt idx="19">
                  <c:v>0.20238295281577745</c:v>
                </c:pt>
                <c:pt idx="20">
                  <c:v>0.22912557761797292</c:v>
                </c:pt>
                <c:pt idx="21">
                  <c:v>0.25744722559897132</c:v>
                </c:pt>
                <c:pt idx="22">
                  <c:v>0.28769389790587646</c:v>
                </c:pt>
                <c:pt idx="23">
                  <c:v>0.31978659751425065</c:v>
                </c:pt>
                <c:pt idx="24">
                  <c:v>0.35358808179543744</c:v>
                </c:pt>
                <c:pt idx="25">
                  <c:v>0.38889983696345565</c:v>
                </c:pt>
                <c:pt idx="26">
                  <c:v>0.4254634411800034</c:v>
                </c:pt>
                <c:pt idx="27">
                  <c:v>0.46296706897001416</c:v>
                </c:pt>
                <c:pt idx="28">
                  <c:v>0.50105720145571386</c:v>
                </c:pt>
                <c:pt idx="29">
                  <c:v>0.53935475592949655</c:v>
                </c:pt>
                <c:pt idx="30">
                  <c:v>0.57747403363707095</c:v>
                </c:pt>
                <c:pt idx="31">
                  <c:v>0.61504233137631759</c:v>
                </c:pt>
                <c:pt idx="32">
                  <c:v>0.65171793659829091</c:v>
                </c:pt>
                <c:pt idx="33">
                  <c:v>0.68649180113947272</c:v>
                </c:pt>
                <c:pt idx="34">
                  <c:v>0.71926953903480695</c:v>
                </c:pt>
                <c:pt idx="35">
                  <c:v>0.75032964728775364</c:v>
                </c:pt>
                <c:pt idx="36">
                  <c:v>0.77955916635244238</c:v>
                </c:pt>
                <c:pt idx="37">
                  <c:v>0.80690039783816514</c:v>
                </c:pt>
                <c:pt idx="38">
                  <c:v>0.83234364133501249</c:v>
                </c:pt>
                <c:pt idx="39">
                  <c:v>0.85591860987367796</c:v>
                </c:pt>
                <c:pt idx="40">
                  <c:v>0.87768557199345365</c:v>
                </c:pt>
                <c:pt idx="41">
                  <c:v>0.89772698841068277</c:v>
                </c:pt>
                <c:pt idx="42">
                  <c:v>0.91614012249413823</c:v>
                </c:pt>
                <c:pt idx="43">
                  <c:v>0.93303085555149889</c:v>
                </c:pt>
                <c:pt idx="44">
                  <c:v>0.94850875204038743</c:v>
                </c:pt>
                <c:pt idx="45">
                  <c:v>0.96268329786296702</c:v>
                </c:pt>
                <c:pt idx="46">
                  <c:v>0.97566116720641405</c:v>
                </c:pt>
                <c:pt idx="47">
                  <c:v>0.98754434605529118</c:v>
                </c:pt>
                <c:pt idx="48">
                  <c:v>0.99842893988751713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'Fleet Types'!$L$14</c:f>
              <c:strCache>
                <c:ptCount val="1"/>
                <c:pt idx="0">
                  <c:v>CAV</c:v>
                </c:pt>
              </c:strCache>
            </c:strRef>
          </c:tx>
          <c:marker>
            <c:symbol val="none"/>
          </c:marker>
          <c:val>
            <c:numRef>
              <c:f>'Fleet Types'!$L$15:$L$67</c:f>
              <c:numCache>
                <c:formatCode>0.0%</c:formatCode>
                <c:ptCount val="53"/>
                <c:pt idx="0">
                  <c:v>1.0232639164838293E-3</c:v>
                </c:pt>
                <c:pt idx="1">
                  <c:v>1.9760692062775014E-2</c:v>
                </c:pt>
                <c:pt idx="2">
                  <c:v>8.1472293390052977E-2</c:v>
                </c:pt>
                <c:pt idx="3">
                  <c:v>0.17709307719971648</c:v>
                </c:pt>
                <c:pt idx="4">
                  <c:v>0.2734912987000494</c:v>
                </c:pt>
                <c:pt idx="5">
                  <c:v>0.34460267730814265</c:v>
                </c:pt>
                <c:pt idx="6">
                  <c:v>0.38737498441760276</c:v>
                </c:pt>
                <c:pt idx="7">
                  <c:v>0.41049391415660363</c:v>
                </c:pt>
                <c:pt idx="8">
                  <c:v>0.42395591710030073</c:v>
                </c:pt>
                <c:pt idx="9">
                  <c:v>0.43830911283046492</c:v>
                </c:pt>
                <c:pt idx="10">
                  <c:v>0.45820467008798821</c:v>
                </c:pt>
                <c:pt idx="11">
                  <c:v>0.48482602427216986</c:v>
                </c:pt>
                <c:pt idx="12">
                  <c:v>0.51655055964548946</c:v>
                </c:pt>
                <c:pt idx="13">
                  <c:v>0.54922046587839146</c:v>
                </c:pt>
                <c:pt idx="14">
                  <c:v>0.57997186812930934</c:v>
                </c:pt>
                <c:pt idx="15">
                  <c:v>0.60726939134520264</c:v>
                </c:pt>
                <c:pt idx="16">
                  <c:v>0.62972404558560713</c:v>
                </c:pt>
                <c:pt idx="17">
                  <c:v>0.64685118495166216</c:v>
                </c:pt>
                <c:pt idx="18">
                  <c:v>0.65890622383658481</c:v>
                </c:pt>
                <c:pt idx="19">
                  <c:v>0.66666172744685903</c:v>
                </c:pt>
                <c:pt idx="20">
                  <c:v>0.67097268931573317</c:v>
                </c:pt>
                <c:pt idx="21">
                  <c:v>0.67134934189000617</c:v>
                </c:pt>
                <c:pt idx="22">
                  <c:v>0.6709950720838469</c:v>
                </c:pt>
                <c:pt idx="23">
                  <c:v>0.67097606800833631</c:v>
                </c:pt>
                <c:pt idx="24">
                  <c:v>0.67216632893495853</c:v>
                </c:pt>
                <c:pt idx="25">
                  <c:v>0.67521849270633383</c:v>
                </c:pt>
                <c:pt idx="26">
                  <c:v>0.68055763566575256</c:v>
                </c:pt>
                <c:pt idx="27">
                  <c:v>0.68839291198164598</c:v>
                </c:pt>
                <c:pt idx="28">
                  <c:v>0.69874241899228584</c:v>
                </c:pt>
                <c:pt idx="29">
                  <c:v>0.7114669636905987</c:v>
                </c:pt>
                <c:pt idx="30">
                  <c:v>0.72630860500728189</c:v>
                </c:pt>
                <c:pt idx="31">
                  <c:v>0.74293012809845482</c:v>
                </c:pt>
                <c:pt idx="32">
                  <c:v>0.76095210487263476</c:v>
                </c:pt>
                <c:pt idx="33">
                  <c:v>0.7791015241612067</c:v>
                </c:pt>
                <c:pt idx="34">
                  <c:v>0.79728280823684594</c:v>
                </c:pt>
                <c:pt idx="35">
                  <c:v>0.81573047095553597</c:v>
                </c:pt>
                <c:pt idx="36">
                  <c:v>0.8341402805115814</c:v>
                </c:pt>
                <c:pt idx="37">
                  <c:v>0.85226086426364045</c:v>
                </c:pt>
                <c:pt idx="38">
                  <c:v>0.86989359749949358</c:v>
                </c:pt>
                <c:pt idx="39">
                  <c:v>0.88688911294888007</c:v>
                </c:pt>
                <c:pt idx="40">
                  <c:v>0.90314176956029812</c:v>
                </c:pt>
                <c:pt idx="41">
                  <c:v>0.91858316928913952</c:v>
                </c:pt>
                <c:pt idx="42">
                  <c:v>0.93317552080722699</c:v>
                </c:pt>
                <c:pt idx="43">
                  <c:v>0.9469053754949126</c:v>
                </c:pt>
                <c:pt idx="44">
                  <c:v>0.95977803483974522</c:v>
                </c:pt>
                <c:pt idx="45">
                  <c:v>0.97181275982768667</c:v>
                </c:pt>
                <c:pt idx="46">
                  <c:v>0.98303879905136837</c:v>
                </c:pt>
                <c:pt idx="47">
                  <c:v>0.99349218333512834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'Fleet Types'!$H$14</c:f>
              <c:strCache>
                <c:ptCount val="1"/>
                <c:pt idx="0">
                  <c:v>Standard</c:v>
                </c:pt>
              </c:strCache>
            </c:strRef>
          </c:tx>
          <c:marker>
            <c:symbol val="none"/>
          </c:marker>
          <c:val>
            <c:numRef>
              <c:f>'Fleet Types'!$H$15:$H$67</c:f>
              <c:numCache>
                <c:formatCode>0%</c:formatCode>
                <c:ptCount val="53"/>
                <c:pt idx="0">
                  <c:v>0.99897673608351623</c:v>
                </c:pt>
                <c:pt idx="1">
                  <c:v>0.98023930793722502</c:v>
                </c:pt>
                <c:pt idx="2">
                  <c:v>0.91852770660994698</c:v>
                </c:pt>
                <c:pt idx="3">
                  <c:v>0.82290692280028355</c:v>
                </c:pt>
                <c:pt idx="4">
                  <c:v>0.7265087012999506</c:v>
                </c:pt>
                <c:pt idx="5">
                  <c:v>0.65539732269185735</c:v>
                </c:pt>
                <c:pt idx="6">
                  <c:v>0.61262501558239724</c:v>
                </c:pt>
                <c:pt idx="7">
                  <c:v>0.58950608584339637</c:v>
                </c:pt>
                <c:pt idx="8">
                  <c:v>0.57604408289969933</c:v>
                </c:pt>
                <c:pt idx="9">
                  <c:v>0.56169088716953508</c:v>
                </c:pt>
                <c:pt idx="10">
                  <c:v>0.54179532991201174</c:v>
                </c:pt>
                <c:pt idx="11">
                  <c:v>0.51517397572783019</c:v>
                </c:pt>
                <c:pt idx="12">
                  <c:v>0.48344944035451054</c:v>
                </c:pt>
                <c:pt idx="13">
                  <c:v>0.45077953412160854</c:v>
                </c:pt>
                <c:pt idx="14">
                  <c:v>0.42002813187069066</c:v>
                </c:pt>
                <c:pt idx="15">
                  <c:v>0.39273060865479736</c:v>
                </c:pt>
                <c:pt idx="16">
                  <c:v>0.37027595441439287</c:v>
                </c:pt>
                <c:pt idx="17">
                  <c:v>0.35314881504833784</c:v>
                </c:pt>
                <c:pt idx="18">
                  <c:v>0.34109377616341519</c:v>
                </c:pt>
                <c:pt idx="19">
                  <c:v>0.33333827255314097</c:v>
                </c:pt>
                <c:pt idx="20">
                  <c:v>0.32902731068426683</c:v>
                </c:pt>
                <c:pt idx="21">
                  <c:v>0.32865065810999383</c:v>
                </c:pt>
                <c:pt idx="22">
                  <c:v>0.3290049279161531</c:v>
                </c:pt>
                <c:pt idx="23">
                  <c:v>0.32902393199166369</c:v>
                </c:pt>
                <c:pt idx="24">
                  <c:v>0.32783367106504147</c:v>
                </c:pt>
                <c:pt idx="25">
                  <c:v>0.32478150729366617</c:v>
                </c:pt>
                <c:pt idx="26">
                  <c:v>0.31944236433424744</c:v>
                </c:pt>
                <c:pt idx="27">
                  <c:v>0.31160708801835402</c:v>
                </c:pt>
                <c:pt idx="28">
                  <c:v>0.30125758100771416</c:v>
                </c:pt>
                <c:pt idx="29">
                  <c:v>0.2885330363094013</c:v>
                </c:pt>
                <c:pt idx="30">
                  <c:v>0.27369139499271811</c:v>
                </c:pt>
                <c:pt idx="31">
                  <c:v>0.25706987190154518</c:v>
                </c:pt>
                <c:pt idx="32">
                  <c:v>0.23904789512736524</c:v>
                </c:pt>
                <c:pt idx="33">
                  <c:v>0.2208984758387933</c:v>
                </c:pt>
                <c:pt idx="34">
                  <c:v>0.20271719176315406</c:v>
                </c:pt>
                <c:pt idx="35">
                  <c:v>0.18426952904446403</c:v>
                </c:pt>
                <c:pt idx="36">
                  <c:v>0.1658597194884186</c:v>
                </c:pt>
                <c:pt idx="37">
                  <c:v>0.14773913573635955</c:v>
                </c:pt>
                <c:pt idx="38">
                  <c:v>0.13010640250050642</c:v>
                </c:pt>
                <c:pt idx="39">
                  <c:v>0.11311088705111993</c:v>
                </c:pt>
                <c:pt idx="40">
                  <c:v>9.6858230439701876E-2</c:v>
                </c:pt>
                <c:pt idx="41">
                  <c:v>8.1416830710860477E-2</c:v>
                </c:pt>
                <c:pt idx="42">
                  <c:v>6.6824479192773012E-2</c:v>
                </c:pt>
                <c:pt idx="43">
                  <c:v>5.3094624505087396E-2</c:v>
                </c:pt>
                <c:pt idx="44">
                  <c:v>4.022196516025478E-2</c:v>
                </c:pt>
                <c:pt idx="45">
                  <c:v>2.8187240172313333E-2</c:v>
                </c:pt>
                <c:pt idx="46">
                  <c:v>1.6961200948631627E-2</c:v>
                </c:pt>
                <c:pt idx="47">
                  <c:v>6.5078166648716573E-3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48576"/>
        <c:axId val="410650112"/>
      </c:lineChart>
      <c:catAx>
        <c:axId val="4106485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0650112"/>
        <c:crosses val="autoZero"/>
        <c:auto val="1"/>
        <c:lblAlgn val="ctr"/>
        <c:lblOffset val="100"/>
        <c:tickMarkSkip val="5"/>
        <c:noMultiLvlLbl val="0"/>
      </c:catAx>
      <c:valAx>
        <c:axId val="410650112"/>
        <c:scaling>
          <c:orientation val="minMax"/>
          <c:max val="1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10648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8875791500868"/>
          <c:y val="0.38197763960819925"/>
          <c:w val="0.11540321144107693"/>
          <c:h val="0.219386291941497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  <a:r>
              <a:rPr lang="en-US" baseline="0"/>
              <a:t> of CAV on VMT Forecasts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698139019618574E-2"/>
          <c:y val="0.12912176132438574"/>
          <c:w val="0.87987576875985962"/>
          <c:h val="0.72626263919820477"/>
        </c:manualLayout>
      </c:layout>
      <c:lineChart>
        <c:grouping val="standard"/>
        <c:varyColors val="0"/>
        <c:ser>
          <c:idx val="0"/>
          <c:order val="0"/>
          <c:tx>
            <c:v>Total VMT without CAVs</c:v>
          </c:tx>
          <c:marker>
            <c:symbol val="none"/>
          </c:marker>
          <c:cat>
            <c:numRef>
              <c:f>Miles!$B$4:$B$56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Miles!$C$4:$C$56</c:f>
              <c:numCache>
                <c:formatCode>_(* #,##0_);_(* \(#,##0\);_(* "-"??_);_(@_)</c:formatCode>
                <c:ptCount val="53"/>
                <c:pt idx="0">
                  <c:v>84000000</c:v>
                </c:pt>
                <c:pt idx="1">
                  <c:v>85259999.999999985</c:v>
                </c:pt>
                <c:pt idx="2">
                  <c:v>86538899.99999997</c:v>
                </c:pt>
                <c:pt idx="3">
                  <c:v>87836983.499999955</c:v>
                </c:pt>
                <c:pt idx="4">
                  <c:v>89154538.252499953</c:v>
                </c:pt>
                <c:pt idx="5">
                  <c:v>90491856.326287448</c:v>
                </c:pt>
                <c:pt idx="6">
                  <c:v>91849234.171181753</c:v>
                </c:pt>
                <c:pt idx="7">
                  <c:v>93226972.683749467</c:v>
                </c:pt>
                <c:pt idx="8">
                  <c:v>94625377.274005696</c:v>
                </c:pt>
                <c:pt idx="9">
                  <c:v>96044757.933115765</c:v>
                </c:pt>
                <c:pt idx="10">
                  <c:v>97485429.30211249</c:v>
                </c:pt>
                <c:pt idx="11">
                  <c:v>98947710.741644174</c:v>
                </c:pt>
                <c:pt idx="12">
                  <c:v>100431926.40276882</c:v>
                </c:pt>
                <c:pt idx="13">
                  <c:v>101938405.29881035</c:v>
                </c:pt>
                <c:pt idx="14">
                  <c:v>103467481.37829249</c:v>
                </c:pt>
                <c:pt idx="15">
                  <c:v>105019493.59896687</c:v>
                </c:pt>
                <c:pt idx="16">
                  <c:v>106594786.00295135</c:v>
                </c:pt>
                <c:pt idx="17">
                  <c:v>108193707.79299562</c:v>
                </c:pt>
                <c:pt idx="18">
                  <c:v>109816613.40989055</c:v>
                </c:pt>
                <c:pt idx="19">
                  <c:v>111463862.61103889</c:v>
                </c:pt>
                <c:pt idx="20">
                  <c:v>113135820.55020447</c:v>
                </c:pt>
                <c:pt idx="21">
                  <c:v>114832857.85845752</c:v>
                </c:pt>
                <c:pt idx="22">
                  <c:v>116555350.72633438</c:v>
                </c:pt>
                <c:pt idx="23">
                  <c:v>118303680.98722938</c:v>
                </c:pt>
                <c:pt idx="24">
                  <c:v>120078236.20203781</c:v>
                </c:pt>
                <c:pt idx="25">
                  <c:v>121879409.74506837</c:v>
                </c:pt>
                <c:pt idx="26">
                  <c:v>123707600.89124438</c:v>
                </c:pt>
                <c:pt idx="27">
                  <c:v>125563214.90461303</c:v>
                </c:pt>
                <c:pt idx="28">
                  <c:v>127446663.12818222</c:v>
                </c:pt>
                <c:pt idx="29">
                  <c:v>129358363.07510494</c:v>
                </c:pt>
                <c:pt idx="30">
                  <c:v>131298738.5212315</c:v>
                </c:pt>
                <c:pt idx="31">
                  <c:v>133268219.59904996</c:v>
                </c:pt>
                <c:pt idx="32">
                  <c:v>135267242.89303568</c:v>
                </c:pt>
                <c:pt idx="33">
                  <c:v>137296251.53643119</c:v>
                </c:pt>
                <c:pt idx="34">
                  <c:v>139355695.30947766</c:v>
                </c:pt>
                <c:pt idx="35">
                  <c:v>141446030.7391198</c:v>
                </c:pt>
                <c:pt idx="36">
                  <c:v>143567721.20020658</c:v>
                </c:pt>
                <c:pt idx="37">
                  <c:v>145721237.01820967</c:v>
                </c:pt>
                <c:pt idx="38">
                  <c:v>147907055.57348281</c:v>
                </c:pt>
                <c:pt idx="39">
                  <c:v>150125661.40708503</c:v>
                </c:pt>
                <c:pt idx="40">
                  <c:v>152377546.32819128</c:v>
                </c:pt>
                <c:pt idx="41">
                  <c:v>154663209.52311414</c:v>
                </c:pt>
                <c:pt idx="42">
                  <c:v>156983157.66596085</c:v>
                </c:pt>
                <c:pt idx="43">
                  <c:v>159337905.03095025</c:v>
                </c:pt>
                <c:pt idx="44">
                  <c:v>161727973.6064145</c:v>
                </c:pt>
                <c:pt idx="45">
                  <c:v>164153893.2105107</c:v>
                </c:pt>
                <c:pt idx="46">
                  <c:v>166616201.60866836</c:v>
                </c:pt>
                <c:pt idx="47">
                  <c:v>169115444.63279837</c:v>
                </c:pt>
                <c:pt idx="48">
                  <c:v>171652176.30229032</c:v>
                </c:pt>
                <c:pt idx="49">
                  <c:v>174226958.94682467</c:v>
                </c:pt>
                <c:pt idx="50">
                  <c:v>176840363.33102703</c:v>
                </c:pt>
                <c:pt idx="51">
                  <c:v>179492968.78099242</c:v>
                </c:pt>
                <c:pt idx="52">
                  <c:v>182185363.31270728</c:v>
                </c:pt>
              </c:numCache>
            </c:numRef>
          </c:val>
          <c:smooth val="0"/>
        </c:ser>
        <c:ser>
          <c:idx val="1"/>
          <c:order val="1"/>
          <c:tx>
            <c:v>Total VMT with CAVs</c:v>
          </c:tx>
          <c:marker>
            <c:symbol val="none"/>
          </c:marker>
          <c:cat>
            <c:numRef>
              <c:f>Miles!$B$4:$B$56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Miles!$F$4:$F$56</c:f>
              <c:numCache>
                <c:formatCode>#,##0</c:formatCode>
                <c:ptCount val="53"/>
                <c:pt idx="0">
                  <c:v>83999986.643081784</c:v>
                </c:pt>
                <c:pt idx="1">
                  <c:v>85259976.078479216</c:v>
                </c:pt>
                <c:pt idx="2">
                  <c:v>86538667.029283687</c:v>
                </c:pt>
                <c:pt idx="3">
                  <c:v>87835938.35466367</c:v>
                </c:pt>
                <c:pt idx="4">
                  <c:v>89151493.454270437</c:v>
                </c:pt>
                <c:pt idx="5">
                  <c:v>90552183.784604579</c:v>
                </c:pt>
                <c:pt idx="6">
                  <c:v>91967395.261267781</c:v>
                </c:pt>
                <c:pt idx="7">
                  <c:v>93426363.235466093</c:v>
                </c:pt>
                <c:pt idx="8">
                  <c:v>94957876.111604527</c:v>
                </c:pt>
                <c:pt idx="9">
                  <c:v>96575934.538654849</c:v>
                </c:pt>
                <c:pt idx="10">
                  <c:v>97762319.831468761</c:v>
                </c:pt>
                <c:pt idx="11">
                  <c:v>99438676.473622546</c:v>
                </c:pt>
                <c:pt idx="12">
                  <c:v>101269526.15674293</c:v>
                </c:pt>
                <c:pt idx="13">
                  <c:v>103068200.55885504</c:v>
                </c:pt>
                <c:pt idx="14">
                  <c:v>104957245.92915842</c:v>
                </c:pt>
                <c:pt idx="15">
                  <c:v>108229214.68469018</c:v>
                </c:pt>
                <c:pt idx="16">
                  <c:v>110394002.41512717</c:v>
                </c:pt>
                <c:pt idx="17">
                  <c:v>112468266.96393624</c:v>
                </c:pt>
                <c:pt idx="18">
                  <c:v>116575820.3095578</c:v>
                </c:pt>
                <c:pt idx="19">
                  <c:v>119195525.57472974</c:v>
                </c:pt>
                <c:pt idx="20">
                  <c:v>126277738.59208676</c:v>
                </c:pt>
                <c:pt idx="21">
                  <c:v>129426437.25889677</c:v>
                </c:pt>
                <c:pt idx="22">
                  <c:v>132731229.08760968</c:v>
                </c:pt>
                <c:pt idx="23">
                  <c:v>136122302.54169616</c:v>
                </c:pt>
                <c:pt idx="24">
                  <c:v>139668987.57171446</c:v>
                </c:pt>
                <c:pt idx="25">
                  <c:v>143372656.25024182</c:v>
                </c:pt>
                <c:pt idx="26">
                  <c:v>147229790.34182781</c:v>
                </c:pt>
                <c:pt idx="27">
                  <c:v>151231807.22243711</c:v>
                </c:pt>
                <c:pt idx="28">
                  <c:v>155365168.2541126</c:v>
                </c:pt>
                <c:pt idx="29">
                  <c:v>159611896.51315287</c:v>
                </c:pt>
                <c:pt idx="30">
                  <c:v>163950611.41405526</c:v>
                </c:pt>
                <c:pt idx="31">
                  <c:v>168358061.58707049</c:v>
                </c:pt>
                <c:pt idx="32">
                  <c:v>172810953.37454578</c:v>
                </c:pt>
                <c:pt idx="33">
                  <c:v>177246850.8062903</c:v>
                </c:pt>
                <c:pt idx="34">
                  <c:v>181654283.43604121</c:v>
                </c:pt>
                <c:pt idx="35">
                  <c:v>186044664.93338528</c:v>
                </c:pt>
                <c:pt idx="36">
                  <c:v>190408238.46626985</c:v>
                </c:pt>
                <c:pt idx="37">
                  <c:v>194739340.29994369</c:v>
                </c:pt>
                <c:pt idx="38">
                  <c:v>199035804.29660028</c:v>
                </c:pt>
                <c:pt idx="39">
                  <c:v>203298246.64713654</c:v>
                </c:pt>
                <c:pt idx="40">
                  <c:v>207529355.66037938</c:v>
                </c:pt>
                <c:pt idx="41">
                  <c:v>211733260.0233717</c:v>
                </c:pt>
                <c:pt idx="42">
                  <c:v>215915007.56565294</c:v>
                </c:pt>
                <c:pt idx="43">
                  <c:v>220080159.19988137</c:v>
                </c:pt>
                <c:pt idx="44">
                  <c:v>223968234.1301688</c:v>
                </c:pt>
                <c:pt idx="45">
                  <c:v>227396257.44533804</c:v>
                </c:pt>
                <c:pt idx="46">
                  <c:v>230872875.27554253</c:v>
                </c:pt>
                <c:pt idx="47">
                  <c:v>234398739.68907604</c:v>
                </c:pt>
                <c:pt idx="48">
                  <c:v>238029722.66922104</c:v>
                </c:pt>
                <c:pt idx="49">
                  <c:v>241611671.46723285</c:v>
                </c:pt>
                <c:pt idx="50">
                  <c:v>245214073.65627828</c:v>
                </c:pt>
                <c:pt idx="51">
                  <c:v>248874375.37385312</c:v>
                </c:pt>
                <c:pt idx="52">
                  <c:v>252592798.55777335</c:v>
                </c:pt>
              </c:numCache>
            </c:numRef>
          </c:val>
          <c:smooth val="0"/>
        </c:ser>
        <c:ser>
          <c:idx val="2"/>
          <c:order val="2"/>
          <c:tx>
            <c:v>Total CAV VMT</c:v>
          </c:tx>
          <c:marker>
            <c:symbol val="none"/>
          </c:marker>
          <c:cat>
            <c:numRef>
              <c:f>Miles!$B$4:$B$56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Miles!$S$4:$S$56</c:f>
              <c:numCache>
                <c:formatCode>#,##0</c:formatCode>
                <c:ptCount val="53"/>
                <c:pt idx="0">
                  <c:v>20241.908153480028</c:v>
                </c:pt>
                <c:pt idx="1">
                  <c:v>503989.18840132875</c:v>
                </c:pt>
                <c:pt idx="2">
                  <c:v>2704463.8956321501</c:v>
                </c:pt>
                <c:pt idx="3">
                  <c:v>7176595.0208621696</c:v>
                </c:pt>
                <c:pt idx="4">
                  <c:v>13203055.017782435</c:v>
                </c:pt>
                <c:pt idx="5">
                  <c:v>19600261.18638958</c:v>
                </c:pt>
                <c:pt idx="6">
                  <c:v>25337955.366503991</c:v>
                </c:pt>
                <c:pt idx="7">
                  <c:v>30014300.213540591</c:v>
                </c:pt>
                <c:pt idx="8">
                  <c:v>34390251.964657024</c:v>
                </c:pt>
                <c:pt idx="9">
                  <c:v>38426418.703333259</c:v>
                </c:pt>
                <c:pt idx="10">
                  <c:v>41584364.617517285</c:v>
                </c:pt>
                <c:pt idx="11">
                  <c:v>45014931.303526737</c:v>
                </c:pt>
                <c:pt idx="12">
                  <c:v>48561561.015443347</c:v>
                </c:pt>
                <c:pt idx="13">
                  <c:v>52046752.992955633</c:v>
                </c:pt>
                <c:pt idx="14">
                  <c:v>55596757.232330441</c:v>
                </c:pt>
                <c:pt idx="15">
                  <c:v>60472549.66078946</c:v>
                </c:pt>
                <c:pt idx="16">
                  <c:v>64058358.759716533</c:v>
                </c:pt>
                <c:pt idx="17">
                  <c:v>67264339.464238316</c:v>
                </c:pt>
                <c:pt idx="18">
                  <c:v>72159421.283547893</c:v>
                </c:pt>
                <c:pt idx="19">
                  <c:v>75224487.227801487</c:v>
                </c:pt>
                <c:pt idx="20">
                  <c:v>82437316.270160586</c:v>
                </c:pt>
                <c:pt idx="21">
                  <c:v>85318875.091315299</c:v>
                </c:pt>
                <c:pt idx="22">
                  <c:v>88255487.854482487</c:v>
                </c:pt>
                <c:pt idx="23">
                  <c:v>91288417.912615344</c:v>
                </c:pt>
                <c:pt idx="24">
                  <c:v>94598328.311061025</c:v>
                </c:pt>
                <c:pt idx="25">
                  <c:v>98294204.332722306</c:v>
                </c:pt>
                <c:pt idx="26">
                  <c:v>102471706.82009797</c:v>
                </c:pt>
                <c:pt idx="27">
                  <c:v>107205742.79199106</c:v>
                </c:pt>
                <c:pt idx="28">
                  <c:v>112541113.05962896</c:v>
                </c:pt>
                <c:pt idx="29">
                  <c:v>118484045.24313171</c:v>
                </c:pt>
                <c:pt idx="30">
                  <c:v>124998460.33102216</c:v>
                </c:pt>
                <c:pt idx="31">
                  <c:v>132009593.9723419</c:v>
                </c:pt>
                <c:pt idx="32">
                  <c:v>139414703.74928519</c:v>
                </c:pt>
                <c:pt idx="33">
                  <c:v>146953858.45955855</c:v>
                </c:pt>
                <c:pt idx="34">
                  <c:v>154536301.90214497</c:v>
                </c:pt>
                <c:pt idx="35">
                  <c:v>162149761.39391348</c:v>
                </c:pt>
                <c:pt idx="36">
                  <c:v>169712440.29367137</c:v>
                </c:pt>
                <c:pt idx="37">
                  <c:v>177164514.80860487</c:v>
                </c:pt>
                <c:pt idx="38">
                  <c:v>184466416.48909849</c:v>
                </c:pt>
                <c:pt idx="39">
                  <c:v>191595538.65689296</c:v>
                </c:pt>
                <c:pt idx="40">
                  <c:v>198542482.40651849</c:v>
                </c:pt>
                <c:pt idx="41">
                  <c:v>205307523.02303371</c:v>
                </c:pt>
                <c:pt idx="42">
                  <c:v>211897619.0765202</c:v>
                </c:pt>
                <c:pt idx="43">
                  <c:v>218324051.46280614</c:v>
                </c:pt>
                <c:pt idx="44">
                  <c:v>223317732.43818521</c:v>
                </c:pt>
                <c:pt idx="45">
                  <c:v>226933552.92402354</c:v>
                </c:pt>
                <c:pt idx="46">
                  <c:v>230590274.1878643</c:v>
                </c:pt>
                <c:pt idx="47">
                  <c:v>234288682.45818919</c:v>
                </c:pt>
                <c:pt idx="48">
                  <c:v>238029722.66922104</c:v>
                </c:pt>
                <c:pt idx="49">
                  <c:v>241611671.46723285</c:v>
                </c:pt>
                <c:pt idx="50">
                  <c:v>245214073.65627828</c:v>
                </c:pt>
                <c:pt idx="51">
                  <c:v>248874375.37385312</c:v>
                </c:pt>
                <c:pt idx="52">
                  <c:v>252592798.55777335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97216"/>
        <c:axId val="405899136"/>
      </c:lineChart>
      <c:catAx>
        <c:axId val="405897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5899136"/>
        <c:crosses val="autoZero"/>
        <c:auto val="1"/>
        <c:lblAlgn val="ctr"/>
        <c:lblOffset val="100"/>
        <c:tickMarkSkip val="5"/>
        <c:noMultiLvlLbl val="0"/>
      </c:catAx>
      <c:valAx>
        <c:axId val="40589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VMT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0589721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l"/>
      <c:layout>
        <c:manualLayout>
          <c:xMode val="edge"/>
          <c:yMode val="edge"/>
          <c:x val="0.12844034635389787"/>
          <c:y val="0.17302197620313858"/>
          <c:w val="0.26319146248140457"/>
          <c:h val="0.15949642431259084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 VMT Distribution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VMT!$AB$3:$AE$3</c:f>
              <c:strCache>
                <c:ptCount val="4"/>
                <c:pt idx="0">
                  <c:v>Standard</c:v>
                </c:pt>
                <c:pt idx="1">
                  <c:v>Type1</c:v>
                </c:pt>
                <c:pt idx="2">
                  <c:v>Type2</c:v>
                </c:pt>
                <c:pt idx="3">
                  <c:v>Type3</c:v>
                </c:pt>
              </c:strCache>
            </c:strRef>
          </c:cat>
          <c:val>
            <c:numRef>
              <c:f>VMT!$AB$4:$AE$4</c:f>
              <c:numCache>
                <c:formatCode>General</c:formatCode>
                <c:ptCount val="4"/>
                <c:pt idx="0">
                  <c:v>40641012.756731249</c:v>
                </c:pt>
                <c:pt idx="1">
                  <c:v>261063.97660630071</c:v>
                </c:pt>
                <c:pt idx="2">
                  <c:v>34867286.005546845</c:v>
                </c:pt>
                <c:pt idx="3">
                  <c:v>43683541.042346083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Area with Good Ride Sourcing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RideSource!$C$6</c:f>
              <c:strCache>
                <c:ptCount val="1"/>
                <c:pt idx="0">
                  <c:v>Downtown</c:v>
                </c:pt>
              </c:strCache>
            </c:strRef>
          </c:tx>
          <c:marker>
            <c:symbol val="none"/>
          </c:marker>
          <c:cat>
            <c:numRef>
              <c:f>RideSource!$B$7:$B$59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RideSource!$C$7:$C$59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0.1333521432163324</c:v>
                </c:pt>
                <c:pt idx="11">
                  <c:v>0.17782794100389232</c:v>
                </c:pt>
                <c:pt idx="12">
                  <c:v>0.23713737056616557</c:v>
                </c:pt>
                <c:pt idx="13">
                  <c:v>0.316227766016838</c:v>
                </c:pt>
                <c:pt idx="14">
                  <c:v>0.42169650342858234</c:v>
                </c:pt>
                <c:pt idx="15">
                  <c:v>0.56234132519034918</c:v>
                </c:pt>
                <c:pt idx="16">
                  <c:v>0.74989420933245599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RideSource!$D$6</c:f>
              <c:strCache>
                <c:ptCount val="1"/>
                <c:pt idx="0">
                  <c:v>Urban</c:v>
                </c:pt>
              </c:strCache>
            </c:strRef>
          </c:tx>
          <c:marker>
            <c:symbol val="none"/>
          </c:marker>
          <c:cat>
            <c:numRef>
              <c:f>RideSource!$B$7:$B$59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RideSource!$D$7:$D$59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0.12968395546510098</c:v>
                </c:pt>
                <c:pt idx="14">
                  <c:v>0.16817928305074292</c:v>
                </c:pt>
                <c:pt idx="15">
                  <c:v>0.2181015465330515</c:v>
                </c:pt>
                <c:pt idx="16">
                  <c:v>0.28284271247461901</c:v>
                </c:pt>
                <c:pt idx="17">
                  <c:v>0.3668016172818685</c:v>
                </c:pt>
                <c:pt idx="18">
                  <c:v>0.47568284600108834</c:v>
                </c:pt>
                <c:pt idx="19">
                  <c:v>0.61688433016317623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RideSource!$E$6</c:f>
              <c:strCache>
                <c:ptCount val="1"/>
                <c:pt idx="0">
                  <c:v>Suburban Business</c:v>
                </c:pt>
              </c:strCache>
            </c:strRef>
          </c:tx>
          <c:marker>
            <c:symbol val="none"/>
          </c:marker>
          <c:cat>
            <c:numRef>
              <c:f>RideSource!$B$7:$B$59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RideSource!$E$7:$E$59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0.11892071150027211</c:v>
                </c:pt>
                <c:pt idx="16">
                  <c:v>0.1414213562373095</c:v>
                </c:pt>
                <c:pt idx="17">
                  <c:v>0.16817928305074292</c:v>
                </c:pt>
                <c:pt idx="18">
                  <c:v>0.2</c:v>
                </c:pt>
                <c:pt idx="19">
                  <c:v>0.23784142300054423</c:v>
                </c:pt>
                <c:pt idx="20">
                  <c:v>0.28284271247461901</c:v>
                </c:pt>
                <c:pt idx="21">
                  <c:v>0.33635856610148585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RideSource!$F$6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cat>
            <c:numRef>
              <c:f>RideSource!$B$7:$B$59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RideSource!$F$7:$F$59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RideSource!$G$6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cat>
            <c:numRef>
              <c:f>RideSource!$B$7:$B$59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RideSource!$G$7:$G$59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95104"/>
        <c:axId val="416496640"/>
      </c:lineChart>
      <c:catAx>
        <c:axId val="416495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6496640"/>
        <c:crosses val="autoZero"/>
        <c:auto val="1"/>
        <c:lblAlgn val="ctr"/>
        <c:lblOffset val="100"/>
        <c:tickMarkSkip val="5"/>
        <c:noMultiLvlLbl val="0"/>
      </c:catAx>
      <c:valAx>
        <c:axId val="416496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64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Truck VMT Distribution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VMT!$AH$3:$AK$3</c:f>
              <c:strCache>
                <c:ptCount val="4"/>
                <c:pt idx="0">
                  <c:v>Standard</c:v>
                </c:pt>
                <c:pt idx="1">
                  <c:v>Type1</c:v>
                </c:pt>
                <c:pt idx="2">
                  <c:v>Type2</c:v>
                </c:pt>
                <c:pt idx="3">
                  <c:v>Type3</c:v>
                </c:pt>
              </c:strCache>
            </c:strRef>
          </c:cat>
          <c:val>
            <c:numRef>
              <c:f>VMT!$AH$4:$AK$4</c:f>
              <c:numCache>
                <c:formatCode>General</c:formatCode>
                <c:ptCount val="4"/>
                <c:pt idx="0">
                  <c:v>3834728.4763959586</c:v>
                </c:pt>
                <c:pt idx="1">
                  <c:v>3890.6142724202368</c:v>
                </c:pt>
                <c:pt idx="2">
                  <c:v>4791670.0286780065</c:v>
                </c:pt>
                <c:pt idx="3">
                  <c:v>4648036.1870328169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CAV Vehicle</a:t>
            </a:r>
            <a:r>
              <a:rPr lang="en-US" baseline="0"/>
              <a:t> Type Distribution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68681279704902"/>
          <c:y val="0.19480351414406533"/>
          <c:w val="0.75834326452436684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VMT!$AA$2</c:f>
              <c:strCache>
                <c:ptCount val="1"/>
                <c:pt idx="0">
                  <c:v>Car</c:v>
                </c:pt>
              </c:strCache>
            </c:strRef>
          </c:tx>
          <c:invertIfNegative val="0"/>
          <c:cat>
            <c:strRef>
              <c:f>VMT!$AI$3:$AK$3</c:f>
              <c:strCache>
                <c:ptCount val="3"/>
                <c:pt idx="0">
                  <c:v>Type1</c:v>
                </c:pt>
                <c:pt idx="1">
                  <c:v>Type2</c:v>
                </c:pt>
                <c:pt idx="2">
                  <c:v>Type3</c:v>
                </c:pt>
              </c:strCache>
            </c:strRef>
          </c:cat>
          <c:val>
            <c:numRef>
              <c:f>VMT!$AC$4:$AE$4</c:f>
              <c:numCache>
                <c:formatCode>General</c:formatCode>
                <c:ptCount val="3"/>
                <c:pt idx="0">
                  <c:v>261063.97660630071</c:v>
                </c:pt>
                <c:pt idx="1">
                  <c:v>34867286.005546845</c:v>
                </c:pt>
                <c:pt idx="2">
                  <c:v>43683541.042346083</c:v>
                </c:pt>
              </c:numCache>
            </c:numRef>
          </c:val>
        </c:ser>
        <c:ser>
          <c:idx val="1"/>
          <c:order val="1"/>
          <c:tx>
            <c:strRef>
              <c:f>VMT!$AG$2</c:f>
              <c:strCache>
                <c:ptCount val="1"/>
                <c:pt idx="0">
                  <c:v>Truck</c:v>
                </c:pt>
              </c:strCache>
            </c:strRef>
          </c:tx>
          <c:invertIfNegative val="0"/>
          <c:cat>
            <c:strRef>
              <c:f>VMT!$AI$3:$AK$3</c:f>
              <c:strCache>
                <c:ptCount val="3"/>
                <c:pt idx="0">
                  <c:v>Type1</c:v>
                </c:pt>
                <c:pt idx="1">
                  <c:v>Type2</c:v>
                </c:pt>
                <c:pt idx="2">
                  <c:v>Type3</c:v>
                </c:pt>
              </c:strCache>
            </c:strRef>
          </c:cat>
          <c:val>
            <c:numRef>
              <c:f>VMT!$AI$4:$AK$4</c:f>
              <c:numCache>
                <c:formatCode>General</c:formatCode>
                <c:ptCount val="3"/>
                <c:pt idx="0">
                  <c:v>3890.6142724202368</c:v>
                </c:pt>
                <c:pt idx="1">
                  <c:v>4791670.0286780065</c:v>
                </c:pt>
                <c:pt idx="2">
                  <c:v>4648036.1870328169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521152"/>
        <c:axId val="447522688"/>
      </c:barChart>
      <c:catAx>
        <c:axId val="4475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7522688"/>
        <c:crosses val="autoZero"/>
        <c:auto val="1"/>
        <c:lblAlgn val="ctr"/>
        <c:lblOffset val="100"/>
        <c:noMultiLvlLbl val="0"/>
      </c:catAx>
      <c:valAx>
        <c:axId val="447522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VMT</a:t>
                </a:r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crossAx val="44752115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Capacity Factor vs CAV Share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06720374671771"/>
          <c:y val="0.13497663472455898"/>
          <c:w val="0.84395788516599002"/>
          <c:h val="0.70539238270031035"/>
        </c:manualLayout>
      </c:layout>
      <c:lineChart>
        <c:grouping val="standard"/>
        <c:varyColors val="0"/>
        <c:ser>
          <c:idx val="0"/>
          <c:order val="0"/>
          <c:tx>
            <c:strRef>
              <c:f>Capacity!$B$3</c:f>
              <c:strCache>
                <c:ptCount val="1"/>
                <c:pt idx="0">
                  <c:v>Freeway</c:v>
                </c:pt>
              </c:strCache>
            </c:strRef>
          </c:tx>
          <c:marker>
            <c:symbol val="none"/>
          </c:marker>
          <c:cat>
            <c:numRef>
              <c:f>Capacity!$A$4:$A$24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Capacity!$B$4:$B$24</c:f>
              <c:numCache>
                <c:formatCode>0.0000</c:formatCode>
                <c:ptCount val="21"/>
                <c:pt idx="0">
                  <c:v>1</c:v>
                </c:pt>
                <c:pt idx="1">
                  <c:v>0.99299999999999999</c:v>
                </c:pt>
                <c:pt idx="2">
                  <c:v>0.99199999999999999</c:v>
                </c:pt>
                <c:pt idx="3">
                  <c:v>0.997</c:v>
                </c:pt>
                <c:pt idx="4">
                  <c:v>1.008</c:v>
                </c:pt>
                <c:pt idx="5">
                  <c:v>1.0249999999999999</c:v>
                </c:pt>
                <c:pt idx="6">
                  <c:v>1.048</c:v>
                </c:pt>
                <c:pt idx="7">
                  <c:v>1.077</c:v>
                </c:pt>
                <c:pt idx="8">
                  <c:v>1.1120000000000001</c:v>
                </c:pt>
                <c:pt idx="9">
                  <c:v>1.153</c:v>
                </c:pt>
                <c:pt idx="10">
                  <c:v>1.2</c:v>
                </c:pt>
                <c:pt idx="11">
                  <c:v>1.2529999999999999</c:v>
                </c:pt>
                <c:pt idx="12">
                  <c:v>1.3120000000000001</c:v>
                </c:pt>
                <c:pt idx="13">
                  <c:v>1.377</c:v>
                </c:pt>
                <c:pt idx="14">
                  <c:v>1.448</c:v>
                </c:pt>
                <c:pt idx="15">
                  <c:v>1.5250000000000001</c:v>
                </c:pt>
                <c:pt idx="16">
                  <c:v>1.6080000000000003</c:v>
                </c:pt>
                <c:pt idx="17">
                  <c:v>1.6970000000000005</c:v>
                </c:pt>
                <c:pt idx="18">
                  <c:v>1.7920000000000005</c:v>
                </c:pt>
                <c:pt idx="19">
                  <c:v>1.8930000000000007</c:v>
                </c:pt>
                <c:pt idx="20">
                  <c:v>2.0000000000000004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Capacity!$C$3</c:f>
              <c:strCache>
                <c:ptCount val="1"/>
                <c:pt idx="0">
                  <c:v>Arterial</c:v>
                </c:pt>
              </c:strCache>
            </c:strRef>
          </c:tx>
          <c:marker>
            <c:symbol val="none"/>
          </c:marker>
          <c:cat>
            <c:numRef>
              <c:f>Capacity!$A$4:$A$24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Capacity!$C$4:$C$24</c:f>
              <c:numCache>
                <c:formatCode>0.0000</c:formatCode>
                <c:ptCount val="21"/>
                <c:pt idx="0">
                  <c:v>1</c:v>
                </c:pt>
                <c:pt idx="1">
                  <c:v>0.98224999999999996</c:v>
                </c:pt>
                <c:pt idx="2">
                  <c:v>0.96899999999999997</c:v>
                </c:pt>
                <c:pt idx="3">
                  <c:v>0.96024999999999994</c:v>
                </c:pt>
                <c:pt idx="4">
                  <c:v>0.95599999999999996</c:v>
                </c:pt>
                <c:pt idx="5">
                  <c:v>0.95625000000000004</c:v>
                </c:pt>
                <c:pt idx="6">
                  <c:v>0.96099999999999997</c:v>
                </c:pt>
                <c:pt idx="7">
                  <c:v>0.97024999999999995</c:v>
                </c:pt>
                <c:pt idx="8">
                  <c:v>0.98399999999999999</c:v>
                </c:pt>
                <c:pt idx="9">
                  <c:v>1.0022500000000001</c:v>
                </c:pt>
                <c:pt idx="10">
                  <c:v>1.0249999999999999</c:v>
                </c:pt>
                <c:pt idx="11">
                  <c:v>1.0522499999999999</c:v>
                </c:pt>
                <c:pt idx="12">
                  <c:v>1.0840000000000001</c:v>
                </c:pt>
                <c:pt idx="13">
                  <c:v>1.12025</c:v>
                </c:pt>
                <c:pt idx="14">
                  <c:v>1.161</c:v>
                </c:pt>
                <c:pt idx="15">
                  <c:v>1.2062500000000003</c:v>
                </c:pt>
                <c:pt idx="16">
                  <c:v>1.2560000000000002</c:v>
                </c:pt>
                <c:pt idx="17">
                  <c:v>1.3102500000000004</c:v>
                </c:pt>
                <c:pt idx="18">
                  <c:v>1.3690000000000002</c:v>
                </c:pt>
                <c:pt idx="19">
                  <c:v>1.4322500000000005</c:v>
                </c:pt>
                <c:pt idx="20">
                  <c:v>1.5000000000000004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96032"/>
        <c:axId val="447597952"/>
      </c:lineChart>
      <c:catAx>
        <c:axId val="447596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Share of CAV Volume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447597952"/>
        <c:crosses val="autoZero"/>
        <c:auto val="1"/>
        <c:lblAlgn val="ctr"/>
        <c:lblOffset val="100"/>
        <c:noMultiLvlLbl val="0"/>
      </c:catAx>
      <c:valAx>
        <c:axId val="447597952"/>
        <c:scaling>
          <c:orientation val="minMax"/>
          <c:max val="2"/>
          <c:min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Capacity Factor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447596032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8412444884128451"/>
          <c:y val="0.27584352854543187"/>
          <c:w val="0.14637206487991825"/>
          <c:h val="0.12317010446125784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  <a:r>
              <a:rPr lang="en-US" baseline="0"/>
              <a:t> of CAV on VHD Forecasts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698139019618574E-2"/>
          <c:y val="0.12912176132438574"/>
          <c:w val="0.87987576875985962"/>
          <c:h val="0.72626263919820477"/>
        </c:manualLayout>
      </c:layout>
      <c:lineChart>
        <c:grouping val="standard"/>
        <c:varyColors val="0"/>
        <c:ser>
          <c:idx val="0"/>
          <c:order val="0"/>
          <c:tx>
            <c:v>Total VHD without CAVs</c:v>
          </c:tx>
          <c:marker>
            <c:symbol val="none"/>
          </c:marker>
          <c:cat>
            <c:numRef>
              <c:f>Delay!$B$6:$B$58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Delay!$I$6:$I$58</c:f>
              <c:numCache>
                <c:formatCode>#,##0</c:formatCode>
                <c:ptCount val="53"/>
                <c:pt idx="0">
                  <c:v>291550.00000000012</c:v>
                </c:pt>
                <c:pt idx="1">
                  <c:v>301971.54124766251</c:v>
                </c:pt>
                <c:pt idx="2">
                  <c:v>312640.1299827547</c:v>
                </c:pt>
                <c:pt idx="3">
                  <c:v>323560.832783119</c:v>
                </c:pt>
                <c:pt idx="4">
                  <c:v>334738.81263824808</c:v>
                </c:pt>
                <c:pt idx="5">
                  <c:v>346179.33070165501</c:v>
                </c:pt>
                <c:pt idx="6">
                  <c:v>357887.74807412026</c:v>
                </c:pt>
                <c:pt idx="7">
                  <c:v>369869.52761835174</c:v>
                </c:pt>
                <c:pt idx="8">
                  <c:v>382130.23580559343</c:v>
                </c:pt>
                <c:pt idx="9">
                  <c:v>394675.54459473828</c:v>
                </c:pt>
                <c:pt idx="10">
                  <c:v>407511.23334450112</c:v>
                </c:pt>
                <c:pt idx="11">
                  <c:v>420643.19075922307</c:v>
                </c:pt>
                <c:pt idx="12">
                  <c:v>434077.41686888423</c:v>
                </c:pt>
                <c:pt idx="13">
                  <c:v>447820.02504391456</c:v>
                </c:pt>
                <c:pt idx="14">
                  <c:v>461877.24404540006</c:v>
                </c:pt>
                <c:pt idx="15">
                  <c:v>476255.4201112953</c:v>
                </c:pt>
                <c:pt idx="16">
                  <c:v>490961.01907925715</c:v>
                </c:pt>
                <c:pt idx="17">
                  <c:v>506000.62854673283</c:v>
                </c:pt>
                <c:pt idx="18">
                  <c:v>521380.96006893984</c:v>
                </c:pt>
                <c:pt idx="19">
                  <c:v>537108.85139539023</c:v>
                </c:pt>
                <c:pt idx="20">
                  <c:v>553191.26874561841</c:v>
                </c:pt>
                <c:pt idx="21">
                  <c:v>569635.3091247899</c:v>
                </c:pt>
                <c:pt idx="22">
                  <c:v>586448.20267986855</c:v>
                </c:pt>
                <c:pt idx="23">
                  <c:v>603637.31509704608</c:v>
                </c:pt>
                <c:pt idx="24">
                  <c:v>621210.15004113642</c:v>
                </c:pt>
                <c:pt idx="25">
                  <c:v>639174.35163765238</c:v>
                </c:pt>
                <c:pt idx="26">
                  <c:v>657537.70699830481</c:v>
                </c:pt>
                <c:pt idx="27">
                  <c:v>676308.1487906581</c:v>
                </c:pt>
                <c:pt idx="28">
                  <c:v>695493.75785270752</c:v>
                </c:pt>
                <c:pt idx="29">
                  <c:v>715102.7658531405</c:v>
                </c:pt>
                <c:pt idx="30">
                  <c:v>735143.55799806979</c:v>
                </c:pt>
                <c:pt idx="31">
                  <c:v>755624.67578502977</c:v>
                </c:pt>
                <c:pt idx="32">
                  <c:v>776554.81980504887</c:v>
                </c:pt>
                <c:pt idx="33">
                  <c:v>797942.85259361693</c:v>
                </c:pt>
                <c:pt idx="34">
                  <c:v>819797.8015313861</c:v>
                </c:pt>
                <c:pt idx="35">
                  <c:v>842128.86179545452</c:v>
                </c:pt>
                <c:pt idx="36">
                  <c:v>864945.39936210075</c:v>
                </c:pt>
                <c:pt idx="37">
                  <c:v>888256.95406184206</c:v>
                </c:pt>
                <c:pt idx="38">
                  <c:v>912073.24268771952</c:v>
                </c:pt>
                <c:pt idx="39">
                  <c:v>936404.16215770924</c:v>
                </c:pt>
                <c:pt idx="40">
                  <c:v>961259.79273219383</c:v>
                </c:pt>
                <c:pt idx="41">
                  <c:v>986650.40128742764</c:v>
                </c:pt>
                <c:pt idx="42">
                  <c:v>1012586.4446459536</c:v>
                </c:pt>
                <c:pt idx="43">
                  <c:v>1039078.5729649455</c:v>
                </c:pt>
                <c:pt idx="44">
                  <c:v>1066137.6331834621</c:v>
                </c:pt>
                <c:pt idx="45">
                  <c:v>1093774.6725296169</c:v>
                </c:pt>
                <c:pt idx="46">
                  <c:v>1122000.9420886904</c:v>
                </c:pt>
                <c:pt idx="47">
                  <c:v>1150827.9004332165</c:v>
                </c:pt>
                <c:pt idx="48">
                  <c:v>1180267.2173161085</c:v>
                </c:pt>
                <c:pt idx="49">
                  <c:v>1210330.7774278899</c:v>
                </c:pt>
                <c:pt idx="50">
                  <c:v>1241030.6842191287</c:v>
                </c:pt>
                <c:pt idx="51">
                  <c:v>1272379.2637891832</c:v>
                </c:pt>
                <c:pt idx="52">
                  <c:v>1304389.0688423901</c:v>
                </c:pt>
              </c:numCache>
            </c:numRef>
          </c:val>
          <c:smooth val="0"/>
        </c:ser>
        <c:ser>
          <c:idx val="1"/>
          <c:order val="1"/>
          <c:tx>
            <c:v>Total VHD with CAVs</c:v>
          </c:tx>
          <c:marker>
            <c:symbol val="none"/>
          </c:marker>
          <c:cat>
            <c:numRef>
              <c:f>Delay!$B$6:$B$58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Delay!$Z$6:$Z$58</c:f>
              <c:numCache>
                <c:formatCode>_(* #,##0_);_(* \(#,##0\);_(* "-"??_);_(@_)</c:formatCode>
                <c:ptCount val="53"/>
                <c:pt idx="0">
                  <c:v>291553.43019090616</c:v>
                </c:pt>
                <c:pt idx="1">
                  <c:v>302031.38778611337</c:v>
                </c:pt>
                <c:pt idx="2">
                  <c:v>312974.37718556065</c:v>
                </c:pt>
                <c:pt idx="3">
                  <c:v>324488.06050324935</c:v>
                </c:pt>
                <c:pt idx="4">
                  <c:v>336533.43062309682</c:v>
                </c:pt>
                <c:pt idx="5">
                  <c:v>349279.24525705026</c:v>
                </c:pt>
                <c:pt idx="6">
                  <c:v>362374.65607574157</c:v>
                </c:pt>
                <c:pt idx="7">
                  <c:v>375892.45906346268</c:v>
                </c:pt>
                <c:pt idx="8">
                  <c:v>389188.70336994668</c:v>
                </c:pt>
                <c:pt idx="9">
                  <c:v>402179.42592735298</c:v>
                </c:pt>
                <c:pt idx="10">
                  <c:v>408196.99121385399</c:v>
                </c:pt>
                <c:pt idx="11">
                  <c:v>420843.31560314796</c:v>
                </c:pt>
                <c:pt idx="12">
                  <c:v>433809.52970278717</c:v>
                </c:pt>
                <c:pt idx="13">
                  <c:v>446715.74277711939</c:v>
                </c:pt>
                <c:pt idx="14">
                  <c:v>459932.92572817404</c:v>
                </c:pt>
                <c:pt idx="15">
                  <c:v>478573.18228005699</c:v>
                </c:pt>
                <c:pt idx="16">
                  <c:v>492064.01058948878</c:v>
                </c:pt>
                <c:pt idx="17">
                  <c:v>504791.35616758163</c:v>
                </c:pt>
                <c:pt idx="18">
                  <c:v>524210.73420403409</c:v>
                </c:pt>
                <c:pt idx="19">
                  <c:v>537510.96197596437</c:v>
                </c:pt>
                <c:pt idx="20">
                  <c:v>565011.3766093069</c:v>
                </c:pt>
                <c:pt idx="21">
                  <c:v>579344.06815773377</c:v>
                </c:pt>
                <c:pt idx="22">
                  <c:v>593130.31743282557</c:v>
                </c:pt>
                <c:pt idx="23">
                  <c:v>605945.73870331107</c:v>
                </c:pt>
                <c:pt idx="24">
                  <c:v>617925.60488136695</c:v>
                </c:pt>
                <c:pt idx="25">
                  <c:v>628993.49387977365</c:v>
                </c:pt>
                <c:pt idx="26">
                  <c:v>639121.63384913851</c:v>
                </c:pt>
                <c:pt idx="27">
                  <c:v>648341.76387397107</c:v>
                </c:pt>
                <c:pt idx="28">
                  <c:v>656749.48406746972</c:v>
                </c:pt>
                <c:pt idx="29">
                  <c:v>664500.44026261673</c:v>
                </c:pt>
                <c:pt idx="30">
                  <c:v>671797.72916632541</c:v>
                </c:pt>
                <c:pt idx="31">
                  <c:v>678872.01996201265</c:v>
                </c:pt>
                <c:pt idx="32">
                  <c:v>685958.27980996063</c:v>
                </c:pt>
                <c:pt idx="33">
                  <c:v>693775.70964349399</c:v>
                </c:pt>
                <c:pt idx="34">
                  <c:v>702384.97439491819</c:v>
                </c:pt>
                <c:pt idx="35">
                  <c:v>711603.52307444892</c:v>
                </c:pt>
                <c:pt idx="36">
                  <c:v>721530.80236171233</c:v>
                </c:pt>
                <c:pt idx="37">
                  <c:v>732229.77933216293</c:v>
                </c:pt>
                <c:pt idx="38">
                  <c:v>743733.9515168122</c:v>
                </c:pt>
                <c:pt idx="39">
                  <c:v>756054.80256163864</c:v>
                </c:pt>
                <c:pt idx="40">
                  <c:v>769188.54140217951</c:v>
                </c:pt>
                <c:pt idx="41">
                  <c:v>783121.61098592123</c:v>
                </c:pt>
                <c:pt idx="42">
                  <c:v>797834.88005254918</c:v>
                </c:pt>
                <c:pt idx="43">
                  <c:v>813306.65637733857</c:v>
                </c:pt>
                <c:pt idx="44">
                  <c:v>832259.16302560829</c:v>
                </c:pt>
                <c:pt idx="45">
                  <c:v>853159.46949590137</c:v>
                </c:pt>
                <c:pt idx="46">
                  <c:v>874549.55555333616</c:v>
                </c:pt>
                <c:pt idx="47">
                  <c:v>896435.16898439545</c:v>
                </c:pt>
                <c:pt idx="48">
                  <c:v>919245.36787930818</c:v>
                </c:pt>
                <c:pt idx="49">
                  <c:v>942579.82386953977</c:v>
                </c:pt>
                <c:pt idx="50">
                  <c:v>966288.94084492349</c:v>
                </c:pt>
                <c:pt idx="51">
                  <c:v>990522.4796847757</c:v>
                </c:pt>
                <c:pt idx="52">
                  <c:v>1015286.8571037831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48800"/>
        <c:axId val="447550976"/>
      </c:lineChart>
      <c:catAx>
        <c:axId val="447548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7550976"/>
        <c:crosses val="autoZero"/>
        <c:auto val="1"/>
        <c:lblAlgn val="ctr"/>
        <c:lblOffset val="100"/>
        <c:tickMarkSkip val="5"/>
        <c:noMultiLvlLbl val="0"/>
      </c:catAx>
      <c:valAx>
        <c:axId val="44755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VHD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47548800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l"/>
      <c:layout>
        <c:manualLayout>
          <c:xMode val="edge"/>
          <c:yMode val="edge"/>
          <c:x val="0.12844034635389787"/>
          <c:y val="0.17302197620313858"/>
          <c:w val="0.26106090345527166"/>
          <c:h val="0.10633094954172724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CAV VHD Distribution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CAV Facility Distribution</c:v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VHD!$AR$3:$AS$3</c:f>
              <c:strCache>
                <c:ptCount val="2"/>
                <c:pt idx="0">
                  <c:v>Freeway</c:v>
                </c:pt>
                <c:pt idx="1">
                  <c:v>Arterial</c:v>
                </c:pt>
              </c:strCache>
            </c:strRef>
          </c:cat>
          <c:val>
            <c:numRef>
              <c:f>VHD!$AR$4:$AS$4</c:f>
              <c:numCache>
                <c:formatCode>General</c:formatCode>
                <c:ptCount val="2"/>
                <c:pt idx="0">
                  <c:v>253833.65894704356</c:v>
                </c:pt>
                <c:pt idx="1">
                  <c:v>544001.2211055056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 VHD Distribution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VHD!$AA$3:$AB$3</c:f>
              <c:strCache>
                <c:ptCount val="2"/>
                <c:pt idx="0">
                  <c:v>Freeway</c:v>
                </c:pt>
                <c:pt idx="1">
                  <c:v>Arterial</c:v>
                </c:pt>
              </c:strCache>
            </c:strRef>
          </c:cat>
          <c:val>
            <c:numRef>
              <c:f>VHD!$AA$4:$AB$4</c:f>
              <c:numCache>
                <c:formatCode>General</c:formatCode>
                <c:ptCount val="2"/>
                <c:pt idx="0">
                  <c:v>399891.21661858307</c:v>
                </c:pt>
                <c:pt idx="1">
                  <c:v>612695.22802737053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Travel Time Ratio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574965979964966E-2"/>
          <c:y val="0.15196235922014764"/>
          <c:w val="0.89752907679237537"/>
          <c:h val="0.73595484510924425"/>
        </c:manualLayout>
      </c:layout>
      <c:barChart>
        <c:barDir val="col"/>
        <c:grouping val="clustered"/>
        <c:varyColors val="0"/>
        <c:ser>
          <c:idx val="0"/>
          <c:order val="0"/>
          <c:tx>
            <c:v>CAV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VHD!$AP$3:$AQ$3</c:f>
              <c:strCache>
                <c:ptCount val="2"/>
                <c:pt idx="0">
                  <c:v>Freeway</c:v>
                </c:pt>
                <c:pt idx="1">
                  <c:v>Arterial</c:v>
                </c:pt>
              </c:strCache>
            </c:strRef>
          </c:cat>
          <c:val>
            <c:numRef>
              <c:f>VHD!$AP$4:$AQ$4</c:f>
              <c:numCache>
                <c:formatCode>General</c:formatCode>
                <c:ptCount val="2"/>
                <c:pt idx="0">
                  <c:v>1.4807936748509529</c:v>
                </c:pt>
                <c:pt idx="1">
                  <c:v>1.3534729159137735</c:v>
                </c:pt>
              </c:numCache>
            </c:numRef>
          </c:val>
        </c:ser>
        <c:ser>
          <c:idx val="1"/>
          <c:order val="1"/>
          <c:tx>
            <c:v>Base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VHD!$AP$3:$AQ$3</c:f>
              <c:strCache>
                <c:ptCount val="2"/>
                <c:pt idx="0">
                  <c:v>Freeway</c:v>
                </c:pt>
                <c:pt idx="1">
                  <c:v>Arterial</c:v>
                </c:pt>
              </c:strCache>
            </c:strRef>
          </c:cat>
          <c:val>
            <c:numRef>
              <c:f>VHD!$Y$4:$Z$4</c:f>
              <c:numCache>
                <c:formatCode>General</c:formatCode>
                <c:ptCount val="2"/>
                <c:pt idx="0">
                  <c:v>1.9405603997015501</c:v>
                </c:pt>
                <c:pt idx="1">
                  <c:v>1.5203914756521026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47374080"/>
        <c:axId val="447375616"/>
      </c:barChart>
      <c:catAx>
        <c:axId val="447374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47375616"/>
        <c:crosses val="autoZero"/>
        <c:auto val="1"/>
        <c:lblAlgn val="ctr"/>
        <c:lblOffset val="100"/>
        <c:noMultiLvlLbl val="0"/>
      </c:catAx>
      <c:valAx>
        <c:axId val="447375616"/>
        <c:scaling>
          <c:orientation val="minMax"/>
        </c:scaling>
        <c:delete val="0"/>
        <c:axPos val="l"/>
        <c:majorGridlines/>
        <c:numFmt formatCode="#,##0.0" sourceLinked="0"/>
        <c:majorTickMark val="none"/>
        <c:minorTickMark val="none"/>
        <c:tickLblPos val="nextTo"/>
        <c:crossAx val="4473740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5287277434915234"/>
          <c:y val="4.9797487688620863E-2"/>
          <c:w val="0.23804249404557076"/>
          <c:h val="8.063729492007479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VHD!$AJ$2</c:f>
              <c:strCache>
                <c:ptCount val="1"/>
                <c:pt idx="0">
                  <c:v>Capacity Factor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dPt>
          <c:cat>
            <c:strRef>
              <c:f>VHD!$AJ$3:$AK$3</c:f>
              <c:strCache>
                <c:ptCount val="2"/>
                <c:pt idx="0">
                  <c:v>Freeway</c:v>
                </c:pt>
                <c:pt idx="1">
                  <c:v>Arterial</c:v>
                </c:pt>
              </c:strCache>
            </c:strRef>
          </c:cat>
          <c:val>
            <c:numRef>
              <c:f>VHD!$AJ$4:$AK$4</c:f>
              <c:numCache>
                <c:formatCode>General</c:formatCode>
                <c:ptCount val="2"/>
                <c:pt idx="0">
                  <c:v>1.956266167588677</c:v>
                </c:pt>
                <c:pt idx="1">
                  <c:v>1.4722244681939012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392768"/>
        <c:axId val="447406848"/>
      </c:barChart>
      <c:catAx>
        <c:axId val="44739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47406848"/>
        <c:crosses val="autoZero"/>
        <c:auto val="1"/>
        <c:lblAlgn val="ctr"/>
        <c:lblOffset val="100"/>
        <c:noMultiLvlLbl val="0"/>
      </c:catAx>
      <c:valAx>
        <c:axId val="447406848"/>
        <c:scaling>
          <c:orientation val="minMax"/>
          <c:min val="0.95000000000000007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44739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VMT Impact of CAV Vehicles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AreaType!$C$3</c:f>
              <c:strCache>
                <c:ptCount val="1"/>
                <c:pt idx="0">
                  <c:v>Downtown</c:v>
                </c:pt>
              </c:strCache>
            </c:strRef>
          </c:tx>
          <c:marker>
            <c:symbol val="none"/>
          </c:marker>
          <c:cat>
            <c:numRef>
              <c:f>AreaType!$B$4:$B$56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AreaType!$C$4:$C$56</c:f>
              <c:numCache>
                <c:formatCode>0.0%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1.0021500000000001</c:v>
                </c:pt>
                <c:pt idx="6">
                  <c:v>1.0021500000000001</c:v>
                </c:pt>
                <c:pt idx="7">
                  <c:v>1.0021500000000001</c:v>
                </c:pt>
                <c:pt idx="8">
                  <c:v>1.0021500000000001</c:v>
                </c:pt>
                <c:pt idx="9">
                  <c:v>0.99713924999999992</c:v>
                </c:pt>
                <c:pt idx="10">
                  <c:v>0.99047801989971718</c:v>
                </c:pt>
                <c:pt idx="11">
                  <c:v>0.98826062014291616</c:v>
                </c:pt>
                <c:pt idx="12">
                  <c:v>0.98530367004354846</c:v>
                </c:pt>
                <c:pt idx="13">
                  <c:v>0.98136051371220379</c:v>
                </c:pt>
                <c:pt idx="14">
                  <c:v>0.97610223023398557</c:v>
                </c:pt>
                <c:pt idx="15">
                  <c:v>0.92063568669342144</c:v>
                </c:pt>
                <c:pt idx="16">
                  <c:v>0.91175252431403109</c:v>
                </c:pt>
                <c:pt idx="17">
                  <c:v>0.86408135368090799</c:v>
                </c:pt>
                <c:pt idx="18">
                  <c:v>0.86408135368090799</c:v>
                </c:pt>
                <c:pt idx="19">
                  <c:v>0.86408135368090799</c:v>
                </c:pt>
                <c:pt idx="20">
                  <c:v>0.86408135368090799</c:v>
                </c:pt>
                <c:pt idx="21">
                  <c:v>0.86408135368090799</c:v>
                </c:pt>
                <c:pt idx="22">
                  <c:v>0.86408135368090799</c:v>
                </c:pt>
                <c:pt idx="23">
                  <c:v>0.86408135368090799</c:v>
                </c:pt>
                <c:pt idx="24">
                  <c:v>0.86408135368090799</c:v>
                </c:pt>
                <c:pt idx="25">
                  <c:v>0.86408135368090799</c:v>
                </c:pt>
                <c:pt idx="26">
                  <c:v>0.86408135368090799</c:v>
                </c:pt>
                <c:pt idx="27">
                  <c:v>0.86408135368090799</c:v>
                </c:pt>
                <c:pt idx="28">
                  <c:v>0.86408135368090799</c:v>
                </c:pt>
                <c:pt idx="29">
                  <c:v>0.86408135368090799</c:v>
                </c:pt>
                <c:pt idx="30">
                  <c:v>0.86408135368090799</c:v>
                </c:pt>
                <c:pt idx="31">
                  <c:v>0.86408135368090799</c:v>
                </c:pt>
                <c:pt idx="32">
                  <c:v>0.86408135368090799</c:v>
                </c:pt>
                <c:pt idx="33">
                  <c:v>0.86408135368090799</c:v>
                </c:pt>
                <c:pt idx="34">
                  <c:v>0.86408135368090799</c:v>
                </c:pt>
                <c:pt idx="35">
                  <c:v>0.86408135368090799</c:v>
                </c:pt>
                <c:pt idx="36">
                  <c:v>0.86408135368090799</c:v>
                </c:pt>
                <c:pt idx="37">
                  <c:v>0.86408135368090799</c:v>
                </c:pt>
                <c:pt idx="38">
                  <c:v>0.86408135368090799</c:v>
                </c:pt>
                <c:pt idx="39">
                  <c:v>0.86408135368090799</c:v>
                </c:pt>
                <c:pt idx="40">
                  <c:v>0.86408135368090799</c:v>
                </c:pt>
                <c:pt idx="41">
                  <c:v>0.86408135368090799</c:v>
                </c:pt>
                <c:pt idx="42">
                  <c:v>0.86408135368090799</c:v>
                </c:pt>
                <c:pt idx="43">
                  <c:v>0.86408135368090799</c:v>
                </c:pt>
                <c:pt idx="44">
                  <c:v>0.86408135368090799</c:v>
                </c:pt>
                <c:pt idx="45">
                  <c:v>0.86408135368090799</c:v>
                </c:pt>
                <c:pt idx="46">
                  <c:v>0.86408135368090799</c:v>
                </c:pt>
                <c:pt idx="47">
                  <c:v>0.86408135368090799</c:v>
                </c:pt>
                <c:pt idx="48">
                  <c:v>0.86408135368090799</c:v>
                </c:pt>
                <c:pt idx="49">
                  <c:v>0.86408135368090799</c:v>
                </c:pt>
                <c:pt idx="50">
                  <c:v>0.86408135368090799</c:v>
                </c:pt>
                <c:pt idx="51">
                  <c:v>0.86408135368090799</c:v>
                </c:pt>
                <c:pt idx="52">
                  <c:v>0.86408135368090799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AreaType!$D$3</c:f>
              <c:strCache>
                <c:ptCount val="1"/>
                <c:pt idx="0">
                  <c:v>Urban</c:v>
                </c:pt>
              </c:strCache>
            </c:strRef>
          </c:tx>
          <c:marker>
            <c:symbol val="none"/>
          </c:marker>
          <c:cat>
            <c:numRef>
              <c:f>AreaType!$B$4:$B$56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AreaType!$D$4:$D$56</c:f>
              <c:numCache>
                <c:formatCode>0.0%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0.9899744897959184</c:v>
                </c:pt>
                <c:pt idx="11">
                  <c:v>0.9899744897959184</c:v>
                </c:pt>
                <c:pt idx="12">
                  <c:v>0.9850246173469388</c:v>
                </c:pt>
                <c:pt idx="13">
                  <c:v>0.98355529941360442</c:v>
                </c:pt>
                <c:pt idx="14">
                  <c:v>0.98164982979929827</c:v>
                </c:pt>
                <c:pt idx="15">
                  <c:v>0.94001159177594928</c:v>
                </c:pt>
                <c:pt idx="16">
                  <c:v>0.93693517084530309</c:v>
                </c:pt>
                <c:pt idx="17">
                  <c:v>0.92175019993773644</c:v>
                </c:pt>
                <c:pt idx="18">
                  <c:v>0.91663838410493004</c:v>
                </c:pt>
                <c:pt idx="19">
                  <c:v>0.91000917913685542</c:v>
                </c:pt>
                <c:pt idx="20">
                  <c:v>0.90141216391836732</c:v>
                </c:pt>
                <c:pt idx="21">
                  <c:v>0.90141216391836732</c:v>
                </c:pt>
                <c:pt idx="22">
                  <c:v>0.90141216391836732</c:v>
                </c:pt>
                <c:pt idx="23">
                  <c:v>0.90141216391836732</c:v>
                </c:pt>
                <c:pt idx="24">
                  <c:v>0.90141216391836732</c:v>
                </c:pt>
                <c:pt idx="25">
                  <c:v>0.90141216391836732</c:v>
                </c:pt>
                <c:pt idx="26">
                  <c:v>0.90141216391836732</c:v>
                </c:pt>
                <c:pt idx="27">
                  <c:v>0.90141216391836732</c:v>
                </c:pt>
                <c:pt idx="28">
                  <c:v>0.90141216391836732</c:v>
                </c:pt>
                <c:pt idx="29">
                  <c:v>0.90141216391836732</c:v>
                </c:pt>
                <c:pt idx="30">
                  <c:v>0.90141216391836732</c:v>
                </c:pt>
                <c:pt idx="31">
                  <c:v>0.90141216391836732</c:v>
                </c:pt>
                <c:pt idx="32">
                  <c:v>0.90141216391836732</c:v>
                </c:pt>
                <c:pt idx="33">
                  <c:v>0.90141216391836732</c:v>
                </c:pt>
                <c:pt idx="34">
                  <c:v>0.90141216391836732</c:v>
                </c:pt>
                <c:pt idx="35">
                  <c:v>0.90141216391836732</c:v>
                </c:pt>
                <c:pt idx="36">
                  <c:v>0.90141216391836732</c:v>
                </c:pt>
                <c:pt idx="37">
                  <c:v>0.90141216391836732</c:v>
                </c:pt>
                <c:pt idx="38">
                  <c:v>0.90141216391836732</c:v>
                </c:pt>
                <c:pt idx="39">
                  <c:v>0.90141216391836732</c:v>
                </c:pt>
                <c:pt idx="40">
                  <c:v>0.90141216391836732</c:v>
                </c:pt>
                <c:pt idx="41">
                  <c:v>0.90141216391836732</c:v>
                </c:pt>
                <c:pt idx="42">
                  <c:v>0.90141216391836732</c:v>
                </c:pt>
                <c:pt idx="43">
                  <c:v>0.90141216391836732</c:v>
                </c:pt>
                <c:pt idx="44">
                  <c:v>0.90141216391836732</c:v>
                </c:pt>
                <c:pt idx="45">
                  <c:v>0.90141216391836732</c:v>
                </c:pt>
                <c:pt idx="46">
                  <c:v>0.90141216391836732</c:v>
                </c:pt>
                <c:pt idx="47">
                  <c:v>0.90141216391836732</c:v>
                </c:pt>
                <c:pt idx="48">
                  <c:v>0.90141216391836732</c:v>
                </c:pt>
                <c:pt idx="49">
                  <c:v>0.90141216391836732</c:v>
                </c:pt>
                <c:pt idx="50">
                  <c:v>0.90141216391836732</c:v>
                </c:pt>
                <c:pt idx="51">
                  <c:v>0.90141216391836732</c:v>
                </c:pt>
                <c:pt idx="52">
                  <c:v>0.90141216391836732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AreaType!$E$3</c:f>
              <c:strCache>
                <c:ptCount val="1"/>
                <c:pt idx="0">
                  <c:v>Suburban Business</c:v>
                </c:pt>
              </c:strCache>
            </c:strRef>
          </c:tx>
          <c:marker>
            <c:symbol val="none"/>
          </c:marker>
          <c:cat>
            <c:numRef>
              <c:f>AreaType!$B$4:$B$56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AreaType!$E$4:$E$56</c:f>
              <c:numCache>
                <c:formatCode>0.0%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0.99903785714285709</c:v>
                </c:pt>
                <c:pt idx="11">
                  <c:v>0.99903785714285709</c:v>
                </c:pt>
                <c:pt idx="12">
                  <c:v>0.99903785714285709</c:v>
                </c:pt>
                <c:pt idx="13">
                  <c:v>0.99903785714285709</c:v>
                </c:pt>
                <c:pt idx="14">
                  <c:v>0.99404266785714279</c:v>
                </c:pt>
                <c:pt idx="15">
                  <c:v>0.9782010793659478</c:v>
                </c:pt>
                <c:pt idx="16">
                  <c:v>0.97709398881775344</c:v>
                </c:pt>
                <c:pt idx="17">
                  <c:v>0.97492362361063534</c:v>
                </c:pt>
                <c:pt idx="18">
                  <c:v>0.97335933109726336</c:v>
                </c:pt>
                <c:pt idx="19">
                  <c:v>0.97149906331041591</c:v>
                </c:pt>
                <c:pt idx="20">
                  <c:v>0.96928681962248675</c:v>
                </c:pt>
                <c:pt idx="21">
                  <c:v>0.96665600368868132</c:v>
                </c:pt>
                <c:pt idx="22">
                  <c:v>0.96352741866193736</c:v>
                </c:pt>
                <c:pt idx="23">
                  <c:v>0.96352741866193736</c:v>
                </c:pt>
                <c:pt idx="24">
                  <c:v>0.96352741866193736</c:v>
                </c:pt>
                <c:pt idx="25">
                  <c:v>0.96352741866193736</c:v>
                </c:pt>
                <c:pt idx="26">
                  <c:v>0.96352741866193736</c:v>
                </c:pt>
                <c:pt idx="27">
                  <c:v>0.96352741866193736</c:v>
                </c:pt>
                <c:pt idx="28">
                  <c:v>0.96352741866193736</c:v>
                </c:pt>
                <c:pt idx="29">
                  <c:v>0.96352741866193736</c:v>
                </c:pt>
                <c:pt idx="30">
                  <c:v>0.96352741866193736</c:v>
                </c:pt>
                <c:pt idx="31">
                  <c:v>0.96352741866193736</c:v>
                </c:pt>
                <c:pt idx="32">
                  <c:v>0.96352741866193736</c:v>
                </c:pt>
                <c:pt idx="33">
                  <c:v>0.96352741866193736</c:v>
                </c:pt>
                <c:pt idx="34">
                  <c:v>0.96352741866193736</c:v>
                </c:pt>
                <c:pt idx="35">
                  <c:v>0.96352741866193736</c:v>
                </c:pt>
                <c:pt idx="36">
                  <c:v>0.96352741866193736</c:v>
                </c:pt>
                <c:pt idx="37">
                  <c:v>0.96352741866193736</c:v>
                </c:pt>
                <c:pt idx="38">
                  <c:v>0.96352741866193736</c:v>
                </c:pt>
                <c:pt idx="39">
                  <c:v>0.96352741866193736</c:v>
                </c:pt>
                <c:pt idx="40">
                  <c:v>0.96352741866193736</c:v>
                </c:pt>
                <c:pt idx="41">
                  <c:v>0.96352741866193736</c:v>
                </c:pt>
                <c:pt idx="42">
                  <c:v>0.96352741866193736</c:v>
                </c:pt>
                <c:pt idx="43">
                  <c:v>0.96352741866193736</c:v>
                </c:pt>
                <c:pt idx="44">
                  <c:v>0.96352741866193736</c:v>
                </c:pt>
                <c:pt idx="45">
                  <c:v>0.96352741866193736</c:v>
                </c:pt>
                <c:pt idx="46">
                  <c:v>0.96352741866193736</c:v>
                </c:pt>
                <c:pt idx="47">
                  <c:v>0.96352741866193736</c:v>
                </c:pt>
                <c:pt idx="48">
                  <c:v>0.96352741866193736</c:v>
                </c:pt>
                <c:pt idx="49">
                  <c:v>0.96352741866193736</c:v>
                </c:pt>
                <c:pt idx="50">
                  <c:v>0.96352741866193736</c:v>
                </c:pt>
                <c:pt idx="51">
                  <c:v>0.96352741866193736</c:v>
                </c:pt>
                <c:pt idx="52">
                  <c:v>0.96352741866193736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AreaType!$F$3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cat>
            <c:numRef>
              <c:f>AreaType!$B$4:$B$56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AreaType!$F$4:$F$56</c:f>
              <c:numCache>
                <c:formatCode>0.0%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0.99743428571428572</c:v>
                </c:pt>
                <c:pt idx="11">
                  <c:v>0.99743428571428572</c:v>
                </c:pt>
                <c:pt idx="12">
                  <c:v>0.99743428571428572</c:v>
                </c:pt>
                <c:pt idx="13">
                  <c:v>0.99743428571428572</c:v>
                </c:pt>
                <c:pt idx="14">
                  <c:v>0.99743428571428572</c:v>
                </c:pt>
                <c:pt idx="15">
                  <c:v>0.99743428571428572</c:v>
                </c:pt>
                <c:pt idx="16">
                  <c:v>0.99743428571428572</c:v>
                </c:pt>
                <c:pt idx="17">
                  <c:v>0.99743428571428572</c:v>
                </c:pt>
                <c:pt idx="18">
                  <c:v>0.99743428571428572</c:v>
                </c:pt>
                <c:pt idx="19">
                  <c:v>0.99743428571428572</c:v>
                </c:pt>
                <c:pt idx="20">
                  <c:v>0.99743428571428572</c:v>
                </c:pt>
                <c:pt idx="21">
                  <c:v>0.99743428571428572</c:v>
                </c:pt>
                <c:pt idx="22">
                  <c:v>0.99743428571428572</c:v>
                </c:pt>
                <c:pt idx="23">
                  <c:v>0.99743428571428572</c:v>
                </c:pt>
                <c:pt idx="24">
                  <c:v>0.99743428571428572</c:v>
                </c:pt>
                <c:pt idx="25">
                  <c:v>0.99743428571428572</c:v>
                </c:pt>
                <c:pt idx="26">
                  <c:v>0.99743428571428572</c:v>
                </c:pt>
                <c:pt idx="27">
                  <c:v>0.99743428571428572</c:v>
                </c:pt>
                <c:pt idx="28">
                  <c:v>0.99743428571428572</c:v>
                </c:pt>
                <c:pt idx="29">
                  <c:v>0.99743428571428572</c:v>
                </c:pt>
                <c:pt idx="30">
                  <c:v>0.99743428571428572</c:v>
                </c:pt>
                <c:pt idx="31">
                  <c:v>0.99743428571428572</c:v>
                </c:pt>
                <c:pt idx="32">
                  <c:v>0.99743428571428572</c:v>
                </c:pt>
                <c:pt idx="33">
                  <c:v>0.99743428571428572</c:v>
                </c:pt>
                <c:pt idx="34">
                  <c:v>0.99743428571428572</c:v>
                </c:pt>
                <c:pt idx="35">
                  <c:v>0.99743428571428572</c:v>
                </c:pt>
                <c:pt idx="36">
                  <c:v>0.99743428571428572</c:v>
                </c:pt>
                <c:pt idx="37">
                  <c:v>0.99743428571428572</c:v>
                </c:pt>
                <c:pt idx="38">
                  <c:v>0.99743428571428572</c:v>
                </c:pt>
                <c:pt idx="39">
                  <c:v>0.99743428571428572</c:v>
                </c:pt>
                <c:pt idx="40">
                  <c:v>0.99743428571428572</c:v>
                </c:pt>
                <c:pt idx="41">
                  <c:v>0.99743428571428572</c:v>
                </c:pt>
                <c:pt idx="42">
                  <c:v>0.99743428571428572</c:v>
                </c:pt>
                <c:pt idx="43">
                  <c:v>0.99743428571428572</c:v>
                </c:pt>
                <c:pt idx="44">
                  <c:v>0.99743428571428572</c:v>
                </c:pt>
                <c:pt idx="45">
                  <c:v>0.99743428571428572</c:v>
                </c:pt>
                <c:pt idx="46">
                  <c:v>0.99743428571428572</c:v>
                </c:pt>
                <c:pt idx="47">
                  <c:v>0.99743428571428572</c:v>
                </c:pt>
                <c:pt idx="48">
                  <c:v>0.99743428571428572</c:v>
                </c:pt>
                <c:pt idx="49">
                  <c:v>0.99743428571428572</c:v>
                </c:pt>
                <c:pt idx="50">
                  <c:v>0.99743428571428572</c:v>
                </c:pt>
                <c:pt idx="51">
                  <c:v>0.99743428571428572</c:v>
                </c:pt>
                <c:pt idx="52">
                  <c:v>0.99743428571428572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AreaType!$G$3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cat>
            <c:numRef>
              <c:f>AreaType!$B$4:$B$56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AreaType!$G$4:$G$56</c:f>
              <c:numCache>
                <c:formatCode>0.0%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0.99980757142857146</c:v>
                </c:pt>
                <c:pt idx="11">
                  <c:v>0.99980757142857146</c:v>
                </c:pt>
                <c:pt idx="12">
                  <c:v>0.99980757142857146</c:v>
                </c:pt>
                <c:pt idx="13">
                  <c:v>0.99980757142857146</c:v>
                </c:pt>
                <c:pt idx="14">
                  <c:v>0.99980757142857146</c:v>
                </c:pt>
                <c:pt idx="15">
                  <c:v>0.99980757142857146</c:v>
                </c:pt>
                <c:pt idx="16">
                  <c:v>0.99980757142857146</c:v>
                </c:pt>
                <c:pt idx="17">
                  <c:v>0.99980757142857146</c:v>
                </c:pt>
                <c:pt idx="18">
                  <c:v>0.99980757142857146</c:v>
                </c:pt>
                <c:pt idx="19">
                  <c:v>0.99980757142857146</c:v>
                </c:pt>
                <c:pt idx="20">
                  <c:v>0.99980757142857146</c:v>
                </c:pt>
                <c:pt idx="21">
                  <c:v>0.99980757142857146</c:v>
                </c:pt>
                <c:pt idx="22">
                  <c:v>0.99980757142857146</c:v>
                </c:pt>
                <c:pt idx="23">
                  <c:v>0.99980757142857146</c:v>
                </c:pt>
                <c:pt idx="24">
                  <c:v>0.99980757142857146</c:v>
                </c:pt>
                <c:pt idx="25">
                  <c:v>0.99980757142857146</c:v>
                </c:pt>
                <c:pt idx="26">
                  <c:v>0.99980757142857146</c:v>
                </c:pt>
                <c:pt idx="27">
                  <c:v>0.99980757142857146</c:v>
                </c:pt>
                <c:pt idx="28">
                  <c:v>0.99980757142857146</c:v>
                </c:pt>
                <c:pt idx="29">
                  <c:v>0.99980757142857146</c:v>
                </c:pt>
                <c:pt idx="30">
                  <c:v>0.99980757142857146</c:v>
                </c:pt>
                <c:pt idx="31">
                  <c:v>0.99980757142857146</c:v>
                </c:pt>
                <c:pt idx="32">
                  <c:v>0.99980757142857146</c:v>
                </c:pt>
                <c:pt idx="33">
                  <c:v>0.99980757142857146</c:v>
                </c:pt>
                <c:pt idx="34">
                  <c:v>0.99980757142857146</c:v>
                </c:pt>
                <c:pt idx="35">
                  <c:v>0.99980757142857146</c:v>
                </c:pt>
                <c:pt idx="36">
                  <c:v>0.99980757142857146</c:v>
                </c:pt>
                <c:pt idx="37">
                  <c:v>0.99980757142857146</c:v>
                </c:pt>
                <c:pt idx="38">
                  <c:v>0.99980757142857146</c:v>
                </c:pt>
                <c:pt idx="39">
                  <c:v>0.99980757142857146</c:v>
                </c:pt>
                <c:pt idx="40">
                  <c:v>0.99980757142857146</c:v>
                </c:pt>
                <c:pt idx="41">
                  <c:v>0.99980757142857146</c:v>
                </c:pt>
                <c:pt idx="42">
                  <c:v>0.99980757142857146</c:v>
                </c:pt>
                <c:pt idx="43">
                  <c:v>0.99980757142857146</c:v>
                </c:pt>
                <c:pt idx="44">
                  <c:v>0.99980757142857146</c:v>
                </c:pt>
                <c:pt idx="45">
                  <c:v>0.99980757142857146</c:v>
                </c:pt>
                <c:pt idx="46">
                  <c:v>0.99980757142857146</c:v>
                </c:pt>
                <c:pt idx="47">
                  <c:v>0.99980757142857146</c:v>
                </c:pt>
                <c:pt idx="48">
                  <c:v>0.99980757142857146</c:v>
                </c:pt>
                <c:pt idx="49">
                  <c:v>0.99980757142857146</c:v>
                </c:pt>
                <c:pt idx="50">
                  <c:v>0.99980757142857146</c:v>
                </c:pt>
                <c:pt idx="51">
                  <c:v>0.99980757142857146</c:v>
                </c:pt>
                <c:pt idx="52">
                  <c:v>0.99980757142857146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877120"/>
        <c:axId val="447878656"/>
      </c:lineChart>
      <c:catAx>
        <c:axId val="4478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878656"/>
        <c:crosses val="autoZero"/>
        <c:auto val="1"/>
        <c:lblAlgn val="ctr"/>
        <c:lblOffset val="100"/>
        <c:noMultiLvlLbl val="0"/>
      </c:catAx>
      <c:valAx>
        <c:axId val="44787865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4787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  <a:r>
              <a:rPr lang="en-US" baseline="0"/>
              <a:t> of CAV on VMT Forecasts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7698139019618574E-2"/>
          <c:y val="0.12912176132438574"/>
          <c:w val="0.87987576875985962"/>
          <c:h val="0.72626263919820477"/>
        </c:manualLayout>
      </c:layout>
      <c:lineChart>
        <c:grouping val="standard"/>
        <c:varyColors val="0"/>
        <c:ser>
          <c:idx val="0"/>
          <c:order val="0"/>
          <c:tx>
            <c:v>Total VMT without CAVs</c:v>
          </c:tx>
          <c:marker>
            <c:symbol val="none"/>
          </c:marker>
          <c:cat>
            <c:numRef>
              <c:f>'AT-Miles'!$B$4:$B$56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'AT-Miles'!$C$4:$C$56</c:f>
              <c:numCache>
                <c:formatCode>_(* #,##0_);_(* \(#,##0\);_(* "-"??_);_(@_)</c:formatCode>
                <c:ptCount val="53"/>
                <c:pt idx="0">
                  <c:v>84000000</c:v>
                </c:pt>
                <c:pt idx="1">
                  <c:v>85259999.999999985</c:v>
                </c:pt>
                <c:pt idx="2">
                  <c:v>86538899.99999997</c:v>
                </c:pt>
                <c:pt idx="3">
                  <c:v>87836983.499999955</c:v>
                </c:pt>
                <c:pt idx="4">
                  <c:v>89154538.252499953</c:v>
                </c:pt>
                <c:pt idx="5">
                  <c:v>90491856.326287448</c:v>
                </c:pt>
                <c:pt idx="6">
                  <c:v>91849234.171181753</c:v>
                </c:pt>
                <c:pt idx="7">
                  <c:v>93226972.683749467</c:v>
                </c:pt>
                <c:pt idx="8">
                  <c:v>94625377.274005696</c:v>
                </c:pt>
                <c:pt idx="9">
                  <c:v>96044757.933115765</c:v>
                </c:pt>
                <c:pt idx="10">
                  <c:v>97485429.30211249</c:v>
                </c:pt>
                <c:pt idx="11">
                  <c:v>98947710.741644174</c:v>
                </c:pt>
                <c:pt idx="12">
                  <c:v>100431926.40276882</c:v>
                </c:pt>
                <c:pt idx="13">
                  <c:v>101938405.29881035</c:v>
                </c:pt>
                <c:pt idx="14">
                  <c:v>103467481.37829249</c:v>
                </c:pt>
                <c:pt idx="15">
                  <c:v>105019493.59896687</c:v>
                </c:pt>
                <c:pt idx="16">
                  <c:v>106594786.00295135</c:v>
                </c:pt>
                <c:pt idx="17">
                  <c:v>108193707.79299562</c:v>
                </c:pt>
                <c:pt idx="18">
                  <c:v>109816613.40989055</c:v>
                </c:pt>
                <c:pt idx="19">
                  <c:v>111463862.61103889</c:v>
                </c:pt>
                <c:pt idx="20">
                  <c:v>113135820.55020447</c:v>
                </c:pt>
                <c:pt idx="21">
                  <c:v>114832857.85845752</c:v>
                </c:pt>
                <c:pt idx="22">
                  <c:v>116555350.72633438</c:v>
                </c:pt>
                <c:pt idx="23">
                  <c:v>118303680.98722938</c:v>
                </c:pt>
                <c:pt idx="24">
                  <c:v>120078236.20203781</c:v>
                </c:pt>
                <c:pt idx="25">
                  <c:v>121879409.74506837</c:v>
                </c:pt>
                <c:pt idx="26">
                  <c:v>123707600.89124438</c:v>
                </c:pt>
                <c:pt idx="27">
                  <c:v>125563214.90461303</c:v>
                </c:pt>
                <c:pt idx="28">
                  <c:v>127446663.12818222</c:v>
                </c:pt>
                <c:pt idx="29">
                  <c:v>129358363.07510494</c:v>
                </c:pt>
                <c:pt idx="30">
                  <c:v>131298738.5212315</c:v>
                </c:pt>
                <c:pt idx="31">
                  <c:v>133268219.59904996</c:v>
                </c:pt>
                <c:pt idx="32">
                  <c:v>135267242.89303568</c:v>
                </c:pt>
                <c:pt idx="33">
                  <c:v>137296251.53643119</c:v>
                </c:pt>
                <c:pt idx="34">
                  <c:v>139355695.30947766</c:v>
                </c:pt>
                <c:pt idx="35">
                  <c:v>141446030.7391198</c:v>
                </c:pt>
                <c:pt idx="36">
                  <c:v>143567721.20020658</c:v>
                </c:pt>
                <c:pt idx="37">
                  <c:v>145721237.01820967</c:v>
                </c:pt>
                <c:pt idx="38">
                  <c:v>147907055.57348281</c:v>
                </c:pt>
                <c:pt idx="39">
                  <c:v>150125661.40708503</c:v>
                </c:pt>
                <c:pt idx="40">
                  <c:v>152377546.32819128</c:v>
                </c:pt>
                <c:pt idx="41">
                  <c:v>154663209.52311414</c:v>
                </c:pt>
                <c:pt idx="42">
                  <c:v>156983157.66596085</c:v>
                </c:pt>
                <c:pt idx="43">
                  <c:v>159337905.03095025</c:v>
                </c:pt>
                <c:pt idx="44">
                  <c:v>161727973.6064145</c:v>
                </c:pt>
                <c:pt idx="45">
                  <c:v>164153893.2105107</c:v>
                </c:pt>
                <c:pt idx="46">
                  <c:v>166616201.60866836</c:v>
                </c:pt>
                <c:pt idx="47">
                  <c:v>169115444.63279837</c:v>
                </c:pt>
                <c:pt idx="48">
                  <c:v>171652176.30229032</c:v>
                </c:pt>
                <c:pt idx="49">
                  <c:v>174226958.94682467</c:v>
                </c:pt>
                <c:pt idx="50">
                  <c:v>176840363.33102703</c:v>
                </c:pt>
                <c:pt idx="51">
                  <c:v>179492968.78099242</c:v>
                </c:pt>
                <c:pt idx="52">
                  <c:v>182185363.31270728</c:v>
                </c:pt>
              </c:numCache>
            </c:numRef>
          </c:val>
          <c:smooth val="0"/>
        </c:ser>
        <c:ser>
          <c:idx val="1"/>
          <c:order val="1"/>
          <c:tx>
            <c:v>Total VMT with CAVs</c:v>
          </c:tx>
          <c:marker>
            <c:symbol val="none"/>
          </c:marker>
          <c:cat>
            <c:numRef>
              <c:f>'AT-Miles'!$B$4:$B$56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'AT-Miles'!$I$4:$I$56</c:f>
              <c:numCache>
                <c:formatCode>_(* #,##0_);_(* \(#,##0\);_(* "-"??_);_(@_)</c:formatCode>
                <c:ptCount val="53"/>
                <c:pt idx="0">
                  <c:v>83999986.643081784</c:v>
                </c:pt>
                <c:pt idx="1">
                  <c:v>85259976.078479216</c:v>
                </c:pt>
                <c:pt idx="2">
                  <c:v>86538667.029283687</c:v>
                </c:pt>
                <c:pt idx="3">
                  <c:v>87835938.35466367</c:v>
                </c:pt>
                <c:pt idx="4">
                  <c:v>89151493.454270437</c:v>
                </c:pt>
                <c:pt idx="5">
                  <c:v>90552183.784604579</c:v>
                </c:pt>
                <c:pt idx="6">
                  <c:v>91967395.261267781</c:v>
                </c:pt>
                <c:pt idx="7">
                  <c:v>93426363.235466093</c:v>
                </c:pt>
                <c:pt idx="8">
                  <c:v>94957876.111604527</c:v>
                </c:pt>
                <c:pt idx="9">
                  <c:v>96575934.538654849</c:v>
                </c:pt>
                <c:pt idx="10">
                  <c:v>97762319.831468761</c:v>
                </c:pt>
                <c:pt idx="11">
                  <c:v>99438676.473622546</c:v>
                </c:pt>
                <c:pt idx="12">
                  <c:v>101269526.15674293</c:v>
                </c:pt>
                <c:pt idx="13">
                  <c:v>103068200.55885504</c:v>
                </c:pt>
                <c:pt idx="14">
                  <c:v>104957245.92915842</c:v>
                </c:pt>
                <c:pt idx="15">
                  <c:v>108229214.68469018</c:v>
                </c:pt>
                <c:pt idx="16">
                  <c:v>110394002.41512717</c:v>
                </c:pt>
                <c:pt idx="17">
                  <c:v>112468266.96393624</c:v>
                </c:pt>
                <c:pt idx="18">
                  <c:v>116575820.3095578</c:v>
                </c:pt>
                <c:pt idx="19">
                  <c:v>119195525.57472974</c:v>
                </c:pt>
                <c:pt idx="20">
                  <c:v>126277738.59208676</c:v>
                </c:pt>
                <c:pt idx="21">
                  <c:v>129426437.25889677</c:v>
                </c:pt>
                <c:pt idx="22">
                  <c:v>132731229.08760968</c:v>
                </c:pt>
                <c:pt idx="23">
                  <c:v>136122302.54169616</c:v>
                </c:pt>
                <c:pt idx="24">
                  <c:v>139668987.57171446</c:v>
                </c:pt>
                <c:pt idx="25">
                  <c:v>143372656.25024182</c:v>
                </c:pt>
                <c:pt idx="26">
                  <c:v>147229790.34182781</c:v>
                </c:pt>
                <c:pt idx="27">
                  <c:v>151231807.22243711</c:v>
                </c:pt>
                <c:pt idx="28">
                  <c:v>155365168.2541126</c:v>
                </c:pt>
                <c:pt idx="29">
                  <c:v>159611896.51315287</c:v>
                </c:pt>
                <c:pt idx="30">
                  <c:v>163950611.41405526</c:v>
                </c:pt>
                <c:pt idx="31">
                  <c:v>168358061.58707049</c:v>
                </c:pt>
                <c:pt idx="32">
                  <c:v>172810953.37454578</c:v>
                </c:pt>
                <c:pt idx="33">
                  <c:v>177246850.8062903</c:v>
                </c:pt>
                <c:pt idx="34">
                  <c:v>181654283.43604121</c:v>
                </c:pt>
                <c:pt idx="35">
                  <c:v>186044664.93338528</c:v>
                </c:pt>
                <c:pt idx="36">
                  <c:v>190408238.46626985</c:v>
                </c:pt>
                <c:pt idx="37">
                  <c:v>194739340.29994369</c:v>
                </c:pt>
                <c:pt idx="38">
                  <c:v>199035804.29660028</c:v>
                </c:pt>
                <c:pt idx="39">
                  <c:v>203298246.64713654</c:v>
                </c:pt>
                <c:pt idx="40">
                  <c:v>207529355.66037938</c:v>
                </c:pt>
                <c:pt idx="41">
                  <c:v>211733260.0233717</c:v>
                </c:pt>
                <c:pt idx="42">
                  <c:v>215915007.56565294</c:v>
                </c:pt>
                <c:pt idx="43">
                  <c:v>220080159.19988137</c:v>
                </c:pt>
                <c:pt idx="44">
                  <c:v>223968234.1301688</c:v>
                </c:pt>
                <c:pt idx="45">
                  <c:v>227396257.44533804</c:v>
                </c:pt>
                <c:pt idx="46">
                  <c:v>230872875.27554253</c:v>
                </c:pt>
                <c:pt idx="47">
                  <c:v>234398739.68907604</c:v>
                </c:pt>
                <c:pt idx="48">
                  <c:v>238029722.66922104</c:v>
                </c:pt>
                <c:pt idx="49">
                  <c:v>241611671.46723285</c:v>
                </c:pt>
                <c:pt idx="50">
                  <c:v>245214073.65627828</c:v>
                </c:pt>
                <c:pt idx="51">
                  <c:v>248874375.37385312</c:v>
                </c:pt>
                <c:pt idx="52">
                  <c:v>252592798.55777335</c:v>
                </c:pt>
              </c:numCache>
            </c:numRef>
          </c:val>
          <c:smooth val="0"/>
        </c:ser>
        <c:ser>
          <c:idx val="2"/>
          <c:order val="2"/>
          <c:tx>
            <c:v>Total CAV VMT</c:v>
          </c:tx>
          <c:marker>
            <c:symbol val="none"/>
          </c:marker>
          <c:cat>
            <c:numRef>
              <c:f>'AT-Miles'!$B$4:$B$56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'AT-Miles'!$J$4:$J$56</c:f>
              <c:numCache>
                <c:formatCode>_(* #,##0_);_(* \(#,##0\);_(* "-"??_);_(@_)</c:formatCode>
                <c:ptCount val="53"/>
                <c:pt idx="0">
                  <c:v>20241.908153480028</c:v>
                </c:pt>
                <c:pt idx="1">
                  <c:v>503989.18840132875</c:v>
                </c:pt>
                <c:pt idx="2">
                  <c:v>2704463.8956321501</c:v>
                </c:pt>
                <c:pt idx="3">
                  <c:v>7176595.0208621696</c:v>
                </c:pt>
                <c:pt idx="4">
                  <c:v>13203055.017782435</c:v>
                </c:pt>
                <c:pt idx="5">
                  <c:v>19600261.18638958</c:v>
                </c:pt>
                <c:pt idx="6">
                  <c:v>25337955.366503991</c:v>
                </c:pt>
                <c:pt idx="7">
                  <c:v>30014300.213540591</c:v>
                </c:pt>
                <c:pt idx="8">
                  <c:v>34390251.964657024</c:v>
                </c:pt>
                <c:pt idx="9">
                  <c:v>38426418.703333259</c:v>
                </c:pt>
                <c:pt idx="10">
                  <c:v>41584364.617517285</c:v>
                </c:pt>
                <c:pt idx="11">
                  <c:v>45014931.303526737</c:v>
                </c:pt>
                <c:pt idx="12">
                  <c:v>48561561.015443347</c:v>
                </c:pt>
                <c:pt idx="13">
                  <c:v>52046752.992955633</c:v>
                </c:pt>
                <c:pt idx="14">
                  <c:v>55596757.232330441</c:v>
                </c:pt>
                <c:pt idx="15">
                  <c:v>60472549.66078946</c:v>
                </c:pt>
                <c:pt idx="16">
                  <c:v>64058358.759716533</c:v>
                </c:pt>
                <c:pt idx="17">
                  <c:v>67264339.464238316</c:v>
                </c:pt>
                <c:pt idx="18">
                  <c:v>72159421.283547893</c:v>
                </c:pt>
                <c:pt idx="19">
                  <c:v>75224487.227801487</c:v>
                </c:pt>
                <c:pt idx="20">
                  <c:v>82437316.270160586</c:v>
                </c:pt>
                <c:pt idx="21">
                  <c:v>85318875.091315299</c:v>
                </c:pt>
                <c:pt idx="22">
                  <c:v>88255487.854482487</c:v>
                </c:pt>
                <c:pt idx="23">
                  <c:v>91288417.912615344</c:v>
                </c:pt>
                <c:pt idx="24">
                  <c:v>94598328.311061025</c:v>
                </c:pt>
                <c:pt idx="25">
                  <c:v>98294204.332722306</c:v>
                </c:pt>
                <c:pt idx="26">
                  <c:v>102471706.82009797</c:v>
                </c:pt>
                <c:pt idx="27">
                  <c:v>107205742.79199106</c:v>
                </c:pt>
                <c:pt idx="28">
                  <c:v>112541113.05962896</c:v>
                </c:pt>
                <c:pt idx="29">
                  <c:v>118484045.24313171</c:v>
                </c:pt>
                <c:pt idx="30">
                  <c:v>124998460.33102216</c:v>
                </c:pt>
                <c:pt idx="31">
                  <c:v>132009593.9723419</c:v>
                </c:pt>
                <c:pt idx="32">
                  <c:v>139414703.74928519</c:v>
                </c:pt>
                <c:pt idx="33">
                  <c:v>146953858.45955855</c:v>
                </c:pt>
                <c:pt idx="34">
                  <c:v>154536301.90214497</c:v>
                </c:pt>
                <c:pt idx="35">
                  <c:v>162149761.39391348</c:v>
                </c:pt>
                <c:pt idx="36">
                  <c:v>169712440.29367137</c:v>
                </c:pt>
                <c:pt idx="37">
                  <c:v>177164514.80860487</c:v>
                </c:pt>
                <c:pt idx="38">
                  <c:v>184466416.48909849</c:v>
                </c:pt>
                <c:pt idx="39">
                  <c:v>191595538.65689296</c:v>
                </c:pt>
                <c:pt idx="40">
                  <c:v>198542482.40651849</c:v>
                </c:pt>
                <c:pt idx="41">
                  <c:v>205307523.02303371</c:v>
                </c:pt>
                <c:pt idx="42">
                  <c:v>211897619.0765202</c:v>
                </c:pt>
                <c:pt idx="43">
                  <c:v>218324051.46280614</c:v>
                </c:pt>
                <c:pt idx="44">
                  <c:v>223317732.43818521</c:v>
                </c:pt>
                <c:pt idx="45">
                  <c:v>226933552.92402354</c:v>
                </c:pt>
                <c:pt idx="46">
                  <c:v>230590274.1878643</c:v>
                </c:pt>
                <c:pt idx="47">
                  <c:v>234288682.45818919</c:v>
                </c:pt>
                <c:pt idx="48">
                  <c:v>238029722.66922104</c:v>
                </c:pt>
                <c:pt idx="49">
                  <c:v>241611671.46723285</c:v>
                </c:pt>
                <c:pt idx="50">
                  <c:v>245214073.65627828</c:v>
                </c:pt>
                <c:pt idx="51">
                  <c:v>248874375.37385312</c:v>
                </c:pt>
                <c:pt idx="52">
                  <c:v>252592798.55777335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68768"/>
        <c:axId val="447223296"/>
      </c:lineChart>
      <c:catAx>
        <c:axId val="417168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223296"/>
        <c:crosses val="autoZero"/>
        <c:auto val="1"/>
        <c:lblAlgn val="ctr"/>
        <c:lblOffset val="100"/>
        <c:tickMarkSkip val="5"/>
        <c:noMultiLvlLbl val="0"/>
      </c:catAx>
      <c:valAx>
        <c:axId val="44722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VMT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17168768"/>
        <c:crosses val="autoZero"/>
        <c:crossBetween val="between"/>
        <c:dispUnits>
          <c:builtInUnit val="millions"/>
          <c:dispUnitsLbl/>
        </c:dispUnits>
      </c:valAx>
    </c:plotArea>
    <c:legend>
      <c:legendPos val="l"/>
      <c:layout>
        <c:manualLayout>
          <c:xMode val="edge"/>
          <c:yMode val="edge"/>
          <c:x val="0.12844034635389787"/>
          <c:y val="0.17302197620313858"/>
          <c:w val="0.26319146248140457"/>
          <c:h val="0.15949642431259084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Facilities with Connectivity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287984496594077"/>
          <c:y val="0.13388367853505964"/>
          <c:w val="0.85273895294838964"/>
          <c:h val="0.71413522154529918"/>
        </c:manualLayout>
      </c:layout>
      <c:lineChart>
        <c:grouping val="standard"/>
        <c:varyColors val="0"/>
        <c:ser>
          <c:idx val="0"/>
          <c:order val="0"/>
          <c:tx>
            <c:strRef>
              <c:f>Connect!$C$4</c:f>
              <c:strCache>
                <c:ptCount val="1"/>
                <c:pt idx="0">
                  <c:v>Freeway</c:v>
                </c:pt>
              </c:strCache>
            </c:strRef>
          </c:tx>
          <c:marker>
            <c:symbol val="none"/>
          </c:marker>
          <c:cat>
            <c:numRef>
              <c:f>Connect!$B$5:$B$57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Connect!$C$5:$C$57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2.4000000000000056E-2</c:v>
                </c:pt>
                <c:pt idx="9">
                  <c:v>6.4000000000000057E-2</c:v>
                </c:pt>
                <c:pt idx="10">
                  <c:v>0.10400000000000006</c:v>
                </c:pt>
                <c:pt idx="11">
                  <c:v>0.14400000000000007</c:v>
                </c:pt>
                <c:pt idx="12">
                  <c:v>0.18400000000000005</c:v>
                </c:pt>
                <c:pt idx="13">
                  <c:v>0.22400000000000006</c:v>
                </c:pt>
                <c:pt idx="14">
                  <c:v>0.26400000000000007</c:v>
                </c:pt>
                <c:pt idx="15">
                  <c:v>0.30400000000000005</c:v>
                </c:pt>
                <c:pt idx="16">
                  <c:v>0.34400000000000008</c:v>
                </c:pt>
                <c:pt idx="17">
                  <c:v>0.38400000000000006</c:v>
                </c:pt>
                <c:pt idx="18">
                  <c:v>0.42400000000000004</c:v>
                </c:pt>
                <c:pt idx="19">
                  <c:v>0.46400000000000008</c:v>
                </c:pt>
                <c:pt idx="20">
                  <c:v>0.50400000000000011</c:v>
                </c:pt>
                <c:pt idx="21">
                  <c:v>0.54400000000000004</c:v>
                </c:pt>
                <c:pt idx="22">
                  <c:v>0.58400000000000007</c:v>
                </c:pt>
                <c:pt idx="23">
                  <c:v>0.62400000000000011</c:v>
                </c:pt>
                <c:pt idx="24">
                  <c:v>0.66400000000000003</c:v>
                </c:pt>
                <c:pt idx="25">
                  <c:v>0.70400000000000007</c:v>
                </c:pt>
                <c:pt idx="26">
                  <c:v>0.74400000000000011</c:v>
                </c:pt>
                <c:pt idx="27">
                  <c:v>0.78400000000000003</c:v>
                </c:pt>
                <c:pt idx="28">
                  <c:v>0.82400000000000007</c:v>
                </c:pt>
                <c:pt idx="29">
                  <c:v>0.8640000000000001</c:v>
                </c:pt>
                <c:pt idx="30">
                  <c:v>0.90400000000000003</c:v>
                </c:pt>
                <c:pt idx="31">
                  <c:v>0.94400000000000006</c:v>
                </c:pt>
                <c:pt idx="32">
                  <c:v>0.9840000000000001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Connect!$D$4</c:f>
              <c:strCache>
                <c:ptCount val="1"/>
                <c:pt idx="0">
                  <c:v>Arterial</c:v>
                </c:pt>
              </c:strCache>
            </c:strRef>
          </c:tx>
          <c:marker>
            <c:symbol val="none"/>
          </c:marker>
          <c:cat>
            <c:numRef>
              <c:f>Connect!$B$5:$B$57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Connect!$D$5:$D$57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2.4000000000000056E-2</c:v>
                </c:pt>
                <c:pt idx="9">
                  <c:v>6.4000000000000057E-2</c:v>
                </c:pt>
                <c:pt idx="10">
                  <c:v>0.10400000000000006</c:v>
                </c:pt>
                <c:pt idx="11">
                  <c:v>0.14400000000000007</c:v>
                </c:pt>
                <c:pt idx="12">
                  <c:v>0.18400000000000005</c:v>
                </c:pt>
                <c:pt idx="13">
                  <c:v>0.22400000000000006</c:v>
                </c:pt>
                <c:pt idx="14">
                  <c:v>0.26400000000000007</c:v>
                </c:pt>
                <c:pt idx="15">
                  <c:v>0.30400000000000005</c:v>
                </c:pt>
                <c:pt idx="16">
                  <c:v>0.34400000000000008</c:v>
                </c:pt>
                <c:pt idx="17">
                  <c:v>0.38400000000000006</c:v>
                </c:pt>
                <c:pt idx="18">
                  <c:v>0.42400000000000004</c:v>
                </c:pt>
                <c:pt idx="19">
                  <c:v>0.46400000000000008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Connect!$E$4</c:f>
              <c:strCache>
                <c:ptCount val="1"/>
                <c:pt idx="0">
                  <c:v>Factor</c:v>
                </c:pt>
              </c:strCache>
            </c:strRef>
          </c:tx>
          <c:marker>
            <c:symbol val="none"/>
          </c:marker>
          <c:val>
            <c:numRef>
              <c:f>Connect!$E$5:$E$57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2.4000000000000056E-2</c:v>
                </c:pt>
                <c:pt idx="9">
                  <c:v>6.4000000000000057E-2</c:v>
                </c:pt>
                <c:pt idx="10">
                  <c:v>0.10400000000000006</c:v>
                </c:pt>
                <c:pt idx="11">
                  <c:v>0.14400000000000007</c:v>
                </c:pt>
                <c:pt idx="12">
                  <c:v>0.18400000000000005</c:v>
                </c:pt>
                <c:pt idx="13">
                  <c:v>0.22400000000000006</c:v>
                </c:pt>
                <c:pt idx="14">
                  <c:v>0.26400000000000007</c:v>
                </c:pt>
                <c:pt idx="15">
                  <c:v>0.30400000000000005</c:v>
                </c:pt>
                <c:pt idx="16">
                  <c:v>0.34400000000000008</c:v>
                </c:pt>
                <c:pt idx="17">
                  <c:v>0.38400000000000006</c:v>
                </c:pt>
                <c:pt idx="18">
                  <c:v>0.42400000000000004</c:v>
                </c:pt>
                <c:pt idx="19">
                  <c:v>0.46400000000000008</c:v>
                </c:pt>
                <c:pt idx="20">
                  <c:v>0.50185714285714289</c:v>
                </c:pt>
                <c:pt idx="21">
                  <c:v>0.52042857142857146</c:v>
                </c:pt>
                <c:pt idx="22">
                  <c:v>0.53900000000000003</c:v>
                </c:pt>
                <c:pt idx="23">
                  <c:v>0.55757142857142861</c:v>
                </c:pt>
                <c:pt idx="24">
                  <c:v>0.57614285714285718</c:v>
                </c:pt>
                <c:pt idx="25">
                  <c:v>0.59471428571428575</c:v>
                </c:pt>
                <c:pt idx="26">
                  <c:v>0.61328571428571432</c:v>
                </c:pt>
                <c:pt idx="27">
                  <c:v>0.63185714285714289</c:v>
                </c:pt>
                <c:pt idx="28">
                  <c:v>0.65042857142857147</c:v>
                </c:pt>
                <c:pt idx="29">
                  <c:v>0.66900000000000004</c:v>
                </c:pt>
                <c:pt idx="30">
                  <c:v>0.68757142857142861</c:v>
                </c:pt>
                <c:pt idx="31">
                  <c:v>0.70614285714285718</c:v>
                </c:pt>
                <c:pt idx="32">
                  <c:v>0.72471428571428576</c:v>
                </c:pt>
                <c:pt idx="33">
                  <c:v>0.73214285714285721</c:v>
                </c:pt>
                <c:pt idx="34">
                  <c:v>0.73214285714285721</c:v>
                </c:pt>
                <c:pt idx="35">
                  <c:v>0.73214285714285721</c:v>
                </c:pt>
                <c:pt idx="36">
                  <c:v>0.73214285714285721</c:v>
                </c:pt>
                <c:pt idx="37">
                  <c:v>0.73214285714285721</c:v>
                </c:pt>
                <c:pt idx="38">
                  <c:v>0.73214285714285721</c:v>
                </c:pt>
                <c:pt idx="39">
                  <c:v>0.73214285714285721</c:v>
                </c:pt>
                <c:pt idx="40">
                  <c:v>0.73214285714285721</c:v>
                </c:pt>
                <c:pt idx="41">
                  <c:v>0.73214285714285721</c:v>
                </c:pt>
                <c:pt idx="42">
                  <c:v>0.73214285714285721</c:v>
                </c:pt>
                <c:pt idx="43">
                  <c:v>0.73214285714285721</c:v>
                </c:pt>
                <c:pt idx="44">
                  <c:v>0.73214285714285721</c:v>
                </c:pt>
                <c:pt idx="45">
                  <c:v>0.73214285714285721</c:v>
                </c:pt>
                <c:pt idx="46">
                  <c:v>0.73214285714285721</c:v>
                </c:pt>
                <c:pt idx="47">
                  <c:v>0.73214285714285721</c:v>
                </c:pt>
                <c:pt idx="48">
                  <c:v>0.73214285714285721</c:v>
                </c:pt>
                <c:pt idx="49">
                  <c:v>0.73214285714285721</c:v>
                </c:pt>
                <c:pt idx="50">
                  <c:v>0.73214285714285721</c:v>
                </c:pt>
                <c:pt idx="51">
                  <c:v>0.73214285714285721</c:v>
                </c:pt>
                <c:pt idx="52">
                  <c:v>0.73214285714285721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768768"/>
        <c:axId val="246770688"/>
      </c:lineChart>
      <c:catAx>
        <c:axId val="246768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770688"/>
        <c:crosses val="autoZero"/>
        <c:auto val="1"/>
        <c:lblAlgn val="ctr"/>
        <c:lblOffset val="100"/>
        <c:tickMarkSkip val="5"/>
        <c:noMultiLvlLbl val="0"/>
      </c:catAx>
      <c:valAx>
        <c:axId val="24677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Coinnectd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46768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701296275859728"/>
          <c:y val="0.20634151344253843"/>
          <c:w val="0.14190359884902526"/>
          <c:h val="0.17620376198237703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Without CAV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'AT-VMT'!$X$3:$AB$3</c:f>
              <c:strCache>
                <c:ptCount val="5"/>
                <c:pt idx="0">
                  <c:v>CBD</c:v>
                </c:pt>
                <c:pt idx="1">
                  <c:v>Urban</c:v>
                </c:pt>
                <c:pt idx="2">
                  <c:v>SBD</c:v>
                </c:pt>
                <c:pt idx="3">
                  <c:v>Suburbs</c:v>
                </c:pt>
                <c:pt idx="4">
                  <c:v>Rural</c:v>
                </c:pt>
              </c:strCache>
            </c:strRef>
          </c:cat>
          <c:val>
            <c:numRef>
              <c:f>'AT-VMT'!$X$4:$AB$4</c:f>
              <c:numCache>
                <c:formatCode>General</c:formatCode>
                <c:ptCount val="5"/>
                <c:pt idx="0">
                  <c:v>15698315.766596086</c:v>
                </c:pt>
                <c:pt idx="1">
                  <c:v>39245789.416490212</c:v>
                </c:pt>
                <c:pt idx="2">
                  <c:v>15698315.766596086</c:v>
                </c:pt>
                <c:pt idx="3">
                  <c:v>62793263.066384345</c:v>
                </c:pt>
                <c:pt idx="4">
                  <c:v>23547473.649894126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With CAV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'AT-VMT'!$X$3:$AB$3</c:f>
              <c:strCache>
                <c:ptCount val="5"/>
                <c:pt idx="0">
                  <c:v>CBD</c:v>
                </c:pt>
                <c:pt idx="1">
                  <c:v>Urban</c:v>
                </c:pt>
                <c:pt idx="2">
                  <c:v>SBD</c:v>
                </c:pt>
                <c:pt idx="3">
                  <c:v>Suburbs</c:v>
                </c:pt>
                <c:pt idx="4">
                  <c:v>Rural</c:v>
                </c:pt>
              </c:strCache>
            </c:strRef>
          </c:cat>
          <c:val>
            <c:numRef>
              <c:f>'AT-VMT'!$AF$4:$AJ$4</c:f>
              <c:numCache>
                <c:formatCode>General</c:formatCode>
                <c:ptCount val="5"/>
                <c:pt idx="0">
                  <c:v>18711417.002253372</c:v>
                </c:pt>
                <c:pt idx="1">
                  <c:v>48756119.957512178</c:v>
                </c:pt>
                <c:pt idx="2">
                  <c:v>20818655.441854276</c:v>
                </c:pt>
                <c:pt idx="3">
                  <c:v>86148535.526911795</c:v>
                </c:pt>
                <c:pt idx="4">
                  <c:v>32381134.861428741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CAV Vehicle</a:t>
            </a:r>
            <a:r>
              <a:rPr lang="en-US" baseline="0"/>
              <a:t> Type Distribution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68681279704902"/>
          <c:y val="0.19480351414406533"/>
          <c:w val="0.75834326452436684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CAV</c:v>
          </c:tx>
          <c:invertIfNegative val="0"/>
          <c:cat>
            <c:strRef>
              <c:f>'AT-VMT'!$AF$3:$AJ$3</c:f>
              <c:strCache>
                <c:ptCount val="5"/>
                <c:pt idx="0">
                  <c:v>Downtown</c:v>
                </c:pt>
                <c:pt idx="1">
                  <c:v>Urban</c:v>
                </c:pt>
                <c:pt idx="2">
                  <c:v>Business</c:v>
                </c:pt>
                <c:pt idx="3">
                  <c:v>Residential</c:v>
                </c:pt>
                <c:pt idx="4">
                  <c:v>Rural</c:v>
                </c:pt>
              </c:strCache>
            </c:strRef>
          </c:cat>
          <c:val>
            <c:numRef>
              <c:f>'AT-VMT'!$X$4:$AB$4</c:f>
              <c:numCache>
                <c:formatCode>General</c:formatCode>
                <c:ptCount val="5"/>
                <c:pt idx="0">
                  <c:v>15698315.766596086</c:v>
                </c:pt>
                <c:pt idx="1">
                  <c:v>39245789.416490212</c:v>
                </c:pt>
                <c:pt idx="2">
                  <c:v>15698315.766596086</c:v>
                </c:pt>
                <c:pt idx="3">
                  <c:v>62793263.066384345</c:v>
                </c:pt>
                <c:pt idx="4">
                  <c:v>23547473.649894126</c:v>
                </c:pt>
              </c:numCache>
            </c:numRef>
          </c:val>
        </c:ser>
        <c:ser>
          <c:idx val="1"/>
          <c:order val="1"/>
          <c:tx>
            <c:v>With CAV</c:v>
          </c:tx>
          <c:invertIfNegative val="0"/>
          <c:cat>
            <c:strRef>
              <c:f>'AT-VMT'!$AF$3:$AJ$3</c:f>
              <c:strCache>
                <c:ptCount val="5"/>
                <c:pt idx="0">
                  <c:v>Downtown</c:v>
                </c:pt>
                <c:pt idx="1">
                  <c:v>Urban</c:v>
                </c:pt>
                <c:pt idx="2">
                  <c:v>Business</c:v>
                </c:pt>
                <c:pt idx="3">
                  <c:v>Residential</c:v>
                </c:pt>
                <c:pt idx="4">
                  <c:v>Rural</c:v>
                </c:pt>
              </c:strCache>
            </c:strRef>
          </c:cat>
          <c:val>
            <c:numRef>
              <c:f>'AT-VMT'!$AF$4:$AJ$4</c:f>
              <c:numCache>
                <c:formatCode>General</c:formatCode>
                <c:ptCount val="5"/>
                <c:pt idx="0">
                  <c:v>18711417.002253372</c:v>
                </c:pt>
                <c:pt idx="1">
                  <c:v>48756119.957512178</c:v>
                </c:pt>
                <c:pt idx="2">
                  <c:v>20818655.441854276</c:v>
                </c:pt>
                <c:pt idx="3">
                  <c:v>86148535.526911795</c:v>
                </c:pt>
                <c:pt idx="4">
                  <c:v>32381134.861428741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860736"/>
        <c:axId val="447862272"/>
      </c:barChart>
      <c:catAx>
        <c:axId val="4478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7862272"/>
        <c:crosses val="autoZero"/>
        <c:auto val="1"/>
        <c:lblAlgn val="ctr"/>
        <c:lblOffset val="100"/>
        <c:noMultiLvlLbl val="0"/>
      </c:catAx>
      <c:valAx>
        <c:axId val="44786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VMT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crossAx val="44786073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layout>
        <c:manualLayout>
          <c:xMode val="edge"/>
          <c:yMode val="edge"/>
          <c:x val="0.80245548698304603"/>
          <c:y val="2.4658222070067348E-2"/>
          <c:w val="0.15700397247641343"/>
          <c:h val="0.1612745898401495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Increase in Truck Freight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21360020837091"/>
          <c:y val="0.16168130280544904"/>
          <c:w val="0.8400304542084911"/>
          <c:h val="0.70069360926425983"/>
        </c:manualLayout>
      </c:layout>
      <c:lineChart>
        <c:grouping val="standard"/>
        <c:varyColors val="0"/>
        <c:ser>
          <c:idx val="0"/>
          <c:order val="0"/>
          <c:tx>
            <c:strRef>
              <c:f>Freight!$H$3</c:f>
              <c:strCache>
                <c:ptCount val="1"/>
                <c:pt idx="0">
                  <c:v>Freight</c:v>
                </c:pt>
              </c:strCache>
            </c:strRef>
          </c:tx>
          <c:marker>
            <c:symbol val="none"/>
          </c:marker>
          <c:cat>
            <c:numRef>
              <c:f>Freight!$B$4:$B$56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Freight!$H$4:$H$56</c:f>
              <c:numCache>
                <c:formatCode>_(* #,##0_);_(* \(#,##0\);_(* "-"??_);_(@_)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3010.1449397743854</c:v>
                </c:pt>
                <c:pt idx="7">
                  <c:v>10040.708646733636</c:v>
                </c:pt>
                <c:pt idx="8">
                  <c:v>18408.983085536252</c:v>
                </c:pt>
                <c:pt idx="9">
                  <c:v>28703.540990242207</c:v>
                </c:pt>
                <c:pt idx="10">
                  <c:v>39224.156788201901</c:v>
                </c:pt>
                <c:pt idx="11">
                  <c:v>53249.333005478766</c:v>
                </c:pt>
                <c:pt idx="12">
                  <c:v>69944.818466705998</c:v>
                </c:pt>
                <c:pt idx="13">
                  <c:v>87794.67870555527</c:v>
                </c:pt>
                <c:pt idx="14">
                  <c:v>106895.91286796724</c:v>
                </c:pt>
                <c:pt idx="15">
                  <c:v>130247.88595024371</c:v>
                </c:pt>
                <c:pt idx="16">
                  <c:v>154979.63424489935</c:v>
                </c:pt>
                <c:pt idx="17">
                  <c:v>178969.18553889953</c:v>
                </c:pt>
                <c:pt idx="18">
                  <c:v>212810.9212271572</c:v>
                </c:pt>
                <c:pt idx="19">
                  <c:v>247803.36254277101</c:v>
                </c:pt>
                <c:pt idx="20">
                  <c:v>296896.71783190046</c:v>
                </c:pt>
                <c:pt idx="21">
                  <c:v>341437.80243824318</c:v>
                </c:pt>
                <c:pt idx="22">
                  <c:v>390719.40627698158</c:v>
                </c:pt>
                <c:pt idx="23">
                  <c:v>444706.28425486118</c:v>
                </c:pt>
                <c:pt idx="24">
                  <c:v>503717.88136530673</c:v>
                </c:pt>
                <c:pt idx="25">
                  <c:v>567795.89289831324</c:v>
                </c:pt>
                <c:pt idx="26">
                  <c:v>655774.94675675768</c:v>
                </c:pt>
                <c:pt idx="27">
                  <c:v>710710.74821029662</c:v>
                </c:pt>
                <c:pt idx="28">
                  <c:v>788996.83543104597</c:v>
                </c:pt>
                <c:pt idx="29">
                  <c:v>871254.26309837075</c:v>
                </c:pt>
                <c:pt idx="30">
                  <c:v>956911.66377243586</c:v>
                </c:pt>
                <c:pt idx="31">
                  <c:v>1045323.3114968849</c:v>
                </c:pt>
                <c:pt idx="32">
                  <c:v>1135805.1037915759</c:v>
                </c:pt>
                <c:pt idx="33">
                  <c:v>1226121.3148787476</c:v>
                </c:pt>
                <c:pt idx="34">
                  <c:v>1315810.5544488907</c:v>
                </c:pt>
                <c:pt idx="35">
                  <c:v>1405233.4331846412</c:v>
                </c:pt>
                <c:pt idx="36">
                  <c:v>1493884.5317358475</c:v>
                </c:pt>
                <c:pt idx="37">
                  <c:v>1581355.1716921893</c:v>
                </c:pt>
                <c:pt idx="38">
                  <c:v>1667334.9435769804</c:v>
                </c:pt>
                <c:pt idx="39">
                  <c:v>1751606.7180829707</c:v>
                </c:pt>
                <c:pt idx="40">
                  <c:v>1834037.1882670263</c:v>
                </c:pt>
                <c:pt idx="41">
                  <c:v>1914564.9013242866</c:v>
                </c:pt>
                <c:pt idx="42">
                  <c:v>1993187.4070020332</c:v>
                </c:pt>
                <c:pt idx="43">
                  <c:v>2069948.719375029</c:v>
                </c:pt>
                <c:pt idx="44">
                  <c:v>2144927.8645653981</c:v>
                </c:pt>
                <c:pt idx="45">
                  <c:v>2218228.9291069983</c:v>
                </c:pt>
                <c:pt idx="46">
                  <c:v>2289972.7549443292</c:v>
                </c:pt>
                <c:pt idx="47">
                  <c:v>2360290.2459689314</c:v>
                </c:pt>
                <c:pt idx="48">
                  <c:v>2434949.564606267</c:v>
                </c:pt>
                <c:pt idx="49">
                  <c:v>2477455.6634256477</c:v>
                </c:pt>
                <c:pt idx="50">
                  <c:v>2513146.4368715221</c:v>
                </c:pt>
                <c:pt idx="51">
                  <c:v>2549633.5821977835</c:v>
                </c:pt>
                <c:pt idx="52">
                  <c:v>2586885.3547232579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003072"/>
        <c:axId val="410407680"/>
      </c:lineChart>
      <c:catAx>
        <c:axId val="4480030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0407680"/>
        <c:crosses val="autoZero"/>
        <c:auto val="1"/>
        <c:lblAlgn val="ctr"/>
        <c:lblOffset val="100"/>
        <c:tickMarkSkip val="5"/>
        <c:noMultiLvlLbl val="0"/>
      </c:catAx>
      <c:valAx>
        <c:axId val="41040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Increase in Freight Miles</a:t>
                </a:r>
              </a:p>
            </c:rich>
          </c:tx>
          <c:layout>
            <c:manualLayout>
              <c:xMode val="edge"/>
              <c:yMode val="edge"/>
              <c:x val="2.0356234096692113E-2"/>
              <c:y val="0.3789926403291807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448003072"/>
        <c:crosses val="autoZero"/>
        <c:crossBetween val="between"/>
        <c:dispUnits>
          <c:builtInUnit val="millions"/>
          <c:dispUnitsLbl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  <a:r>
              <a:rPr lang="en-US" baseline="0"/>
              <a:t> of CAVs on Household Vehicle Fleet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7698139019618574E-2"/>
          <c:y val="0.12912176132438574"/>
          <c:w val="0.87987576875985962"/>
          <c:h val="0.72626263919820477"/>
        </c:manualLayout>
      </c:layout>
      <c:lineChart>
        <c:grouping val="standard"/>
        <c:varyColors val="0"/>
        <c:ser>
          <c:idx val="0"/>
          <c:order val="0"/>
          <c:tx>
            <c:v>Total Vehicles without CAVs</c:v>
          </c:tx>
          <c:marker>
            <c:symbol val="none"/>
          </c:marker>
          <c:cat>
            <c:numRef>
              <c:f>'AT-Miles'!$B$4:$B$56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Fleet!$C$4:$C$56</c:f>
              <c:numCache>
                <c:formatCode>_(* #,##0_);_(* \(#,##0\);_(* "-"??_);_(@_)</c:formatCode>
                <c:ptCount val="53"/>
                <c:pt idx="0">
                  <c:v>3600000</c:v>
                </c:pt>
                <c:pt idx="1">
                  <c:v>3653999.9999999995</c:v>
                </c:pt>
                <c:pt idx="2">
                  <c:v>3708809.9999999991</c:v>
                </c:pt>
                <c:pt idx="3">
                  <c:v>3764442.1499999985</c:v>
                </c:pt>
                <c:pt idx="4">
                  <c:v>3820908.7822499983</c:v>
                </c:pt>
                <c:pt idx="5">
                  <c:v>3878222.4139837478</c:v>
                </c:pt>
                <c:pt idx="6">
                  <c:v>3936395.7501935037</c:v>
                </c:pt>
                <c:pt idx="7">
                  <c:v>3995441.6864464059</c:v>
                </c:pt>
                <c:pt idx="8">
                  <c:v>4055373.3117431016</c:v>
                </c:pt>
                <c:pt idx="9">
                  <c:v>4116203.9114192477</c:v>
                </c:pt>
                <c:pt idx="10">
                  <c:v>4177946.9700905359</c:v>
                </c:pt>
                <c:pt idx="11">
                  <c:v>4240616.1746418932</c:v>
                </c:pt>
                <c:pt idx="12">
                  <c:v>4304225.4172615213</c:v>
                </c:pt>
                <c:pt idx="13">
                  <c:v>4368788.798520444</c:v>
                </c:pt>
                <c:pt idx="14">
                  <c:v>4434320.63049825</c:v>
                </c:pt>
                <c:pt idx="15">
                  <c:v>4500835.4399557235</c:v>
                </c:pt>
                <c:pt idx="16">
                  <c:v>4568347.9715550588</c:v>
                </c:pt>
                <c:pt idx="17">
                  <c:v>4636873.1911283843</c:v>
                </c:pt>
                <c:pt idx="18">
                  <c:v>4706426.2889953097</c:v>
                </c:pt>
                <c:pt idx="19">
                  <c:v>4777022.6833302388</c:v>
                </c:pt>
                <c:pt idx="20">
                  <c:v>4848678.0235801917</c:v>
                </c:pt>
                <c:pt idx="21">
                  <c:v>4921408.1939338939</c:v>
                </c:pt>
                <c:pt idx="22">
                  <c:v>4995229.3168429015</c:v>
                </c:pt>
                <c:pt idx="23">
                  <c:v>5070157.7565955445</c:v>
                </c:pt>
                <c:pt idx="24">
                  <c:v>5146210.122944477</c:v>
                </c:pt>
                <c:pt idx="25">
                  <c:v>5223403.2747886432</c:v>
                </c:pt>
                <c:pt idx="26">
                  <c:v>5301754.323910472</c:v>
                </c:pt>
                <c:pt idx="27">
                  <c:v>5381280.6387691284</c:v>
                </c:pt>
                <c:pt idx="28">
                  <c:v>5461999.8483506646</c:v>
                </c:pt>
                <c:pt idx="29">
                  <c:v>5543929.8460759241</c:v>
                </c:pt>
                <c:pt idx="30">
                  <c:v>5627088.793767062</c:v>
                </c:pt>
                <c:pt idx="31">
                  <c:v>5711495.1256735669</c:v>
                </c:pt>
                <c:pt idx="32">
                  <c:v>5797167.5525586698</c:v>
                </c:pt>
                <c:pt idx="33">
                  <c:v>5884125.0658470495</c:v>
                </c:pt>
                <c:pt idx="34">
                  <c:v>5972386.9418347543</c:v>
                </c:pt>
                <c:pt idx="35">
                  <c:v>6061972.7459622752</c:v>
                </c:pt>
                <c:pt idx="36">
                  <c:v>6152902.337151709</c:v>
                </c:pt>
                <c:pt idx="37">
                  <c:v>6245195.8722089836</c:v>
                </c:pt>
                <c:pt idx="38">
                  <c:v>6338873.8102921182</c:v>
                </c:pt>
                <c:pt idx="39">
                  <c:v>6433956.9174464997</c:v>
                </c:pt>
                <c:pt idx="40">
                  <c:v>6530466.2712081969</c:v>
                </c:pt>
                <c:pt idx="41">
                  <c:v>6628423.2652763193</c:v>
                </c:pt>
                <c:pt idx="42">
                  <c:v>6727849.6142554637</c:v>
                </c:pt>
                <c:pt idx="43">
                  <c:v>6828767.3584692953</c:v>
                </c:pt>
                <c:pt idx="44">
                  <c:v>6931198.8688463345</c:v>
                </c:pt>
                <c:pt idx="45">
                  <c:v>7035166.8518790286</c:v>
                </c:pt>
                <c:pt idx="46">
                  <c:v>7140694.3546572132</c:v>
                </c:pt>
                <c:pt idx="47">
                  <c:v>7247804.7699770704</c:v>
                </c:pt>
                <c:pt idx="48">
                  <c:v>7356521.8415267253</c:v>
                </c:pt>
                <c:pt idx="49">
                  <c:v>7466869.6691496251</c:v>
                </c:pt>
                <c:pt idx="50">
                  <c:v>7578872.7141868686</c:v>
                </c:pt>
                <c:pt idx="51">
                  <c:v>7692555.8048996711</c:v>
                </c:pt>
                <c:pt idx="52">
                  <c:v>7807944.1419731658</c:v>
                </c:pt>
              </c:numCache>
            </c:numRef>
          </c:val>
          <c:smooth val="0"/>
        </c:ser>
        <c:ser>
          <c:idx val="1"/>
          <c:order val="1"/>
          <c:tx>
            <c:v>Total Vehicles with CAVs</c:v>
          </c:tx>
          <c:marker>
            <c:symbol val="none"/>
          </c:marker>
          <c:cat>
            <c:numRef>
              <c:f>'AT-Miles'!$B$4:$B$56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Fleet!$T$4:$T$56</c:f>
              <c:numCache>
                <c:formatCode>_(* #,##0_);_(* \(#,##0\);_(* "-"??_);_(@_)</c:formatCode>
                <c:ptCount val="53"/>
                <c:pt idx="0">
                  <c:v>3599990.5973481387</c:v>
                </c:pt>
                <c:pt idx="1">
                  <c:v>3653840.8346214881</c:v>
                </c:pt>
                <c:pt idx="2">
                  <c:v>3707930.4979547299</c:v>
                </c:pt>
                <c:pt idx="3">
                  <c:v>3762004.6034637596</c:v>
                </c:pt>
                <c:pt idx="4">
                  <c:v>3816151.7808563611</c:v>
                </c:pt>
                <c:pt idx="5">
                  <c:v>3870250.3380243937</c:v>
                </c:pt>
                <c:pt idx="6">
                  <c:v>3925008.5787328123</c:v>
                </c:pt>
                <c:pt idx="7">
                  <c:v>3980312.7823125944</c:v>
                </c:pt>
                <c:pt idx="8">
                  <c:v>4034278.5269592986</c:v>
                </c:pt>
                <c:pt idx="9">
                  <c:v>4087525.8400190491</c:v>
                </c:pt>
                <c:pt idx="10">
                  <c:v>4141385.8932193527</c:v>
                </c:pt>
                <c:pt idx="11">
                  <c:v>4195319.8590079788</c:v>
                </c:pt>
                <c:pt idx="12">
                  <c:v>4248097.0298435455</c:v>
                </c:pt>
                <c:pt idx="13">
                  <c:v>4302072.7768385699</c:v>
                </c:pt>
                <c:pt idx="14">
                  <c:v>4355428.9244698817</c:v>
                </c:pt>
                <c:pt idx="15">
                  <c:v>4406465.4815154523</c:v>
                </c:pt>
                <c:pt idx="16">
                  <c:v>4458926.0810126569</c:v>
                </c:pt>
                <c:pt idx="17">
                  <c:v>4510517.7031721333</c:v>
                </c:pt>
                <c:pt idx="18">
                  <c:v>4558020.8659412265</c:v>
                </c:pt>
                <c:pt idx="19">
                  <c:v>4608378.1751046339</c:v>
                </c:pt>
                <c:pt idx="20">
                  <c:v>4645328.9111969909</c:v>
                </c:pt>
                <c:pt idx="21">
                  <c:v>4699040.7985254275</c:v>
                </c:pt>
                <c:pt idx="22">
                  <c:v>4752334.6336203851</c:v>
                </c:pt>
                <c:pt idx="23">
                  <c:v>4806619.553813762</c:v>
                </c:pt>
                <c:pt idx="24">
                  <c:v>4860744.6730497451</c:v>
                </c:pt>
                <c:pt idx="25">
                  <c:v>4914748.2438094942</c:v>
                </c:pt>
                <c:pt idx="26">
                  <c:v>4968725.3059492297</c:v>
                </c:pt>
                <c:pt idx="27">
                  <c:v>5022825.0212307256</c:v>
                </c:pt>
                <c:pt idx="28">
                  <c:v>5077245.3203171827</c:v>
                </c:pt>
                <c:pt idx="29">
                  <c:v>5132223.6664052885</c:v>
                </c:pt>
                <c:pt idx="30">
                  <c:v>5188022.8666175725</c:v>
                </c:pt>
                <c:pt idx="31">
                  <c:v>5244912.4908009358</c:v>
                </c:pt>
                <c:pt idx="32">
                  <c:v>5303148.6544218063</c:v>
                </c:pt>
                <c:pt idx="33">
                  <c:v>5363907.3631383553</c:v>
                </c:pt>
                <c:pt idx="34">
                  <c:v>5427169.1538307304</c:v>
                </c:pt>
                <c:pt idx="35">
                  <c:v>5492456.3374724835</c:v>
                </c:pt>
                <c:pt idx="36">
                  <c:v>5559847.7346595656</c:v>
                </c:pt>
                <c:pt idx="37">
                  <c:v>5629381.3747763606</c:v>
                </c:pt>
                <c:pt idx="38">
                  <c:v>5701063.4907391015</c:v>
                </c:pt>
                <c:pt idx="39">
                  <c:v>5774877.548618651</c:v>
                </c:pt>
                <c:pt idx="40">
                  <c:v>5850792.2082670266</c:v>
                </c:pt>
                <c:pt idx="41">
                  <c:v>5928767.7448842498</c:v>
                </c:pt>
                <c:pt idx="42">
                  <c:v>6008760.8848246438</c:v>
                </c:pt>
                <c:pt idx="43">
                  <c:v>6090728.2350525949</c:v>
                </c:pt>
                <c:pt idx="44">
                  <c:v>6178072.2769689159</c:v>
                </c:pt>
                <c:pt idx="45">
                  <c:v>6269942.4197069639</c:v>
                </c:pt>
                <c:pt idx="46">
                  <c:v>6363248.916246783</c:v>
                </c:pt>
                <c:pt idx="47">
                  <c:v>6458008.9368088469</c:v>
                </c:pt>
                <c:pt idx="48">
                  <c:v>6554425.9745195126</c:v>
                </c:pt>
                <c:pt idx="49">
                  <c:v>6652679.9638356064</c:v>
                </c:pt>
                <c:pt idx="50">
                  <c:v>6752418.8060798645</c:v>
                </c:pt>
                <c:pt idx="51">
                  <c:v>6853662.8372626444</c:v>
                </c:pt>
                <c:pt idx="52">
                  <c:v>6956433.1136438865</c:v>
                </c:pt>
              </c:numCache>
            </c:numRef>
          </c:val>
          <c:smooth val="0"/>
        </c:ser>
        <c:ser>
          <c:idx val="2"/>
          <c:order val="2"/>
          <c:tx>
            <c:v>Total CAV Vehicles</c:v>
          </c:tx>
          <c:marker>
            <c:symbol val="none"/>
          </c:marker>
          <c:val>
            <c:numRef>
              <c:f>Fleet!$U$4:$U$56</c:f>
              <c:numCache>
                <c:formatCode>_(* #,##0_);_(* \(#,##0\);_(* "-"??_);_(@_)</c:formatCode>
                <c:ptCount val="53"/>
                <c:pt idx="0">
                  <c:v>132.43137045980455</c:v>
                </c:pt>
                <c:pt idx="1">
                  <c:v>2241.6682449657997</c:v>
                </c:pt>
                <c:pt idx="2">
                  <c:v>12384.415230670071</c:v>
                </c:pt>
                <c:pt idx="3">
                  <c:v>34309.410977078369</c:v>
                </c:pt>
                <c:pt idx="4">
                  <c:v>66916.605131011034</c:v>
                </c:pt>
                <c:pt idx="5">
                  <c:v>107535.46208499775</c:v>
                </c:pt>
                <c:pt idx="6">
                  <c:v>153472.88191618692</c:v>
                </c:pt>
                <c:pt idx="7">
                  <c:v>203720.0659160901</c:v>
                </c:pt>
                <c:pt idx="8">
                  <c:v>282578.11506685958</c:v>
                </c:pt>
                <c:pt idx="9">
                  <c:v>377298.77644022461</c:v>
                </c:pt>
                <c:pt idx="10">
                  <c:v>475571.49610838015</c:v>
                </c:pt>
                <c:pt idx="11">
                  <c:v>581827.43886765558</c:v>
                </c:pt>
                <c:pt idx="12">
                  <c:v>693693.31943363952</c:v>
                </c:pt>
                <c:pt idx="13">
                  <c:v>806916.42731579137</c:v>
                </c:pt>
                <c:pt idx="14">
                  <c:v>921887.94105781778</c:v>
                </c:pt>
                <c:pt idx="15">
                  <c:v>1055051.3097426023</c:v>
                </c:pt>
                <c:pt idx="16">
                  <c:v>1175454.9242973456</c:v>
                </c:pt>
                <c:pt idx="17">
                  <c:v>1292650.7308905616</c:v>
                </c:pt>
                <c:pt idx="18">
                  <c:v>1468392.106013824</c:v>
                </c:pt>
                <c:pt idx="19">
                  <c:v>1604620.1731932452</c:v>
                </c:pt>
                <c:pt idx="20">
                  <c:v>1841373.192291978</c:v>
                </c:pt>
                <c:pt idx="21">
                  <c:v>1995195.2729139666</c:v>
                </c:pt>
                <c:pt idx="22">
                  <c:v>2157408.8834205344</c:v>
                </c:pt>
                <c:pt idx="23">
                  <c:v>2328413.4702548385</c:v>
                </c:pt>
                <c:pt idx="24">
                  <c:v>2508440.5555907735</c:v>
                </c:pt>
                <c:pt idx="25">
                  <c:v>2697081.7183284094</c:v>
                </c:pt>
                <c:pt idx="26">
                  <c:v>2893476.0001984262</c:v>
                </c:pt>
                <c:pt idx="27">
                  <c:v>3096356.3825133056</c:v>
                </c:pt>
                <c:pt idx="28">
                  <c:v>3304116.8287232923</c:v>
                </c:pt>
                <c:pt idx="29">
                  <c:v>3514906.645611003</c:v>
                </c:pt>
                <c:pt idx="30">
                  <c:v>3726757.1563691935</c:v>
                </c:pt>
                <c:pt idx="31">
                  <c:v>3937732.8481233292</c:v>
                </c:pt>
                <c:pt idx="32">
                  <c:v>4146083.6038171579</c:v>
                </c:pt>
                <c:pt idx="33">
                  <c:v>4347707.6247035349</c:v>
                </c:pt>
                <c:pt idx="34">
                  <c:v>4542252.4441264048</c:v>
                </c:pt>
                <c:pt idx="35">
                  <c:v>4730801.2732551331</c:v>
                </c:pt>
                <c:pt idx="36">
                  <c:v>4913074.9224347528</c:v>
                </c:pt>
                <c:pt idx="37">
                  <c:v>5089092.525104207</c:v>
                </c:pt>
                <c:pt idx="38">
                  <c:v>5259096.5416072374</c:v>
                </c:pt>
                <c:pt idx="39">
                  <c:v>5423481.6943230852</c:v>
                </c:pt>
                <c:pt idx="40">
                  <c:v>5582734.9687386584</c:v>
                </c:pt>
                <c:pt idx="41">
                  <c:v>5737389.0451195128</c:v>
                </c:pt>
                <c:pt idx="42">
                  <c:v>5887988.5765015027</c:v>
                </c:pt>
                <c:pt idx="43">
                  <c:v>6035067.3211480714</c:v>
                </c:pt>
                <c:pt idx="44">
                  <c:v>6154438.5173460003</c:v>
                </c:pt>
                <c:pt idx="45">
                  <c:v>6252501.5557923112</c:v>
                </c:pt>
                <c:pt idx="46">
                  <c:v>6351615.763563008</c:v>
                </c:pt>
                <c:pt idx="47">
                  <c:v>6451828.6321084797</c:v>
                </c:pt>
                <c:pt idx="48">
                  <c:v>6551854.4792637341</c:v>
                </c:pt>
                <c:pt idx="49">
                  <c:v>6650579.6276117172</c:v>
                </c:pt>
                <c:pt idx="50">
                  <c:v>6750706.4810969979</c:v>
                </c:pt>
                <c:pt idx="51">
                  <c:v>6852269.9532191139</c:v>
                </c:pt>
                <c:pt idx="52">
                  <c:v>6955302.5032554725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16064"/>
        <c:axId val="451019904"/>
      </c:lineChart>
      <c:catAx>
        <c:axId val="448216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019904"/>
        <c:crosses val="autoZero"/>
        <c:auto val="1"/>
        <c:lblAlgn val="ctr"/>
        <c:lblOffset val="100"/>
        <c:tickMarkSkip val="5"/>
        <c:noMultiLvlLbl val="0"/>
      </c:catAx>
      <c:valAx>
        <c:axId val="45101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Household Vehicles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448216064"/>
        <c:crosses val="autoZero"/>
        <c:crossBetween val="between"/>
        <c:dispUnits>
          <c:builtInUnit val="millions"/>
          <c:dispUnitsLbl/>
        </c:dispUnits>
      </c:valAx>
    </c:plotArea>
    <c:legend>
      <c:legendPos val="l"/>
      <c:layout>
        <c:manualLayout>
          <c:xMode val="edge"/>
          <c:yMode val="edge"/>
          <c:x val="0.12844034635389787"/>
          <c:y val="0.17302197620313858"/>
          <c:w val="0.29277383791666256"/>
          <c:h val="0.15707194095020272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Type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'HH-Veh'!$X$3:$AB$3</c:f>
              <c:strCache>
                <c:ptCount val="5"/>
                <c:pt idx="0">
                  <c:v>CBD</c:v>
                </c:pt>
                <c:pt idx="1">
                  <c:v>Urban</c:v>
                </c:pt>
                <c:pt idx="2">
                  <c:v>SBD</c:v>
                </c:pt>
                <c:pt idx="3">
                  <c:v>Suburbs</c:v>
                </c:pt>
                <c:pt idx="4">
                  <c:v>Rural</c:v>
                </c:pt>
              </c:strCache>
            </c:strRef>
          </c:cat>
          <c:val>
            <c:numRef>
              <c:f>'HH-Veh'!$AI$4:$AM$4</c:f>
              <c:numCache>
                <c:formatCode>_(* #,##0_);_(* \(#,##0\);_(* "-"??_);_(@_)</c:formatCode>
                <c:ptCount val="5"/>
                <c:pt idx="0">
                  <c:v>462856.20851741551</c:v>
                </c:pt>
                <c:pt idx="1">
                  <c:v>1166307.2020852575</c:v>
                </c:pt>
                <c:pt idx="2">
                  <c:v>474169.23407987808</c:v>
                </c:pt>
                <c:pt idx="3">
                  <c:v>1926546.901045698</c:v>
                </c:pt>
                <c:pt idx="4">
                  <c:v>722455.08789213665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Turnover Rate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'HH-Veh'!$X$3:$AB$3</c:f>
              <c:strCache>
                <c:ptCount val="5"/>
                <c:pt idx="0">
                  <c:v>CBD</c:v>
                </c:pt>
                <c:pt idx="1">
                  <c:v>Urban</c:v>
                </c:pt>
                <c:pt idx="2">
                  <c:v>SBD</c:v>
                </c:pt>
                <c:pt idx="3">
                  <c:v>Suburbs</c:v>
                </c:pt>
                <c:pt idx="4">
                  <c:v>Rural</c:v>
                </c:pt>
              </c:strCache>
            </c:strRef>
          </c:cat>
          <c:val>
            <c:numRef>
              <c:f>'HH-Veh'!$AD$4:$AH$4</c:f>
              <c:numCache>
                <c:formatCode>0.0%</c:formatCode>
                <c:ptCount val="5"/>
                <c:pt idx="0">
                  <c:v>0.16169300058479466</c:v>
                </c:pt>
                <c:pt idx="1">
                  <c:v>0.14552370052631519</c:v>
                </c:pt>
                <c:pt idx="2">
                  <c:v>0.11180479430680312</c:v>
                </c:pt>
                <c:pt idx="3">
                  <c:v>7.8874634431607152E-2</c:v>
                </c:pt>
                <c:pt idx="4">
                  <c:v>7.8874634431607152E-2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1623168"/>
        <c:axId val="451621632"/>
      </c:barChart>
      <c:valAx>
        <c:axId val="451621632"/>
        <c:scaling>
          <c:orientation val="minMax"/>
        </c:scaling>
        <c:delete val="0"/>
        <c:axPos val="b"/>
        <c:majorGridlines/>
        <c:numFmt formatCode="0.0%" sourceLinked="1"/>
        <c:majorTickMark val="out"/>
        <c:minorTickMark val="none"/>
        <c:tickLblPos val="nextTo"/>
        <c:crossAx val="451623168"/>
        <c:crosses val="autoZero"/>
        <c:crossBetween val="between"/>
      </c:valAx>
      <c:catAx>
        <c:axId val="451623168"/>
        <c:scaling>
          <c:orientation val="minMax"/>
        </c:scaling>
        <c:delete val="0"/>
        <c:axPos val="l"/>
        <c:majorTickMark val="out"/>
        <c:minorTickMark val="none"/>
        <c:tickLblPos val="nextTo"/>
        <c:crossAx val="45162163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CAV Vehicle</a:t>
            </a:r>
            <a:r>
              <a:rPr lang="en-US" baseline="0"/>
              <a:t> Type Distribution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68681279704902"/>
          <c:y val="0.19480351414406533"/>
          <c:w val="0.75834326452436684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CAV</c:v>
          </c:tx>
          <c:invertIfNegative val="0"/>
          <c:cat>
            <c:strRef>
              <c:f>'HH-Veh'!$AD$3:$AH$3</c:f>
              <c:strCache>
                <c:ptCount val="5"/>
                <c:pt idx="0">
                  <c:v>Downtown</c:v>
                </c:pt>
                <c:pt idx="1">
                  <c:v>Urban</c:v>
                </c:pt>
                <c:pt idx="2">
                  <c:v>Business</c:v>
                </c:pt>
                <c:pt idx="3">
                  <c:v>Residential</c:v>
                </c:pt>
                <c:pt idx="4">
                  <c:v>Rural</c:v>
                </c:pt>
              </c:strCache>
            </c:strRef>
          </c:cat>
          <c:val>
            <c:numRef>
              <c:f>'HH-Veh'!$X$4:$AB$4</c:f>
              <c:numCache>
                <c:formatCode>_(* #,##0_);_(* \(#,##0\);_(* "-"??_);_(@_)</c:formatCode>
                <c:ptCount val="5"/>
                <c:pt idx="0">
                  <c:v>499522.93168429018</c:v>
                </c:pt>
                <c:pt idx="1">
                  <c:v>1248807.3292107254</c:v>
                </c:pt>
                <c:pt idx="2">
                  <c:v>499522.93168429018</c:v>
                </c:pt>
                <c:pt idx="3">
                  <c:v>1998091.7267371607</c:v>
                </c:pt>
                <c:pt idx="4">
                  <c:v>749284.3975264352</c:v>
                </c:pt>
              </c:numCache>
            </c:numRef>
          </c:val>
        </c:ser>
        <c:ser>
          <c:idx val="1"/>
          <c:order val="1"/>
          <c:tx>
            <c:strRef>
              <c:f>'HH-Veh'!$AI$2:$AN$2</c:f>
              <c:strCache>
                <c:ptCount val="1"/>
                <c:pt idx="0">
                  <c:v>With CAV</c:v>
                </c:pt>
              </c:strCache>
            </c:strRef>
          </c:tx>
          <c:invertIfNegative val="0"/>
          <c:cat>
            <c:strRef>
              <c:f>'HH-Veh'!$AD$3:$AH$3</c:f>
              <c:strCache>
                <c:ptCount val="5"/>
                <c:pt idx="0">
                  <c:v>Downtown</c:v>
                </c:pt>
                <c:pt idx="1">
                  <c:v>Urban</c:v>
                </c:pt>
                <c:pt idx="2">
                  <c:v>Business</c:v>
                </c:pt>
                <c:pt idx="3">
                  <c:v>Residential</c:v>
                </c:pt>
                <c:pt idx="4">
                  <c:v>Rural</c:v>
                </c:pt>
              </c:strCache>
            </c:strRef>
          </c:cat>
          <c:val>
            <c:numRef>
              <c:f>'HH-Veh'!$AI$4:$AM$4</c:f>
              <c:numCache>
                <c:formatCode>_(* #,##0_);_(* \(#,##0\);_(* "-"??_);_(@_)</c:formatCode>
                <c:ptCount val="5"/>
                <c:pt idx="0">
                  <c:v>462856.20851741551</c:v>
                </c:pt>
                <c:pt idx="1">
                  <c:v>1166307.2020852575</c:v>
                </c:pt>
                <c:pt idx="2">
                  <c:v>474169.23407987808</c:v>
                </c:pt>
                <c:pt idx="3">
                  <c:v>1926546.901045698</c:v>
                </c:pt>
                <c:pt idx="4">
                  <c:v>722455.08789213665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648128"/>
        <c:axId val="451658112"/>
      </c:barChart>
      <c:catAx>
        <c:axId val="4516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51658112"/>
        <c:crosses val="autoZero"/>
        <c:auto val="1"/>
        <c:lblAlgn val="ctr"/>
        <c:lblOffset val="100"/>
        <c:noMultiLvlLbl val="0"/>
      </c:catAx>
      <c:valAx>
        <c:axId val="45165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Household Vehicles</a:t>
                </a:r>
              </a:p>
            </c:rich>
          </c:tx>
          <c:layout>
            <c:manualLayout>
              <c:xMode val="edge"/>
              <c:yMode val="edge"/>
              <c:x val="2.7646485067744909E-2"/>
              <c:y val="0.38928923182261083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crossAx val="45164812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layout>
        <c:manualLayout>
          <c:xMode val="edge"/>
          <c:yMode val="edge"/>
          <c:x val="0.80245548698304603"/>
          <c:y val="2.4658222070067348E-2"/>
          <c:w val="0.15700397247641343"/>
          <c:h val="0.1612745898401495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Induced Spending Due</a:t>
            </a:r>
            <a:r>
              <a:rPr lang="en-US" baseline="0"/>
              <a:t> To Autonomous Vehicles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10901762279715"/>
          <c:y val="0.12502136613088652"/>
          <c:w val="0.86906558555180602"/>
          <c:h val="0.75920175267347778"/>
        </c:manualLayout>
      </c:layout>
      <c:lineChart>
        <c:grouping val="standard"/>
        <c:varyColors val="0"/>
        <c:ser>
          <c:idx val="0"/>
          <c:order val="0"/>
          <c:tx>
            <c:strRef>
              <c:f>Spending!$I$5</c:f>
              <c:strCache>
                <c:ptCount val="1"/>
                <c:pt idx="0">
                  <c:v>Spending</c:v>
                </c:pt>
              </c:strCache>
            </c:strRef>
          </c:tx>
          <c:marker>
            <c:symbol val="none"/>
          </c:marker>
          <c:cat>
            <c:numRef>
              <c:f>Spending!$B$6:$B$58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Spending!$I$6:$I$58</c:f>
              <c:numCache>
                <c:formatCode>_("$"* #,##0_);_("$"* \(#,##0\);_("$"* "-"??_);_(@_)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367016.14252267109</c:v>
                </c:pt>
                <c:pt idx="19">
                  <c:v>427115.3882361431</c:v>
                </c:pt>
                <c:pt idx="20">
                  <c:v>1332809.8327771015</c:v>
                </c:pt>
                <c:pt idx="21">
                  <c:v>1520732.3737395047</c:v>
                </c:pt>
                <c:pt idx="22">
                  <c:v>1723182.627678534</c:v>
                </c:pt>
                <c:pt idx="23">
                  <c:v>1938474.1086572269</c:v>
                </c:pt>
                <c:pt idx="24">
                  <c:v>2165931.6244275798</c:v>
                </c:pt>
                <c:pt idx="25">
                  <c:v>2403632.0194261968</c:v>
                </c:pt>
                <c:pt idx="26">
                  <c:v>2649106.584698922</c:v>
                </c:pt>
                <c:pt idx="27">
                  <c:v>2899445.7835978698</c:v>
                </c:pt>
                <c:pt idx="28">
                  <c:v>3151462.2127347859</c:v>
                </c:pt>
                <c:pt idx="29">
                  <c:v>3401892.5450013345</c:v>
                </c:pt>
                <c:pt idx="30">
                  <c:v>3647609.5866366215</c:v>
                </c:pt>
                <c:pt idx="31">
                  <c:v>3885813.0966846878</c:v>
                </c:pt>
                <c:pt idx="32">
                  <c:v>4114173.6077995789</c:v>
                </c:pt>
                <c:pt idx="33">
                  <c:v>4326422.9612128809</c:v>
                </c:pt>
                <c:pt idx="34">
                  <c:v>4522313.3910947908</c:v>
                </c:pt>
                <c:pt idx="35">
                  <c:v>4704105.5864442745</c:v>
                </c:pt>
                <c:pt idx="36">
                  <c:v>4871683.3111829758</c:v>
                </c:pt>
                <c:pt idx="37">
                  <c:v>5025310.918844522</c:v>
                </c:pt>
                <c:pt idx="38">
                  <c:v>5165537.3288489133</c:v>
                </c:pt>
                <c:pt idx="39">
                  <c:v>5293106.7317098463</c:v>
                </c:pt>
                <c:pt idx="40">
                  <c:v>5408882.0984461438</c:v>
                </c:pt>
                <c:pt idx="41">
                  <c:v>5513783.8819295429</c:v>
                </c:pt>
                <c:pt idx="42">
                  <c:v>5608743.7390991561</c:v>
                </c:pt>
                <c:pt idx="43">
                  <c:v>5694671.6179824146</c:v>
                </c:pt>
                <c:pt idx="44">
                  <c:v>5735810.9881636854</c:v>
                </c:pt>
                <c:pt idx="45">
                  <c:v>5735810.9881636854</c:v>
                </c:pt>
                <c:pt idx="46">
                  <c:v>5735810.9881636854</c:v>
                </c:pt>
                <c:pt idx="47">
                  <c:v>5735810.9881636854</c:v>
                </c:pt>
                <c:pt idx="48">
                  <c:v>5735810.9881636854</c:v>
                </c:pt>
                <c:pt idx="49">
                  <c:v>5735810.9881636854</c:v>
                </c:pt>
                <c:pt idx="50">
                  <c:v>5735810.9881636854</c:v>
                </c:pt>
                <c:pt idx="51">
                  <c:v>5735810.9881636854</c:v>
                </c:pt>
                <c:pt idx="52">
                  <c:v>5735810.9881636854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573248"/>
        <c:axId val="451574784"/>
      </c:lineChart>
      <c:catAx>
        <c:axId val="4515732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51574784"/>
        <c:crosses val="autoZero"/>
        <c:auto val="1"/>
        <c:lblAlgn val="ctr"/>
        <c:lblOffset val="100"/>
        <c:tickMarkSkip val="5"/>
        <c:noMultiLvlLbl val="0"/>
      </c:catAx>
      <c:valAx>
        <c:axId val="451574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Induced Spending per Day</a:t>
                </a:r>
              </a:p>
            </c:rich>
          </c:tx>
          <c:layout>
            <c:manualLayout>
              <c:xMode val="edge"/>
              <c:yMode val="edge"/>
              <c:x val="1.2311586051743532E-2"/>
              <c:y val="0.40997108251774733"/>
            </c:manualLayout>
          </c:layout>
          <c:overlay val="0"/>
        </c:title>
        <c:numFmt formatCode="&quot;$&quot;#,##0.0" sourceLinked="0"/>
        <c:majorTickMark val="out"/>
        <c:minorTickMark val="none"/>
        <c:tickLblPos val="nextTo"/>
        <c:crossAx val="451573248"/>
        <c:crosses val="autoZero"/>
        <c:crossBetween val="between"/>
        <c:dispUnits>
          <c:builtInUnit val="millions"/>
          <c:dispUnitsLbl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Spending by non-Drivers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Spending2!$F$34:$H$34</c:f>
              <c:strCache>
                <c:ptCount val="3"/>
                <c:pt idx="0">
                  <c:v>Non-licensed adult</c:v>
                </c:pt>
                <c:pt idx="1">
                  <c:v>Handicapped and elderly</c:v>
                </c:pt>
                <c:pt idx="2">
                  <c:v>Unaccompanied children</c:v>
                </c:pt>
              </c:strCache>
            </c:strRef>
          </c:cat>
          <c:val>
            <c:numRef>
              <c:f>Spending2!$F$35:$H$35</c:f>
              <c:numCache>
                <c:formatCode>_("$"* #,##0_);_("$"* \(#,##0\);_("$"* "-"??_);_(@_)</c:formatCode>
                <c:ptCount val="3"/>
                <c:pt idx="0">
                  <c:v>1522926.1421136563</c:v>
                </c:pt>
                <c:pt idx="1">
                  <c:v>2591247.4656859227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489972488378715"/>
          <c:y val="0.34377291421249512"/>
          <c:w val="0.41582316668247793"/>
          <c:h val="0.401561576456486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Facilities Dedicated to CAV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287984496594077"/>
          <c:y val="0.13388367853505964"/>
          <c:w val="0.85273895294838964"/>
          <c:h val="0.71413522154529918"/>
        </c:manualLayout>
      </c:layout>
      <c:lineChart>
        <c:grouping val="standard"/>
        <c:varyColors val="0"/>
        <c:ser>
          <c:idx val="0"/>
          <c:order val="0"/>
          <c:tx>
            <c:strRef>
              <c:f>nonDriver!$C$4</c:f>
              <c:strCache>
                <c:ptCount val="1"/>
                <c:pt idx="0">
                  <c:v>Non-licensed adult</c:v>
                </c:pt>
              </c:strCache>
            </c:strRef>
          </c:tx>
          <c:marker>
            <c:symbol val="none"/>
          </c:marker>
          <c:cat>
            <c:numRef>
              <c:f>nonDriver!$B$5:$B$57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nonDriver!$C$5:$C$57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nonDriver!$D$4</c:f>
              <c:strCache>
                <c:ptCount val="1"/>
                <c:pt idx="0">
                  <c:v>Handicapped and elderly</c:v>
                </c:pt>
              </c:strCache>
            </c:strRef>
          </c:tx>
          <c:marker>
            <c:symbol val="none"/>
          </c:marker>
          <c:cat>
            <c:numRef>
              <c:f>nonDriver!$B$5:$B$57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nonDriver!$D$5:$D$57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nonDriver!$E$4</c:f>
              <c:strCache>
                <c:ptCount val="1"/>
                <c:pt idx="0">
                  <c:v>Unaccompanied children</c:v>
                </c:pt>
              </c:strCache>
            </c:strRef>
          </c:tx>
          <c:marker>
            <c:symbol val="none"/>
          </c:marker>
          <c:val>
            <c:numRef>
              <c:f>nonDriver!$E$5:$E$57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53792"/>
        <c:axId val="281955712"/>
      </c:lineChart>
      <c:catAx>
        <c:axId val="281953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955712"/>
        <c:crosses val="autoZero"/>
        <c:auto val="1"/>
        <c:lblAlgn val="ctr"/>
        <c:lblOffset val="100"/>
        <c:tickMarkSkip val="5"/>
        <c:noMultiLvlLbl val="0"/>
      </c:catAx>
      <c:valAx>
        <c:axId val="28195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Dedicated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81953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52527177476819"/>
          <c:y val="0.37049169213705702"/>
          <c:w val="0.3091202915516244"/>
          <c:h val="0.17620376198237703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</a:t>
            </a:r>
            <a:r>
              <a:rPr lang="en-US"/>
              <a:t>Spending by non-Drivers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Spending2!$F$34:$H$34</c:f>
              <c:strCache>
                <c:ptCount val="3"/>
                <c:pt idx="0">
                  <c:v>Non-licensed adult</c:v>
                </c:pt>
                <c:pt idx="1">
                  <c:v>Handicapped and elderly</c:v>
                </c:pt>
                <c:pt idx="2">
                  <c:v>Unaccompanied children</c:v>
                </c:pt>
              </c:strCache>
            </c:strRef>
          </c:cat>
          <c:val>
            <c:numRef>
              <c:f>Spending2!$F$35:$H$35</c:f>
              <c:numCache>
                <c:formatCode>_("$"* #,##0_);_("$"* \(#,##0\);_("$"* "-"??_);_(@_)</c:formatCode>
                <c:ptCount val="3"/>
                <c:pt idx="0">
                  <c:v>1522926.1421136563</c:v>
                </c:pt>
                <c:pt idx="1">
                  <c:v>2591247.4656859227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51423232"/>
        <c:axId val="451449600"/>
      </c:barChart>
      <c:catAx>
        <c:axId val="451423232"/>
        <c:scaling>
          <c:orientation val="minMax"/>
        </c:scaling>
        <c:delete val="0"/>
        <c:axPos val="l"/>
        <c:majorTickMark val="none"/>
        <c:minorTickMark val="none"/>
        <c:tickLblPos val="nextTo"/>
        <c:crossAx val="451449600"/>
        <c:crosses val="autoZero"/>
        <c:auto val="1"/>
        <c:lblAlgn val="ctr"/>
        <c:lblOffset val="100"/>
        <c:noMultiLvlLbl val="0"/>
      </c:catAx>
      <c:valAx>
        <c:axId val="451449600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451423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Autonomous Vehicle Impact on Taxes and Fees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10901762279715"/>
          <c:y val="0.12502136613088652"/>
          <c:w val="0.86906558555180602"/>
          <c:h val="0.75920175267347778"/>
        </c:manualLayout>
      </c:layout>
      <c:lineChart>
        <c:grouping val="standard"/>
        <c:varyColors val="0"/>
        <c:ser>
          <c:idx val="0"/>
          <c:order val="0"/>
          <c:tx>
            <c:v>Total without CAVs</c:v>
          </c:tx>
          <c:marker>
            <c:symbol val="none"/>
          </c:marker>
          <c:cat>
            <c:numRef>
              <c:f>Fees!$B$6:$B$58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Fees!$L$6:$L$58</c:f>
              <c:numCache>
                <c:formatCode>_("$"* #,##0_);_("$"* \(#,##0\);_("$"* "-"??_);_(@_)</c:formatCode>
                <c:ptCount val="53"/>
                <c:pt idx="0">
                  <c:v>776371800</c:v>
                </c:pt>
                <c:pt idx="1">
                  <c:v>788017377</c:v>
                </c:pt>
                <c:pt idx="2">
                  <c:v>799837637.65499973</c:v>
                </c:pt>
                <c:pt idx="3">
                  <c:v>811835202.21982467</c:v>
                </c:pt>
                <c:pt idx="4">
                  <c:v>824012730.25312197</c:v>
                </c:pt>
                <c:pt idx="5">
                  <c:v>836372921.20691872</c:v>
                </c:pt>
                <c:pt idx="6">
                  <c:v>848918515.02502239</c:v>
                </c:pt>
                <c:pt idx="7">
                  <c:v>861652292.7503978</c:v>
                </c:pt>
                <c:pt idx="8">
                  <c:v>874577077.14165366</c:v>
                </c:pt>
                <c:pt idx="9">
                  <c:v>887695733.29877841</c:v>
                </c:pt>
                <c:pt idx="10">
                  <c:v>901011169.29825997</c:v>
                </c:pt>
                <c:pt idx="11">
                  <c:v>914526336.83773398</c:v>
                </c:pt>
                <c:pt idx="12">
                  <c:v>928244231.89029956</c:v>
                </c:pt>
                <c:pt idx="13">
                  <c:v>942167895.36865425</c:v>
                </c:pt>
                <c:pt idx="14">
                  <c:v>956300413.79918373</c:v>
                </c:pt>
                <c:pt idx="15">
                  <c:v>970644920.00617135</c:v>
                </c:pt>
                <c:pt idx="16">
                  <c:v>985204593.80626416</c:v>
                </c:pt>
                <c:pt idx="17">
                  <c:v>999982662.71335769</c:v>
                </c:pt>
                <c:pt idx="18">
                  <c:v>1014982402.6540582</c:v>
                </c:pt>
                <c:pt idx="19">
                  <c:v>1030207138.6938691</c:v>
                </c:pt>
                <c:pt idx="20">
                  <c:v>1045660245.774277</c:v>
                </c:pt>
                <c:pt idx="21">
                  <c:v>1061345149.4608908</c:v>
                </c:pt>
                <c:pt idx="22">
                  <c:v>1077265326.7028041</c:v>
                </c:pt>
                <c:pt idx="23">
                  <c:v>1093424306.6033459</c:v>
                </c:pt>
                <c:pt idx="24">
                  <c:v>1109825671.2023962</c:v>
                </c:pt>
                <c:pt idx="25">
                  <c:v>1126473056.2704318</c:v>
                </c:pt>
                <c:pt idx="26">
                  <c:v>1143370152.1144881</c:v>
                </c:pt>
                <c:pt idx="27">
                  <c:v>1160520704.3962057</c:v>
                </c:pt>
                <c:pt idx="28">
                  <c:v>1177928514.9621484</c:v>
                </c:pt>
                <c:pt idx="29">
                  <c:v>1195597442.6865802</c:v>
                </c:pt>
                <c:pt idx="30">
                  <c:v>1213531404.3268788</c:v>
                </c:pt>
                <c:pt idx="31">
                  <c:v>1231734375.391782</c:v>
                </c:pt>
                <c:pt idx="32">
                  <c:v>1250210391.0226588</c:v>
                </c:pt>
                <c:pt idx="33">
                  <c:v>1268963546.8879983</c:v>
                </c:pt>
                <c:pt idx="34">
                  <c:v>1287998000.0913186</c:v>
                </c:pt>
                <c:pt idx="35">
                  <c:v>1307317970.0926881</c:v>
                </c:pt>
                <c:pt idx="36">
                  <c:v>1326927739.644078</c:v>
                </c:pt>
                <c:pt idx="37">
                  <c:v>1346831655.738739</c:v>
                </c:pt>
                <c:pt idx="38">
                  <c:v>1367034130.57482</c:v>
                </c:pt>
                <c:pt idx="39">
                  <c:v>1387539642.5334425</c:v>
                </c:pt>
                <c:pt idx="40">
                  <c:v>1408352737.1714437</c:v>
                </c:pt>
                <c:pt idx="41">
                  <c:v>1429478028.2290154</c:v>
                </c:pt>
                <c:pt idx="42">
                  <c:v>1450920198.6524506</c:v>
                </c:pt>
                <c:pt idx="43">
                  <c:v>1472684001.6322372</c:v>
                </c:pt>
                <c:pt idx="44">
                  <c:v>1494774261.6567206</c:v>
                </c:pt>
                <c:pt idx="45">
                  <c:v>1517195875.5815711</c:v>
                </c:pt>
                <c:pt idx="46">
                  <c:v>1539953813.7152948</c:v>
                </c:pt>
                <c:pt idx="47">
                  <c:v>1563053120.9210238</c:v>
                </c:pt>
                <c:pt idx="48">
                  <c:v>1586498917.7348392</c:v>
                </c:pt>
                <c:pt idx="49">
                  <c:v>1610296401.5008614</c:v>
                </c:pt>
                <c:pt idx="50">
                  <c:v>1634450847.5233743</c:v>
                </c:pt>
                <c:pt idx="51">
                  <c:v>1658967610.2362247</c:v>
                </c:pt>
                <c:pt idx="52">
                  <c:v>1683852124.3897679</c:v>
                </c:pt>
              </c:numCache>
            </c:numRef>
          </c:val>
          <c:smooth val="0"/>
        </c:ser>
        <c:ser>
          <c:idx val="1"/>
          <c:order val="1"/>
          <c:tx>
            <c:v>Total with CAVs</c:v>
          </c:tx>
          <c:marker>
            <c:symbol val="none"/>
          </c:marker>
          <c:val>
            <c:numRef>
              <c:f>Fees!$Z$6:$Z$58</c:f>
              <c:numCache>
                <c:formatCode>_("$"* #,##0_);_("$"* \(#,##0\);_("$"* "-"??_);_(@_)</c:formatCode>
                <c:ptCount val="53"/>
                <c:pt idx="0">
                  <c:v>776370279.27007818</c:v>
                </c:pt>
                <c:pt idx="1">
                  <c:v>787992161.3257786</c:v>
                </c:pt>
                <c:pt idx="2">
                  <c:v>799698039.40254939</c:v>
                </c:pt>
                <c:pt idx="3">
                  <c:v>811447325.5193938</c:v>
                </c:pt>
                <c:pt idx="4">
                  <c:v>823253332.17165911</c:v>
                </c:pt>
                <c:pt idx="5">
                  <c:v>778042608.03186095</c:v>
                </c:pt>
                <c:pt idx="6">
                  <c:v>789289324.97964382</c:v>
                </c:pt>
                <c:pt idx="7">
                  <c:v>800699184.69103646</c:v>
                </c:pt>
                <c:pt idx="8">
                  <c:v>807819679.49296629</c:v>
                </c:pt>
                <c:pt idx="9">
                  <c:v>812871527.82737648</c:v>
                </c:pt>
                <c:pt idx="10">
                  <c:v>816345565.03338027</c:v>
                </c:pt>
                <c:pt idx="11">
                  <c:v>819680760.05246806</c:v>
                </c:pt>
                <c:pt idx="12">
                  <c:v>821949148.60234213</c:v>
                </c:pt>
                <c:pt idx="13">
                  <c:v>823098505.71365523</c:v>
                </c:pt>
                <c:pt idx="14">
                  <c:v>822922724.31264925</c:v>
                </c:pt>
                <c:pt idx="15">
                  <c:v>823152904.42937517</c:v>
                </c:pt>
                <c:pt idx="16">
                  <c:v>819942912.15171194</c:v>
                </c:pt>
                <c:pt idx="17">
                  <c:v>814512705.7213707</c:v>
                </c:pt>
                <c:pt idx="18">
                  <c:v>809727887.18730712</c:v>
                </c:pt>
                <c:pt idx="19">
                  <c:v>800571753.81639576</c:v>
                </c:pt>
                <c:pt idx="20">
                  <c:v>794280782.42851686</c:v>
                </c:pt>
                <c:pt idx="21">
                  <c:v>781661649.08384752</c:v>
                </c:pt>
                <c:pt idx="22">
                  <c:v>766654404.26908016</c:v>
                </c:pt>
                <c:pt idx="23">
                  <c:v>749331193.38850975</c:v>
                </c:pt>
                <c:pt idx="24">
                  <c:v>729742108.55539572</c:v>
                </c:pt>
                <c:pt idx="25">
                  <c:v>708069767.1628319</c:v>
                </c:pt>
                <c:pt idx="26">
                  <c:v>684584467.51243186</c:v>
                </c:pt>
                <c:pt idx="27">
                  <c:v>659634357.56816518</c:v>
                </c:pt>
                <c:pt idx="28">
                  <c:v>633626474.12189782</c:v>
                </c:pt>
                <c:pt idx="29">
                  <c:v>607000681.76195621</c:v>
                </c:pt>
                <c:pt idx="30">
                  <c:v>580200195.44572055</c:v>
                </c:pt>
                <c:pt idx="31">
                  <c:v>553643133.30369234</c:v>
                </c:pt>
                <c:pt idx="32">
                  <c:v>527699113.87864804</c:v>
                </c:pt>
                <c:pt idx="33">
                  <c:v>503387709.38190556</c:v>
                </c:pt>
                <c:pt idx="34">
                  <c:v>480810285.345222</c:v>
                </c:pt>
                <c:pt idx="35">
                  <c:v>459674090.71270299</c:v>
                </c:pt>
                <c:pt idx="36">
                  <c:v>440069379.30895597</c:v>
                </c:pt>
                <c:pt idx="37">
                  <c:v>422030285.37627369</c:v>
                </c:pt>
                <c:pt idx="38">
                  <c:v>405546104.09526074</c:v>
                </c:pt>
                <c:pt idx="39">
                  <c:v>390572475.03969383</c:v>
                </c:pt>
                <c:pt idx="40">
                  <c:v>377041488.14279699</c:v>
                </c:pt>
                <c:pt idx="41">
                  <c:v>364870210.00834107</c:v>
                </c:pt>
                <c:pt idx="42">
                  <c:v>353967485.48027796</c:v>
                </c:pt>
                <c:pt idx="43">
                  <c:v>344239099.16393799</c:v>
                </c:pt>
                <c:pt idx="44">
                  <c:v>342164882.31511617</c:v>
                </c:pt>
                <c:pt idx="45">
                  <c:v>347258740.6861499</c:v>
                </c:pt>
                <c:pt idx="46">
                  <c:v>352433154.72933108</c:v>
                </c:pt>
                <c:pt idx="47">
                  <c:v>357688841.54237729</c:v>
                </c:pt>
                <c:pt idx="48">
                  <c:v>363032163.19668168</c:v>
                </c:pt>
                <c:pt idx="49">
                  <c:v>368468820.03575838</c:v>
                </c:pt>
                <c:pt idx="50">
                  <c:v>373988576.04045135</c:v>
                </c:pt>
                <c:pt idx="51">
                  <c:v>379592419.49768722</c:v>
                </c:pt>
                <c:pt idx="52">
                  <c:v>385281395.80062604</c:v>
                </c:pt>
              </c:numCache>
            </c:numRef>
          </c:val>
          <c:smooth val="0"/>
        </c:ser>
        <c:ser>
          <c:idx val="2"/>
          <c:order val="2"/>
          <c:tx>
            <c:v>New Travel Fees</c:v>
          </c:tx>
          <c:marker>
            <c:symbol val="none"/>
          </c:marker>
          <c:val>
            <c:numRef>
              <c:f>Fees!$AD$6:$AD$58</c:f>
              <c:numCache>
                <c:formatCode>_("$"* #,##0_);_("$"* \(#,##0\);_("$"* "-"??_);_(@_)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47569239.921725556</c:v>
                </c:pt>
                <c:pt idx="6">
                  <c:v>48340681.15603134</c:v>
                </c:pt>
                <c:pt idx="7">
                  <c:v>49146505.133672178</c:v>
                </c:pt>
                <c:pt idx="8">
                  <c:v>50018633.077259906</c:v>
                </c:pt>
                <c:pt idx="9">
                  <c:v>50970909.70969943</c:v>
                </c:pt>
                <c:pt idx="10">
                  <c:v>349133137.34295756</c:v>
                </c:pt>
                <c:pt idx="11">
                  <c:v>355228958.34964949</c:v>
                </c:pt>
                <c:pt idx="12">
                  <c:v>361946539.98826849</c:v>
                </c:pt>
                <c:pt idx="13">
                  <c:v>368522830.36815828</c:v>
                </c:pt>
                <c:pt idx="14">
                  <c:v>375458845.07160866</c:v>
                </c:pt>
                <c:pt idx="15">
                  <c:v>388069109.76436365</c:v>
                </c:pt>
                <c:pt idx="16">
                  <c:v>396125373.89722562</c:v>
                </c:pt>
                <c:pt idx="17">
                  <c:v>468611300.57011354</c:v>
                </c:pt>
                <c:pt idx="18">
                  <c:v>498572693.11060274</c:v>
                </c:pt>
                <c:pt idx="19">
                  <c:v>523191167.8063361</c:v>
                </c:pt>
                <c:pt idx="20">
                  <c:v>572336311.14522886</c:v>
                </c:pt>
                <c:pt idx="21">
                  <c:v>603767885.5883888</c:v>
                </c:pt>
                <c:pt idx="22">
                  <c:v>638118661.40620899</c:v>
                </c:pt>
                <c:pt idx="23">
                  <c:v>675092870.07722116</c:v>
                </c:pt>
                <c:pt idx="24">
                  <c:v>715092871.49948096</c:v>
                </c:pt>
                <c:pt idx="25">
                  <c:v>758103382.2374959</c:v>
                </c:pt>
                <c:pt idx="26">
                  <c:v>804013738.8646574</c:v>
                </c:pt>
                <c:pt idx="27">
                  <c:v>852613590.72507191</c:v>
                </c:pt>
                <c:pt idx="28">
                  <c:v>903597067.76159668</c:v>
                </c:pt>
                <c:pt idx="29">
                  <c:v>956576383.36449814</c:v>
                </c:pt>
                <c:pt idx="30">
                  <c:v>1011104506.7745953</c:v>
                </c:pt>
                <c:pt idx="31">
                  <c:v>1066704736.5543774</c:v>
                </c:pt>
                <c:pt idx="32">
                  <c:v>1122903216.8610463</c:v>
                </c:pt>
                <c:pt idx="33">
                  <c:v>1178421447.2768328</c:v>
                </c:pt>
                <c:pt idx="34">
                  <c:v>1232986707.7420237</c:v>
                </c:pt>
                <c:pt idx="35">
                  <c:v>1286808298.4605913</c:v>
                </c:pt>
                <c:pt idx="36">
                  <c:v>1339660456.1511021</c:v>
                </c:pt>
                <c:pt idx="37">
                  <c:v>1391395103.0448272</c:v>
                </c:pt>
                <c:pt idx="38">
                  <c:v>1441932849.1277537</c:v>
                </c:pt>
                <c:pt idx="39">
                  <c:v>1491251186.5451956</c:v>
                </c:pt>
                <c:pt idx="40">
                  <c:v>1539372006.4614363</c:v>
                </c:pt>
                <c:pt idx="41">
                  <c:v>1586349873.3177962</c:v>
                </c:pt>
                <c:pt idx="42">
                  <c:v>1632261846.977684</c:v>
                </c:pt>
                <c:pt idx="43">
                  <c:v>1677199154.8265743</c:v>
                </c:pt>
                <c:pt idx="44">
                  <c:v>1713456874.2868907</c:v>
                </c:pt>
                <c:pt idx="45">
                  <c:v>1739667617.3217669</c:v>
                </c:pt>
                <c:pt idx="46">
                  <c:v>1766252390.8849726</c:v>
                </c:pt>
                <c:pt idx="47">
                  <c:v>1793215845.2413344</c:v>
                </c:pt>
                <c:pt idx="48">
                  <c:v>1820985118.7230597</c:v>
                </c:pt>
                <c:pt idx="49">
                  <c:v>1848380648.0952034</c:v>
                </c:pt>
                <c:pt idx="50">
                  <c:v>1875933812.8913193</c:v>
                </c:pt>
                <c:pt idx="51">
                  <c:v>1903930893.4146247</c:v>
                </c:pt>
                <c:pt idx="52">
                  <c:v>1932373424.2488623</c:v>
                </c:pt>
              </c:numCache>
            </c:numRef>
          </c:val>
          <c:smooth val="0"/>
        </c:ser>
        <c:ser>
          <c:idx val="3"/>
          <c:order val="3"/>
          <c:tx>
            <c:v>Total with New Fees</c:v>
          </c:tx>
          <c:marker>
            <c:symbol val="none"/>
          </c:marker>
          <c:val>
            <c:numRef>
              <c:f>Fees!$AE$6:$AE$58</c:f>
              <c:numCache>
                <c:formatCode>_("$"* #,##0_);_("$"* \(#,##0\);_("$"* "-"??_);_(@_)</c:formatCode>
                <c:ptCount val="53"/>
                <c:pt idx="0">
                  <c:v>776370279.27007818</c:v>
                </c:pt>
                <c:pt idx="1">
                  <c:v>787992161.3257786</c:v>
                </c:pt>
                <c:pt idx="2">
                  <c:v>799698039.40254939</c:v>
                </c:pt>
                <c:pt idx="3">
                  <c:v>811447325.5193938</c:v>
                </c:pt>
                <c:pt idx="4">
                  <c:v>823253332.17165911</c:v>
                </c:pt>
                <c:pt idx="5">
                  <c:v>825611847.95358646</c:v>
                </c:pt>
                <c:pt idx="6">
                  <c:v>837630006.13567519</c:v>
                </c:pt>
                <c:pt idx="7">
                  <c:v>849845689.8247087</c:v>
                </c:pt>
                <c:pt idx="8">
                  <c:v>857838312.57022619</c:v>
                </c:pt>
                <c:pt idx="9">
                  <c:v>863842437.53707588</c:v>
                </c:pt>
                <c:pt idx="10">
                  <c:v>1165478702.3763378</c:v>
                </c:pt>
                <c:pt idx="11">
                  <c:v>1174909718.4021175</c:v>
                </c:pt>
                <c:pt idx="12">
                  <c:v>1183895688.5906105</c:v>
                </c:pt>
                <c:pt idx="13">
                  <c:v>1191621336.0818136</c:v>
                </c:pt>
                <c:pt idx="14">
                  <c:v>1198381569.3842578</c:v>
                </c:pt>
                <c:pt idx="15">
                  <c:v>1211222014.1937389</c:v>
                </c:pt>
                <c:pt idx="16">
                  <c:v>1216068286.0489376</c:v>
                </c:pt>
                <c:pt idx="17">
                  <c:v>1283124006.2914844</c:v>
                </c:pt>
                <c:pt idx="18">
                  <c:v>1308300580.2979097</c:v>
                </c:pt>
                <c:pt idx="19">
                  <c:v>1323762921.6227319</c:v>
                </c:pt>
                <c:pt idx="20">
                  <c:v>1366617093.5737457</c:v>
                </c:pt>
                <c:pt idx="21">
                  <c:v>1385429534.6722364</c:v>
                </c:pt>
                <c:pt idx="22">
                  <c:v>1404773065.6752892</c:v>
                </c:pt>
                <c:pt idx="23">
                  <c:v>1424424063.4657309</c:v>
                </c:pt>
                <c:pt idx="24">
                  <c:v>1444834980.0548768</c:v>
                </c:pt>
                <c:pt idx="25">
                  <c:v>1466173149.4003277</c:v>
                </c:pt>
                <c:pt idx="26">
                  <c:v>1488598206.3770893</c:v>
                </c:pt>
                <c:pt idx="27">
                  <c:v>1512247948.2932372</c:v>
                </c:pt>
                <c:pt idx="28">
                  <c:v>1537223541.8834944</c:v>
                </c:pt>
                <c:pt idx="29">
                  <c:v>1563577065.1264544</c:v>
                </c:pt>
                <c:pt idx="30">
                  <c:v>1591304702.2203159</c:v>
                </c:pt>
                <c:pt idx="31">
                  <c:v>1620347869.8580699</c:v>
                </c:pt>
                <c:pt idx="32">
                  <c:v>1650602330.7396944</c:v>
                </c:pt>
                <c:pt idx="33">
                  <c:v>1681809156.6587384</c:v>
                </c:pt>
                <c:pt idx="34">
                  <c:v>1713796993.0872457</c:v>
                </c:pt>
                <c:pt idx="35">
                  <c:v>1746482389.1732943</c:v>
                </c:pt>
                <c:pt idx="36">
                  <c:v>1779729835.460058</c:v>
                </c:pt>
                <c:pt idx="37">
                  <c:v>1813425388.4211009</c:v>
                </c:pt>
                <c:pt idx="38">
                  <c:v>1847478953.2230144</c:v>
                </c:pt>
                <c:pt idx="39">
                  <c:v>1881823661.5848894</c:v>
                </c:pt>
                <c:pt idx="40">
                  <c:v>1916413494.6042333</c:v>
                </c:pt>
                <c:pt idx="41">
                  <c:v>1951220083.3261373</c:v>
                </c:pt>
                <c:pt idx="42">
                  <c:v>1986229332.457962</c:v>
                </c:pt>
                <c:pt idx="43">
                  <c:v>2021438253.9905124</c:v>
                </c:pt>
                <c:pt idx="44">
                  <c:v>2055621756.6020069</c:v>
                </c:pt>
                <c:pt idx="45">
                  <c:v>2086926358.0079167</c:v>
                </c:pt>
                <c:pt idx="46">
                  <c:v>2118685545.6143036</c:v>
                </c:pt>
                <c:pt idx="47">
                  <c:v>2150904686.7837119</c:v>
                </c:pt>
                <c:pt idx="48">
                  <c:v>2184017281.9197412</c:v>
                </c:pt>
                <c:pt idx="49">
                  <c:v>2216849468.1309619</c:v>
                </c:pt>
                <c:pt idx="50">
                  <c:v>2249922388.9317708</c:v>
                </c:pt>
                <c:pt idx="51">
                  <c:v>2283523312.912312</c:v>
                </c:pt>
                <c:pt idx="52">
                  <c:v>2317654820.0494881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066304"/>
        <c:axId val="452272896"/>
      </c:lineChart>
      <c:catAx>
        <c:axId val="4520663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52272896"/>
        <c:crosses val="autoZero"/>
        <c:auto val="1"/>
        <c:lblAlgn val="ctr"/>
        <c:lblOffset val="100"/>
        <c:tickMarkSkip val="5"/>
        <c:noMultiLvlLbl val="0"/>
      </c:catAx>
      <c:valAx>
        <c:axId val="45227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Tax and Fee Revenues</a:t>
                </a:r>
              </a:p>
            </c:rich>
          </c:tx>
          <c:layout>
            <c:manualLayout>
              <c:xMode val="edge"/>
              <c:yMode val="edge"/>
              <c:x val="1.2311586051743532E-2"/>
              <c:y val="0.40997108251774733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crossAx val="452066304"/>
        <c:crosses val="autoZero"/>
        <c:crossBetween val="between"/>
        <c:dispUnits>
          <c:builtInUnit val="millions"/>
          <c:dispUnitsLbl/>
        </c:dispUnits>
      </c:valAx>
    </c:plotArea>
    <c:legend>
      <c:legendPos val="l"/>
      <c:layout>
        <c:manualLayout>
          <c:xMode val="edge"/>
          <c:yMode val="edge"/>
          <c:x val="0.14231257941550191"/>
          <c:y val="0.17581722739203057"/>
          <c:w val="0.19446674224087748"/>
          <c:h val="0.17408340202961994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Without CAVs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Fees2!$D$40:$K$40</c:f>
              <c:strCache>
                <c:ptCount val="8"/>
                <c:pt idx="0">
                  <c:v>Parking Revenues</c:v>
                </c:pt>
                <c:pt idx="1">
                  <c:v>Parking Fines</c:v>
                </c:pt>
                <c:pt idx="2">
                  <c:v>Traffic Citations</c:v>
                </c:pt>
                <c:pt idx="3">
                  <c:v>Camera</c:v>
                </c:pt>
                <c:pt idx="4">
                  <c:v>Towing</c:v>
                </c:pt>
                <c:pt idx="5">
                  <c:v>Gas Tax</c:v>
                </c:pt>
                <c:pt idx="6">
                  <c:v>Licensing</c:v>
                </c:pt>
                <c:pt idx="7">
                  <c:v>Registration</c:v>
                </c:pt>
              </c:strCache>
            </c:strRef>
          </c:cat>
          <c:val>
            <c:numRef>
              <c:f>Fees2!$D$41:$K$41</c:f>
              <c:numCache>
                <c:formatCode>_("$"* #,##0_);_("$"* \(#,##0\);_("$"* "-"??_);_(@_)</c:formatCode>
                <c:ptCount val="8"/>
                <c:pt idx="0">
                  <c:v>333903883.5824452</c:v>
                </c:pt>
                <c:pt idx="1">
                  <c:v>288288143.24288541</c:v>
                </c:pt>
                <c:pt idx="2">
                  <c:v>39778259.857349239</c:v>
                </c:pt>
                <c:pt idx="3">
                  <c:v>92148799.040609881</c:v>
                </c:pt>
                <c:pt idx="4">
                  <c:v>18096189.4948528</c:v>
                </c:pt>
                <c:pt idx="5">
                  <c:v>155026803.09184957</c:v>
                </c:pt>
                <c:pt idx="6">
                  <c:v>50869472.773549341</c:v>
                </c:pt>
                <c:pt idx="7">
                  <c:v>99153775.619262576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7258344447083329"/>
          <c:y val="0.23683251121501198"/>
          <c:w val="0.26840502080097128"/>
          <c:h val="0.682776543743470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With CAVs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Fees2!$R$40:$Y$40</c:f>
              <c:strCache>
                <c:ptCount val="8"/>
                <c:pt idx="0">
                  <c:v>Parking Revenues</c:v>
                </c:pt>
                <c:pt idx="1">
                  <c:v>Parking Fines</c:v>
                </c:pt>
                <c:pt idx="2">
                  <c:v>Traffic Citations</c:v>
                </c:pt>
                <c:pt idx="3">
                  <c:v>Camera</c:v>
                </c:pt>
                <c:pt idx="4">
                  <c:v>Towing</c:v>
                </c:pt>
                <c:pt idx="5">
                  <c:v>Gas Tax</c:v>
                </c:pt>
                <c:pt idx="6">
                  <c:v>Licensing</c:v>
                </c:pt>
                <c:pt idx="7">
                  <c:v>Registration</c:v>
                </c:pt>
              </c:strCache>
            </c:strRef>
          </c:cat>
          <c:val>
            <c:numRef>
              <c:f>Fees2!$R$41:$Y$41</c:f>
              <c:numCache>
                <c:formatCode>_("$"* #,##0_);_("$"* \(#,##0\);_("$"* "-"??_);_(@_)</c:formatCode>
                <c:ptCount val="8"/>
                <c:pt idx="0">
                  <c:v>222232289.48059872</c:v>
                </c:pt>
                <c:pt idx="1">
                  <c:v>191872383.79980767</c:v>
                </c:pt>
                <c:pt idx="2">
                  <c:v>31688513.990212984</c:v>
                </c:pt>
                <c:pt idx="3">
                  <c:v>73408402.430157974</c:v>
                </c:pt>
                <c:pt idx="4">
                  <c:v>12044057.646675806</c:v>
                </c:pt>
                <c:pt idx="5">
                  <c:v>92680438.767856807</c:v>
                </c:pt>
                <c:pt idx="6">
                  <c:v>48395927.778654709</c:v>
                </c:pt>
                <c:pt idx="7">
                  <c:v>94332390.375115499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474122773488263"/>
          <c:y val="0.2368325313502479"/>
          <c:w val="0.29665818088528406"/>
          <c:h val="0.682776543743470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Revenues by Source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65459789132207"/>
          <c:y val="0.15325240594925635"/>
          <c:w val="0.86966803656946545"/>
          <c:h val="0.6974110527850685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CAVs</c:v>
          </c:tx>
          <c:invertIfNegative val="0"/>
          <c:cat>
            <c:strRef>
              <c:f>(Fees2!$D$40:$K$40,Fees2!$AA$40:$AC$40)</c:f>
              <c:strCache>
                <c:ptCount val="11"/>
                <c:pt idx="0">
                  <c:v>Parking Revenues</c:v>
                </c:pt>
                <c:pt idx="1">
                  <c:v>Parking Fines</c:v>
                </c:pt>
                <c:pt idx="2">
                  <c:v>Traffic Citations</c:v>
                </c:pt>
                <c:pt idx="3">
                  <c:v>Camera</c:v>
                </c:pt>
                <c:pt idx="4">
                  <c:v>Towing</c:v>
                </c:pt>
                <c:pt idx="5">
                  <c:v>Gas Tax</c:v>
                </c:pt>
                <c:pt idx="6">
                  <c:v>Licensing</c:v>
                </c:pt>
                <c:pt idx="7">
                  <c:v>Registration</c:v>
                </c:pt>
                <c:pt idx="8">
                  <c:v>VMT Fees</c:v>
                </c:pt>
                <c:pt idx="9">
                  <c:v>NOVMT Fees</c:v>
                </c:pt>
                <c:pt idx="10">
                  <c:v>Congestion Pricing</c:v>
                </c:pt>
              </c:strCache>
            </c:strRef>
          </c:cat>
          <c:val>
            <c:numRef>
              <c:f>Fees2!$D$41:$K$41</c:f>
              <c:numCache>
                <c:formatCode>_("$"* #,##0_);_("$"* \(#,##0\);_("$"* "-"??_);_(@_)</c:formatCode>
                <c:ptCount val="8"/>
                <c:pt idx="0">
                  <c:v>333903883.5824452</c:v>
                </c:pt>
                <c:pt idx="1">
                  <c:v>288288143.24288541</c:v>
                </c:pt>
                <c:pt idx="2">
                  <c:v>39778259.857349239</c:v>
                </c:pt>
                <c:pt idx="3">
                  <c:v>92148799.040609881</c:v>
                </c:pt>
                <c:pt idx="4">
                  <c:v>18096189.4948528</c:v>
                </c:pt>
                <c:pt idx="5">
                  <c:v>155026803.09184957</c:v>
                </c:pt>
                <c:pt idx="6">
                  <c:v>50869472.773549341</c:v>
                </c:pt>
                <c:pt idx="7">
                  <c:v>99153775.619262576</c:v>
                </c:pt>
              </c:numCache>
            </c:numRef>
          </c:val>
        </c:ser>
        <c:ser>
          <c:idx val="1"/>
          <c:order val="1"/>
          <c:tx>
            <c:v>With CAVs</c:v>
          </c:tx>
          <c:invertIfNegative val="0"/>
          <c:cat>
            <c:strRef>
              <c:f>(Fees2!$D$40:$K$40,Fees2!$AA$40:$AC$40)</c:f>
              <c:strCache>
                <c:ptCount val="11"/>
                <c:pt idx="0">
                  <c:v>Parking Revenues</c:v>
                </c:pt>
                <c:pt idx="1">
                  <c:v>Parking Fines</c:v>
                </c:pt>
                <c:pt idx="2">
                  <c:v>Traffic Citations</c:v>
                </c:pt>
                <c:pt idx="3">
                  <c:v>Camera</c:v>
                </c:pt>
                <c:pt idx="4">
                  <c:v>Towing</c:v>
                </c:pt>
                <c:pt idx="5">
                  <c:v>Gas Tax</c:v>
                </c:pt>
                <c:pt idx="6">
                  <c:v>Licensing</c:v>
                </c:pt>
                <c:pt idx="7">
                  <c:v>Registration</c:v>
                </c:pt>
                <c:pt idx="8">
                  <c:v>VMT Fees</c:v>
                </c:pt>
                <c:pt idx="9">
                  <c:v>NOVMT Fees</c:v>
                </c:pt>
                <c:pt idx="10">
                  <c:v>Congestion Pricing</c:v>
                </c:pt>
              </c:strCache>
            </c:strRef>
          </c:cat>
          <c:val>
            <c:numRef>
              <c:f>(Fees2!$R$41:$Y$41,Fees2!$AA$41:$AC$41)</c:f>
              <c:numCache>
                <c:formatCode>_("$"* #,##0_);_("$"* \(#,##0\);_("$"* "-"??_);_(@_)</c:formatCode>
                <c:ptCount val="11"/>
                <c:pt idx="0">
                  <c:v>222232289.48059872</c:v>
                </c:pt>
                <c:pt idx="1">
                  <c:v>191872383.79980767</c:v>
                </c:pt>
                <c:pt idx="2">
                  <c:v>31688513.990212984</c:v>
                </c:pt>
                <c:pt idx="3">
                  <c:v>73408402.430157974</c:v>
                </c:pt>
                <c:pt idx="4">
                  <c:v>12044057.646675806</c:v>
                </c:pt>
                <c:pt idx="5">
                  <c:v>92680438.767856807</c:v>
                </c:pt>
                <c:pt idx="6">
                  <c:v>48395927.778654709</c:v>
                </c:pt>
                <c:pt idx="7">
                  <c:v>94332390.375115499</c:v>
                </c:pt>
                <c:pt idx="8">
                  <c:v>79351365.729629308</c:v>
                </c:pt>
                <c:pt idx="9">
                  <c:v>154618479.60870391</c:v>
                </c:pt>
                <c:pt idx="10">
                  <c:v>404148816.06787574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624768"/>
        <c:axId val="452626304"/>
      </c:barChart>
      <c:catAx>
        <c:axId val="45262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2626304"/>
        <c:crosses val="autoZero"/>
        <c:auto val="1"/>
        <c:lblAlgn val="ctr"/>
        <c:lblOffset val="100"/>
        <c:noMultiLvlLbl val="0"/>
      </c:catAx>
      <c:valAx>
        <c:axId val="452626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Taxes and Fees</a:t>
                </a:r>
              </a:p>
            </c:rich>
          </c:tx>
          <c:layout>
            <c:manualLayout>
              <c:xMode val="edge"/>
              <c:yMode val="edge"/>
              <c:x val="1.8402342116269343E-2"/>
              <c:y val="0.35578885972586766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45262476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layout>
        <c:manualLayout>
          <c:xMode val="edge"/>
          <c:yMode val="edge"/>
          <c:x val="0.72460098071178991"/>
          <c:y val="1.5761883931175273E-2"/>
          <c:w val="0.22688375370895447"/>
          <c:h val="0.130397346165062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Jobs Impacted by CAV Technologies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815449138896554E-2"/>
          <c:y val="9.854723935681324E-2"/>
          <c:w val="0.88635912728807731"/>
          <c:h val="0.78567592408349674"/>
        </c:manualLayout>
      </c:layout>
      <c:lineChart>
        <c:grouping val="standard"/>
        <c:varyColors val="0"/>
        <c:ser>
          <c:idx val="0"/>
          <c:order val="0"/>
          <c:tx>
            <c:v>Jobs Lost</c:v>
          </c:tx>
          <c:marker>
            <c:symbol val="none"/>
          </c:marker>
          <c:cat>
            <c:numRef>
              <c:f>Jobs!$B$8:$B$60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Jobs!$R$8:$R$60</c:f>
              <c:numCache>
                <c:formatCode>_(* #,##0_);_(* \(#,##0\);_(* "-"??_);_(@_)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855.2039301442851</c:v>
                </c:pt>
                <c:pt idx="9">
                  <c:v>2141.6641203841705</c:v>
                </c:pt>
                <c:pt idx="10">
                  <c:v>3616.2564031821075</c:v>
                </c:pt>
                <c:pt idx="11">
                  <c:v>5304.7359011099543</c:v>
                </c:pt>
                <c:pt idx="12">
                  <c:v>7236.024438267038</c:v>
                </c:pt>
                <c:pt idx="13">
                  <c:v>9429.3646230703762</c:v>
                </c:pt>
                <c:pt idx="14">
                  <c:v>11915.49577849116</c:v>
                </c:pt>
                <c:pt idx="15">
                  <c:v>14737.457644056603</c:v>
                </c:pt>
                <c:pt idx="16">
                  <c:v>17933.956128095844</c:v>
                </c:pt>
                <c:pt idx="17">
                  <c:v>21545.154132596945</c:v>
                </c:pt>
                <c:pt idx="18">
                  <c:v>25611.352115068734</c:v>
                </c:pt>
                <c:pt idx="19">
                  <c:v>30171.126304606172</c:v>
                </c:pt>
                <c:pt idx="20">
                  <c:v>35251.695365448613</c:v>
                </c:pt>
                <c:pt idx="21">
                  <c:v>40810.474686809415</c:v>
                </c:pt>
                <c:pt idx="22">
                  <c:v>46916.670835867546</c:v>
                </c:pt>
                <c:pt idx="23">
                  <c:v>53570.034581464934</c:v>
                </c:pt>
                <c:pt idx="24">
                  <c:v>60753.696413091384</c:v>
                </c:pt>
                <c:pt idx="25">
                  <c:v>68432.434004527764</c:v>
                </c:pt>
                <c:pt idx="26">
                  <c:v>76552.518111828322</c:v>
                </c:pt>
                <c:pt idx="27">
                  <c:v>85043.491757690848</c:v>
                </c:pt>
                <c:pt idx="28">
                  <c:v>93821.902969513932</c:v>
                </c:pt>
                <c:pt idx="29">
                  <c:v>102796.60388907178</c:v>
                </c:pt>
                <c:pt idx="30">
                  <c:v>111874.87580875609</c:v>
                </c:pt>
                <c:pt idx="31">
                  <c:v>120968.46441250162</c:v>
                </c:pt>
                <c:pt idx="32">
                  <c:v>129998.67210491216</c:v>
                </c:pt>
                <c:pt idx="33">
                  <c:v>138755.85547446692</c:v>
                </c:pt>
                <c:pt idx="34">
                  <c:v>147213.97583282448</c:v>
                </c:pt>
                <c:pt idx="35">
                  <c:v>155428.79863075295</c:v>
                </c:pt>
                <c:pt idx="36">
                  <c:v>163380.23637201</c:v>
                </c:pt>
                <c:pt idx="37">
                  <c:v>171060.38710216479</c:v>
                </c:pt>
                <c:pt idx="38">
                  <c:v>178471.16562008671</c:v>
                </c:pt>
                <c:pt idx="39">
                  <c:v>185621.91521241944</c:v>
                </c:pt>
                <c:pt idx="40">
                  <c:v>192527.2267760653</c:v>
                </c:pt>
                <c:pt idx="41">
                  <c:v>199205.08582308638</c:v>
                </c:pt>
                <c:pt idx="42">
                  <c:v>205675.3866962755</c:v>
                </c:pt>
                <c:pt idx="43">
                  <c:v>211958.8002668905</c:v>
                </c:pt>
                <c:pt idx="44">
                  <c:v>216692.38063636579</c:v>
                </c:pt>
                <c:pt idx="45">
                  <c:v>219942.76634591125</c:v>
                </c:pt>
                <c:pt idx="46">
                  <c:v>223241.90784109989</c:v>
                </c:pt>
                <c:pt idx="47">
                  <c:v>226590.53645871635</c:v>
                </c:pt>
                <c:pt idx="48">
                  <c:v>229989.39450559707</c:v>
                </c:pt>
                <c:pt idx="49">
                  <c:v>233439.23542318103</c:v>
                </c:pt>
                <c:pt idx="50">
                  <c:v>236940.82395452872</c:v>
                </c:pt>
                <c:pt idx="51">
                  <c:v>240494.93631384664</c:v>
                </c:pt>
                <c:pt idx="52">
                  <c:v>244102.36035855435</c:v>
                </c:pt>
              </c:numCache>
            </c:numRef>
          </c:val>
          <c:smooth val="0"/>
        </c:ser>
        <c:ser>
          <c:idx val="1"/>
          <c:order val="1"/>
          <c:tx>
            <c:v>New Jobs</c:v>
          </c:tx>
          <c:marker>
            <c:symbol val="none"/>
          </c:marker>
          <c:cat>
            <c:numRef>
              <c:f>Jobs!$B$8:$B$60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Jobs!$V$8:$V$60</c:f>
              <c:numCache>
                <c:formatCode>_(* #,##0_);_(* \(#,##0\);_(* "-"??_);_(@_)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2052.4894323462845</c:v>
                </c:pt>
                <c:pt idx="9">
                  <c:v>5139.9938889220093</c:v>
                </c:pt>
                <c:pt idx="10">
                  <c:v>8679.0153676370574</c:v>
                </c:pt>
                <c:pt idx="11">
                  <c:v>12731.366162663891</c:v>
                </c:pt>
                <c:pt idx="12">
                  <c:v>17366.458651840891</c:v>
                </c:pt>
                <c:pt idx="13">
                  <c:v>22630.475095368904</c:v>
                </c:pt>
                <c:pt idx="14">
                  <c:v>28597.189868378788</c:v>
                </c:pt>
                <c:pt idx="15">
                  <c:v>35369.898345735848</c:v>
                </c:pt>
                <c:pt idx="16">
                  <c:v>43041.494707430029</c:v>
                </c:pt>
                <c:pt idx="17">
                  <c:v>51708.369918232667</c:v>
                </c:pt>
                <c:pt idx="18">
                  <c:v>61467.245076164967</c:v>
                </c:pt>
                <c:pt idx="19">
                  <c:v>72410.703131054819</c:v>
                </c:pt>
                <c:pt idx="20">
                  <c:v>84604.068877076686</c:v>
                </c:pt>
                <c:pt idx="21">
                  <c:v>97945.139248342617</c:v>
                </c:pt>
                <c:pt idx="22">
                  <c:v>112600.01000608213</c:v>
                </c:pt>
                <c:pt idx="23">
                  <c:v>128568.08299551584</c:v>
                </c:pt>
                <c:pt idx="24">
                  <c:v>145808.87139141932</c:v>
                </c:pt>
                <c:pt idx="25">
                  <c:v>164237.84161086666</c:v>
                </c:pt>
                <c:pt idx="26">
                  <c:v>183726.04346838797</c:v>
                </c:pt>
                <c:pt idx="27">
                  <c:v>204104.38021845804</c:v>
                </c:pt>
                <c:pt idx="28">
                  <c:v>225172.56712683346</c:v>
                </c:pt>
                <c:pt idx="29">
                  <c:v>246711.84933377229</c:v>
                </c:pt>
                <c:pt idx="30">
                  <c:v>268499.70194101462</c:v>
                </c:pt>
                <c:pt idx="31">
                  <c:v>290324.31459000387</c:v>
                </c:pt>
                <c:pt idx="32">
                  <c:v>311996.81305178918</c:v>
                </c:pt>
                <c:pt idx="33">
                  <c:v>333014.05313872063</c:v>
                </c:pt>
                <c:pt idx="34">
                  <c:v>353313.54199877876</c:v>
                </c:pt>
                <c:pt idx="35">
                  <c:v>373029.11671380716</c:v>
                </c:pt>
                <c:pt idx="36">
                  <c:v>392112.56729282404</c:v>
                </c:pt>
                <c:pt idx="37">
                  <c:v>410544.92904519552</c:v>
                </c:pt>
                <c:pt idx="38">
                  <c:v>428330.79748820816</c:v>
                </c:pt>
                <c:pt idx="39">
                  <c:v>445492.59650980664</c:v>
                </c:pt>
                <c:pt idx="40">
                  <c:v>462065.34426255675</c:v>
                </c:pt>
                <c:pt idx="41">
                  <c:v>478092.20597540733</c:v>
                </c:pt>
                <c:pt idx="42">
                  <c:v>493620.92807106121</c:v>
                </c:pt>
                <c:pt idx="43">
                  <c:v>508701.12064053718</c:v>
                </c:pt>
                <c:pt idx="44">
                  <c:v>520061.71352727787</c:v>
                </c:pt>
                <c:pt idx="45">
                  <c:v>527862.63923018705</c:v>
                </c:pt>
                <c:pt idx="46">
                  <c:v>535780.57881863974</c:v>
                </c:pt>
                <c:pt idx="47">
                  <c:v>543817.28750091931</c:v>
                </c:pt>
                <c:pt idx="48">
                  <c:v>551974.54681343294</c:v>
                </c:pt>
                <c:pt idx="49">
                  <c:v>560254.1650156345</c:v>
                </c:pt>
                <c:pt idx="50">
                  <c:v>568657.977490869</c:v>
                </c:pt>
                <c:pt idx="51">
                  <c:v>577187.84715323197</c:v>
                </c:pt>
                <c:pt idx="52">
                  <c:v>585845.66486053052</c:v>
                </c:pt>
              </c:numCache>
            </c:numRef>
          </c:val>
          <c:smooth val="0"/>
        </c:ser>
        <c:ser>
          <c:idx val="2"/>
          <c:order val="2"/>
          <c:tx>
            <c:v>Net Change</c:v>
          </c:tx>
          <c:marker>
            <c:symbol val="none"/>
          </c:marker>
          <c:cat>
            <c:numRef>
              <c:f>Jobs!$B$8:$B$60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Jobs!$W$8:$W$60</c:f>
              <c:numCache>
                <c:formatCode>_(* #,##0_);_(* \(#,##0\);_(* "-"??_);_(@_)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1197.2855022019994</c:v>
                </c:pt>
                <c:pt idx="9">
                  <c:v>2998.3297685378388</c:v>
                </c:pt>
                <c:pt idx="10">
                  <c:v>5062.7589644549498</c:v>
                </c:pt>
                <c:pt idx="11">
                  <c:v>7426.6302615539371</c:v>
                </c:pt>
                <c:pt idx="12">
                  <c:v>10130.434213573852</c:v>
                </c:pt>
                <c:pt idx="13">
                  <c:v>13201.110472298527</c:v>
                </c:pt>
                <c:pt idx="14">
                  <c:v>16681.694089887627</c:v>
                </c:pt>
                <c:pt idx="15">
                  <c:v>20632.440701679247</c:v>
                </c:pt>
                <c:pt idx="16">
                  <c:v>25107.538579334185</c:v>
                </c:pt>
                <c:pt idx="17">
                  <c:v>30163.215785635723</c:v>
                </c:pt>
                <c:pt idx="18">
                  <c:v>35855.892961096237</c:v>
                </c:pt>
                <c:pt idx="19">
                  <c:v>42239.576826448647</c:v>
                </c:pt>
                <c:pt idx="20">
                  <c:v>49352.373511628073</c:v>
                </c:pt>
                <c:pt idx="21">
                  <c:v>57134.664561533202</c:v>
                </c:pt>
                <c:pt idx="22">
                  <c:v>65683.339170214575</c:v>
                </c:pt>
                <c:pt idx="23">
                  <c:v>74998.048414050907</c:v>
                </c:pt>
                <c:pt idx="24">
                  <c:v>85055.174978327937</c:v>
                </c:pt>
                <c:pt idx="25">
                  <c:v>95805.407606338893</c:v>
                </c:pt>
                <c:pt idx="26">
                  <c:v>107173.52535655965</c:v>
                </c:pt>
                <c:pt idx="27">
                  <c:v>119060.88846076719</c:v>
                </c:pt>
                <c:pt idx="28">
                  <c:v>131350.66415731952</c:v>
                </c:pt>
                <c:pt idx="29">
                  <c:v>143915.24544470053</c:v>
                </c:pt>
                <c:pt idx="30">
                  <c:v>156624.82613225852</c:v>
                </c:pt>
                <c:pt idx="31">
                  <c:v>169355.85017750226</c:v>
                </c:pt>
                <c:pt idx="32">
                  <c:v>181998.14094687701</c:v>
                </c:pt>
                <c:pt idx="33">
                  <c:v>194258.1976642537</c:v>
                </c:pt>
                <c:pt idx="34">
                  <c:v>206099.56616595428</c:v>
                </c:pt>
                <c:pt idx="35">
                  <c:v>217600.31808305421</c:v>
                </c:pt>
                <c:pt idx="36">
                  <c:v>228732.33092081404</c:v>
                </c:pt>
                <c:pt idx="37">
                  <c:v>239484.54194303072</c:v>
                </c:pt>
                <c:pt idx="38">
                  <c:v>249859.63186812145</c:v>
                </c:pt>
                <c:pt idx="39">
                  <c:v>259870.6812973872</c:v>
                </c:pt>
                <c:pt idx="40">
                  <c:v>269538.11748649145</c:v>
                </c:pt>
                <c:pt idx="41">
                  <c:v>278887.12015232095</c:v>
                </c:pt>
                <c:pt idx="42">
                  <c:v>287945.54137478571</c:v>
                </c:pt>
                <c:pt idx="43">
                  <c:v>296742.32037364668</c:v>
                </c:pt>
                <c:pt idx="44">
                  <c:v>303369.33289091208</c:v>
                </c:pt>
                <c:pt idx="45">
                  <c:v>307919.8728842758</c:v>
                </c:pt>
                <c:pt idx="46">
                  <c:v>312538.67097753985</c:v>
                </c:pt>
                <c:pt idx="47">
                  <c:v>317226.75104220293</c:v>
                </c:pt>
                <c:pt idx="48">
                  <c:v>321985.15230783587</c:v>
                </c:pt>
                <c:pt idx="49">
                  <c:v>326814.92959245347</c:v>
                </c:pt>
                <c:pt idx="50">
                  <c:v>331717.15353634028</c:v>
                </c:pt>
                <c:pt idx="51">
                  <c:v>336692.91083938535</c:v>
                </c:pt>
                <c:pt idx="52">
                  <c:v>341743.30450197618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924544"/>
        <c:axId val="452926080"/>
      </c:lineChart>
      <c:catAx>
        <c:axId val="4529245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52926080"/>
        <c:crosses val="autoZero"/>
        <c:auto val="1"/>
        <c:lblAlgn val="ctr"/>
        <c:lblOffset val="100"/>
        <c:tickMarkSkip val="5"/>
        <c:noMultiLvlLbl val="0"/>
      </c:catAx>
      <c:valAx>
        <c:axId val="45292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Jobs Impacted</a:t>
                </a:r>
                <a:r>
                  <a:rPr lang="en-US" baseline="0"/>
                  <a:t> by CAVs</a:t>
                </a:r>
              </a:p>
            </c:rich>
          </c:tx>
          <c:layout>
            <c:manualLayout>
              <c:xMode val="edge"/>
              <c:yMode val="edge"/>
              <c:x val="1.2311586051743532E-2"/>
              <c:y val="0.409971082517747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452924544"/>
        <c:crosses val="autoZero"/>
        <c:crossBetween val="between"/>
        <c:dispUnits>
          <c:builtInUnit val="thousands"/>
          <c:dispUnitsLbl/>
        </c:dispUnits>
      </c:valAx>
    </c:plotArea>
    <c:legend>
      <c:legendPos val="l"/>
      <c:layout>
        <c:manualLayout>
          <c:xMode val="edge"/>
          <c:yMode val="edge"/>
          <c:x val="0.14231257941550191"/>
          <c:y val="0.17581722739203057"/>
          <c:w val="0.13376608079632069"/>
          <c:h val="0.13056255152221496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Skill Levels without CAV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Jobs2!$D$40:$F$40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Jobs2!$D$43:$F$43</c:f>
              <c:numCache>
                <c:formatCode>_(* #,##0_);_(* \(#,##0\);_(* "-"??_);_(@_)</c:formatCode>
                <c:ptCount val="3"/>
                <c:pt idx="0">
                  <c:v>253495.19199447852</c:v>
                </c:pt>
                <c:pt idx="1">
                  <c:v>107978.9884037064</c:v>
                </c:pt>
                <c:pt idx="2">
                  <c:v>393997.97208604828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Impacted Jobs by Skill</a:t>
            </a:r>
            <a:r>
              <a:rPr lang="en-US" baseline="0"/>
              <a:t> Level</a:t>
            </a:r>
            <a:endParaRPr lang="en-US"/>
          </a:p>
        </c:rich>
      </c:tx>
      <c:layout>
        <c:manualLayout>
          <c:xMode val="edge"/>
          <c:yMode val="edge"/>
          <c:x val="0.19286659114067453"/>
          <c:y val="2.0752266953676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4163926894909"/>
          <c:y val="0.15325240594925635"/>
          <c:w val="0.85548115058128082"/>
          <c:h val="0.6974110527850685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CAVs</c:v>
          </c:tx>
          <c:invertIfNegative val="0"/>
          <c:cat>
            <c:strRef>
              <c:f>(Jobs2!$D$40:$F$40,Jobs2!$H$40:$J$40)</c:f>
              <c:strCache>
                <c:ptCount val="6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Low</c:v>
                </c:pt>
                <c:pt idx="4">
                  <c:v>Medium</c:v>
                </c:pt>
                <c:pt idx="5">
                  <c:v>High</c:v>
                </c:pt>
              </c:strCache>
            </c:strRef>
          </c:cat>
          <c:val>
            <c:numRef>
              <c:f>(Jobs2!$D$41:$F$41,Jobs2!$H$41:$J$41)</c:f>
              <c:numCache>
                <c:formatCode>_(* #,##0_);_(* \(#,##0\);_(* "-"??_);_(@_)</c:formatCode>
                <c:ptCount val="6"/>
                <c:pt idx="0">
                  <c:v>229586.23878783945</c:v>
                </c:pt>
                <c:pt idx="1">
                  <c:v>104758.33976339603</c:v>
                </c:pt>
                <c:pt idx="2">
                  <c:v>119179.86495572179</c:v>
                </c:pt>
                <c:pt idx="3">
                  <c:v>23908.953206639078</c:v>
                </c:pt>
                <c:pt idx="4">
                  <c:v>3220.6486403103731</c:v>
                </c:pt>
                <c:pt idx="5">
                  <c:v>274818.10713032651</c:v>
                </c:pt>
              </c:numCache>
            </c:numRef>
          </c:val>
        </c:ser>
        <c:ser>
          <c:idx val="1"/>
          <c:order val="1"/>
          <c:tx>
            <c:v>With CAVs</c:v>
          </c:tx>
          <c:invertIfNegative val="0"/>
          <c:cat>
            <c:strRef>
              <c:f>(Jobs2!$D$40:$F$40,Jobs2!$H$40:$J$40)</c:f>
              <c:strCache>
                <c:ptCount val="6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Low</c:v>
                </c:pt>
                <c:pt idx="4">
                  <c:v>Medium</c:v>
                </c:pt>
                <c:pt idx="5">
                  <c:v>High</c:v>
                </c:pt>
              </c:strCache>
            </c:strRef>
          </c:cat>
          <c:val>
            <c:numRef>
              <c:f>(Jobs2!$X$41:$Z$41,Jobs2!$AB$41:$AD$41)</c:f>
              <c:numCache>
                <c:formatCode>_(* #,##0_);_(* \(#,##0\);_(* "-"??_);_(@_)</c:formatCode>
                <c:ptCount val="6"/>
                <c:pt idx="0">
                  <c:v>172622.03111290809</c:v>
                </c:pt>
                <c:pt idx="1">
                  <c:v>74356.075979303714</c:v>
                </c:pt>
                <c:pt idx="2">
                  <c:v>85577.872002243821</c:v>
                </c:pt>
                <c:pt idx="3">
                  <c:v>46897.537805584849</c:v>
                </c:pt>
                <c:pt idx="4">
                  <c:v>6317.3192929885354</c:v>
                </c:pt>
                <c:pt idx="5">
                  <c:v>539057.16646870645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983424"/>
        <c:axId val="453001984"/>
      </c:barChart>
      <c:catAx>
        <c:axId val="45298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Losers                                                                    Winners</a:t>
                </a:r>
              </a:p>
            </c:rich>
          </c:tx>
          <c:overlay val="0"/>
        </c:title>
        <c:majorTickMark val="out"/>
        <c:minorTickMark val="none"/>
        <c:tickLblPos val="nextTo"/>
        <c:crossAx val="453001984"/>
        <c:crosses val="autoZero"/>
        <c:auto val="1"/>
        <c:lblAlgn val="ctr"/>
        <c:lblOffset val="100"/>
        <c:noMultiLvlLbl val="0"/>
      </c:catAx>
      <c:valAx>
        <c:axId val="45300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Jobs Impacted by CAVs</a:t>
                </a:r>
              </a:p>
            </c:rich>
          </c:tx>
          <c:layout>
            <c:manualLayout>
              <c:xMode val="edge"/>
              <c:yMode val="edge"/>
              <c:x val="1.4068694850616089E-2"/>
              <c:y val="0.421504414077989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452983424"/>
        <c:crosses val="autoZero"/>
        <c:crossBetween val="between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72460098071178991"/>
          <c:y val="1.5761883931175273E-2"/>
          <c:w val="0.22688375370895447"/>
          <c:h val="0.130397346165062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Skill Levels with CAV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Jobs2!$X$40:$Z$40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Jobs2!$X$43:$Z$43</c:f>
              <c:numCache>
                <c:formatCode>_(* #,##0_);_(* \(#,##0\);_(* "-"??_);_(@_)</c:formatCode>
                <c:ptCount val="3"/>
                <c:pt idx="0">
                  <c:v>219519.56891849294</c:v>
                </c:pt>
                <c:pt idx="1">
                  <c:v>80673.395272292255</c:v>
                </c:pt>
                <c:pt idx="2">
                  <c:v>624635.03847095021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Managed Cube Space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Curb!$C$4</c:f>
              <c:strCache>
                <c:ptCount val="1"/>
                <c:pt idx="0">
                  <c:v>Downtown Peak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Curb!$D$4</c:f>
              <c:strCache>
                <c:ptCount val="1"/>
                <c:pt idx="0">
                  <c:v>Downtown Offpeak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Curb!$D$5:$D$57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Curb!$E$4</c:f>
              <c:strCache>
                <c:ptCount val="1"/>
                <c:pt idx="0">
                  <c:v>Urban Peak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Curb!$E$5:$E$57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Curb!$F$4</c:f>
              <c:strCache>
                <c:ptCount val="1"/>
                <c:pt idx="0">
                  <c:v>Urban Offpeak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Curb!$F$5:$F$57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Curb!$G$4</c:f>
              <c:strCache>
                <c:ptCount val="1"/>
                <c:pt idx="0">
                  <c:v>Suburban Business Peak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Curb!$G$5:$G$57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Curb!$H$4</c:f>
              <c:strCache>
                <c:ptCount val="1"/>
                <c:pt idx="0">
                  <c:v>Suburban Business Offpeak</c:v>
                </c:pt>
              </c:strCache>
            </c:strRef>
          </c:tx>
          <c:marker>
            <c:symbol val="none"/>
          </c:marker>
          <c:val>
            <c:numRef>
              <c:f>Curb!$H$5:$H$57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23200"/>
        <c:axId val="282075136"/>
      </c:lineChart>
      <c:catAx>
        <c:axId val="282323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82075136"/>
        <c:crosses val="autoZero"/>
        <c:auto val="1"/>
        <c:lblAlgn val="ctr"/>
        <c:lblOffset val="100"/>
        <c:tickMarkSkip val="5"/>
        <c:noMultiLvlLbl val="0"/>
      </c:catAx>
      <c:valAx>
        <c:axId val="282075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23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Managed Curb Space by Area Type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Curb!$J$4</c:f>
              <c:strCache>
                <c:ptCount val="1"/>
                <c:pt idx="0">
                  <c:v>Downtown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Curb!$J$5:$J$57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Curb!$K$4</c:f>
              <c:strCache>
                <c:ptCount val="1"/>
                <c:pt idx="0">
                  <c:v>Urban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Curb!$K$5:$K$57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Curb!$L$4</c:f>
              <c:strCache>
                <c:ptCount val="1"/>
                <c:pt idx="0">
                  <c:v>Suburban Business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Curb!$L$5:$L$57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Curb!$M$4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Curb!$M$5:$M$57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Curb!$N$4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Curb!$N$5:$N$57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106880"/>
        <c:axId val="282116864"/>
      </c:lineChart>
      <c:catAx>
        <c:axId val="282106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82116864"/>
        <c:crosses val="autoZero"/>
        <c:auto val="1"/>
        <c:lblAlgn val="ctr"/>
        <c:lblOffset val="100"/>
        <c:tickMarkSkip val="5"/>
        <c:noMultiLvlLbl val="0"/>
      </c:catAx>
      <c:valAx>
        <c:axId val="282116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210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Area with VMT Pricing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VMT_fee!$C$4</c:f>
              <c:strCache>
                <c:ptCount val="1"/>
                <c:pt idx="0">
                  <c:v>Downtown Peak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VMT_fee!$D$4</c:f>
              <c:strCache>
                <c:ptCount val="1"/>
                <c:pt idx="0">
                  <c:v>Downtown Offpeak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VMT_fee!$D$5:$D$57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VMT_fee!$E$4</c:f>
              <c:strCache>
                <c:ptCount val="1"/>
                <c:pt idx="0">
                  <c:v>Urban Peak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VMT_fee!$E$5:$E$57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VMT_fee!$F$4</c:f>
              <c:strCache>
                <c:ptCount val="1"/>
                <c:pt idx="0">
                  <c:v>Urban Offpeak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VMT_fee!$F$5:$F$57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VMT_fee!$G$4</c:f>
              <c:strCache>
                <c:ptCount val="1"/>
                <c:pt idx="0">
                  <c:v>Suburban Business peak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VMT_fee!$G$5:$G$57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VMT_fee!$H$4</c:f>
              <c:strCache>
                <c:ptCount val="1"/>
                <c:pt idx="0">
                  <c:v>Suburban Business Offpeak</c:v>
                </c:pt>
              </c:strCache>
            </c:strRef>
          </c:tx>
          <c:marker>
            <c:symbol val="none"/>
          </c:marker>
          <c:val>
            <c:numRef>
              <c:f>VMT_fee!$H$5:$H$57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VMT_fee!$I$4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val>
            <c:numRef>
              <c:f>VMT_fee!$I$5:$I$57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VMT_fee!$J$4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val>
            <c:numRef>
              <c:f>VMT_fee!$J$5:$J$57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526848"/>
        <c:axId val="282528384"/>
      </c:lineChart>
      <c:catAx>
        <c:axId val="282526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82528384"/>
        <c:crosses val="autoZero"/>
        <c:auto val="1"/>
        <c:lblAlgn val="ctr"/>
        <c:lblOffset val="100"/>
        <c:tickMarkSkip val="5"/>
        <c:noMultiLvlLbl val="0"/>
      </c:catAx>
      <c:valAx>
        <c:axId val="2825283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252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Area Type with VMT Pricing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VMT_fee!$L$4</c:f>
              <c:strCache>
                <c:ptCount val="1"/>
                <c:pt idx="0">
                  <c:v>Downtown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VMT_fee!$L$5:$L$57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VMT_fee!$M$4</c:f>
              <c:strCache>
                <c:ptCount val="1"/>
                <c:pt idx="0">
                  <c:v>Urban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VMT_fee!$M$5:$M$57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VMT_fee!$N$4</c:f>
              <c:strCache>
                <c:ptCount val="1"/>
                <c:pt idx="0">
                  <c:v>Suburban Business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VMT_fee!$N$5:$N$57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VMT_fee!$O$4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VMT_fee!$O$5:$O$57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VMT_fee!$P$4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VMT_fee!$P$5:$P$57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580480"/>
        <c:axId val="282582016"/>
      </c:lineChart>
      <c:catAx>
        <c:axId val="2825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2582016"/>
        <c:crosses val="autoZero"/>
        <c:auto val="1"/>
        <c:lblAlgn val="ctr"/>
        <c:lblOffset val="100"/>
        <c:noMultiLvlLbl val="0"/>
      </c:catAx>
      <c:valAx>
        <c:axId val="282582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258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Electronic Vehicle Insentive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287984496594077"/>
          <c:y val="0.13388367853505964"/>
          <c:w val="0.85273895294838964"/>
          <c:h val="0.71413522154529918"/>
        </c:manualLayout>
      </c:layout>
      <c:lineChart>
        <c:grouping val="standard"/>
        <c:varyColors val="0"/>
        <c:ser>
          <c:idx val="0"/>
          <c:order val="0"/>
          <c:tx>
            <c:strRef>
              <c:f>EV!$C$4</c:f>
              <c:strCache>
                <c:ptCount val="1"/>
                <c:pt idx="0">
                  <c:v>Incentive</c:v>
                </c:pt>
              </c:strCache>
            </c:strRef>
          </c:tx>
          <c:marker>
            <c:symbol val="none"/>
          </c:marker>
          <c:cat>
            <c:numRef>
              <c:f>EV!$B$5:$B$57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EV!$C$5:$C$57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  <c:pt idx="39">
                  <c:v>1.05</c:v>
                </c:pt>
                <c:pt idx="40">
                  <c:v>1.05</c:v>
                </c:pt>
                <c:pt idx="41">
                  <c:v>1.05</c:v>
                </c:pt>
                <c:pt idx="42">
                  <c:v>1.05</c:v>
                </c:pt>
                <c:pt idx="43">
                  <c:v>1.05</c:v>
                </c:pt>
                <c:pt idx="44">
                  <c:v>1.05</c:v>
                </c:pt>
                <c:pt idx="45">
                  <c:v>1.05</c:v>
                </c:pt>
                <c:pt idx="46">
                  <c:v>1.05</c:v>
                </c:pt>
                <c:pt idx="47">
                  <c:v>1.05</c:v>
                </c:pt>
                <c:pt idx="48">
                  <c:v>1.05</c:v>
                </c:pt>
                <c:pt idx="49">
                  <c:v>1.05</c:v>
                </c:pt>
                <c:pt idx="50">
                  <c:v>1.05</c:v>
                </c:pt>
                <c:pt idx="51">
                  <c:v>1.05</c:v>
                </c:pt>
                <c:pt idx="52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89664"/>
        <c:axId val="405222912"/>
      </c:lineChart>
      <c:catAx>
        <c:axId val="405089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222912"/>
        <c:crosses val="autoZero"/>
        <c:auto val="1"/>
        <c:lblAlgn val="ctr"/>
        <c:lblOffset val="100"/>
        <c:tickMarkSkip val="5"/>
        <c:noMultiLvlLbl val="0"/>
      </c:catAx>
      <c:valAx>
        <c:axId val="40522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Impact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405089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87753716075691"/>
          <c:y val="0.50841212036890926"/>
          <c:w val="0.14190359884902526"/>
          <c:h val="0.17620376198237703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3</xdr:row>
      <xdr:rowOff>80961</xdr:rowOff>
    </xdr:from>
    <xdr:to>
      <xdr:col>15</xdr:col>
      <xdr:colOff>419100</xdr:colOff>
      <xdr:row>23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71437</xdr:rowOff>
    </xdr:from>
    <xdr:to>
      <xdr:col>20</xdr:col>
      <xdr:colOff>371475</xdr:colOff>
      <xdr:row>23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7</xdr:row>
      <xdr:rowOff>100012</xdr:rowOff>
    </xdr:from>
    <xdr:to>
      <xdr:col>21</xdr:col>
      <xdr:colOff>66675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31</xdr:row>
      <xdr:rowOff>138111</xdr:rowOff>
    </xdr:from>
    <xdr:to>
      <xdr:col>21</xdr:col>
      <xdr:colOff>57149</xdr:colOff>
      <xdr:row>52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280986</xdr:colOff>
      <xdr:row>1</xdr:row>
      <xdr:rowOff>47625</xdr:rowOff>
    </xdr:from>
    <xdr:to>
      <xdr:col>24</xdr:col>
      <xdr:colOff>314325</xdr:colOff>
      <xdr:row>33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34</xdr:row>
      <xdr:rowOff>9525</xdr:rowOff>
    </xdr:from>
    <xdr:to>
      <xdr:col>24</xdr:col>
      <xdr:colOff>328614</xdr:colOff>
      <xdr:row>61</xdr:row>
      <xdr:rowOff>100012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2</xdr:row>
      <xdr:rowOff>147636</xdr:rowOff>
    </xdr:from>
    <xdr:to>
      <xdr:col>11</xdr:col>
      <xdr:colOff>114300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2</xdr:row>
      <xdr:rowOff>142875</xdr:rowOff>
    </xdr:from>
    <xdr:to>
      <xdr:col>15</xdr:col>
      <xdr:colOff>533400</xdr:colOff>
      <xdr:row>16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2</xdr:row>
      <xdr:rowOff>142875</xdr:rowOff>
    </xdr:from>
    <xdr:to>
      <xdr:col>20</xdr:col>
      <xdr:colOff>409575</xdr:colOff>
      <xdr:row>16</xdr:row>
      <xdr:rowOff>71438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247650</xdr:colOff>
      <xdr:row>17</xdr:row>
      <xdr:rowOff>23812</xdr:rowOff>
    </xdr:from>
    <xdr:to>
      <xdr:col>20</xdr:col>
      <xdr:colOff>400050</xdr:colOff>
      <xdr:row>31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3</xdr:row>
      <xdr:rowOff>71437</xdr:rowOff>
    </xdr:from>
    <xdr:to>
      <xdr:col>12</xdr:col>
      <xdr:colOff>457200</xdr:colOff>
      <xdr:row>22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2</xdr:row>
      <xdr:rowOff>147636</xdr:rowOff>
    </xdr:from>
    <xdr:to>
      <xdr:col>11</xdr:col>
      <xdr:colOff>114300</xdr:colOff>
      <xdr:row>25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2</xdr:row>
      <xdr:rowOff>142875</xdr:rowOff>
    </xdr:from>
    <xdr:to>
      <xdr:col>15</xdr:col>
      <xdr:colOff>533400</xdr:colOff>
      <xdr:row>16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2</xdr:row>
      <xdr:rowOff>142875</xdr:rowOff>
    </xdr:from>
    <xdr:to>
      <xdr:col>20</xdr:col>
      <xdr:colOff>409575</xdr:colOff>
      <xdr:row>16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17</xdr:row>
      <xdr:rowOff>23812</xdr:rowOff>
    </xdr:from>
    <xdr:to>
      <xdr:col>17</xdr:col>
      <xdr:colOff>238125</xdr:colOff>
      <xdr:row>31</xdr:row>
      <xdr:rowOff>90487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295274</xdr:colOff>
      <xdr:row>17</xdr:row>
      <xdr:rowOff>19050</xdr:rowOff>
    </xdr:from>
    <xdr:to>
      <xdr:col>20</xdr:col>
      <xdr:colOff>400049</xdr:colOff>
      <xdr:row>31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11</xdr:row>
      <xdr:rowOff>28575</xdr:rowOff>
    </xdr:from>
    <xdr:to>
      <xdr:col>17</xdr:col>
      <xdr:colOff>304800</xdr:colOff>
      <xdr:row>33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2</xdr:row>
      <xdr:rowOff>147636</xdr:rowOff>
    </xdr:from>
    <xdr:to>
      <xdr:col>11</xdr:col>
      <xdr:colOff>114300</xdr:colOff>
      <xdr:row>25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2</xdr:row>
      <xdr:rowOff>142875</xdr:rowOff>
    </xdr:from>
    <xdr:to>
      <xdr:col>15</xdr:col>
      <xdr:colOff>533400</xdr:colOff>
      <xdr:row>16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2</xdr:row>
      <xdr:rowOff>142875</xdr:rowOff>
    </xdr:from>
    <xdr:to>
      <xdr:col>20</xdr:col>
      <xdr:colOff>409575</xdr:colOff>
      <xdr:row>16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247650</xdr:colOff>
      <xdr:row>16</xdr:row>
      <xdr:rowOff>166687</xdr:rowOff>
    </xdr:from>
    <xdr:to>
      <xdr:col>20</xdr:col>
      <xdr:colOff>400050</xdr:colOff>
      <xdr:row>31</xdr:row>
      <xdr:rowOff>42862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15</xdr:row>
      <xdr:rowOff>47624</xdr:rowOff>
    </xdr:from>
    <xdr:to>
      <xdr:col>17</xdr:col>
      <xdr:colOff>238125</xdr:colOff>
      <xdr:row>32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2</xdr:row>
      <xdr:rowOff>147636</xdr:rowOff>
    </xdr:from>
    <xdr:to>
      <xdr:col>11</xdr:col>
      <xdr:colOff>114300</xdr:colOff>
      <xdr:row>25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2</xdr:row>
      <xdr:rowOff>142875</xdr:rowOff>
    </xdr:from>
    <xdr:to>
      <xdr:col>15</xdr:col>
      <xdr:colOff>533400</xdr:colOff>
      <xdr:row>16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2</xdr:row>
      <xdr:rowOff>142875</xdr:rowOff>
    </xdr:from>
    <xdr:to>
      <xdr:col>20</xdr:col>
      <xdr:colOff>409575</xdr:colOff>
      <xdr:row>16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247650</xdr:colOff>
      <xdr:row>16</xdr:row>
      <xdr:rowOff>166687</xdr:rowOff>
    </xdr:from>
    <xdr:to>
      <xdr:col>20</xdr:col>
      <xdr:colOff>400050</xdr:colOff>
      <xdr:row>31</xdr:row>
      <xdr:rowOff>42862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100012</xdr:rowOff>
    </xdr:from>
    <xdr:to>
      <xdr:col>21</xdr:col>
      <xdr:colOff>171450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</xdr:row>
      <xdr:rowOff>142875</xdr:rowOff>
    </xdr:from>
    <xdr:to>
      <xdr:col>8</xdr:col>
      <xdr:colOff>409575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2</xdr:row>
      <xdr:rowOff>152400</xdr:rowOff>
    </xdr:from>
    <xdr:to>
      <xdr:col>15</xdr:col>
      <xdr:colOff>609600</xdr:colOff>
      <xdr:row>15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523875</xdr:colOff>
      <xdr:row>15</xdr:row>
      <xdr:rowOff>176212</xdr:rowOff>
    </xdr:from>
    <xdr:to>
      <xdr:col>16</xdr:col>
      <xdr:colOff>19050</xdr:colOff>
      <xdr:row>26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</xdr:row>
      <xdr:rowOff>0</xdr:rowOff>
    </xdr:from>
    <xdr:to>
      <xdr:col>8</xdr:col>
      <xdr:colOff>409575</xdr:colOff>
      <xdr:row>29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2</xdr:row>
      <xdr:rowOff>4762</xdr:rowOff>
    </xdr:from>
    <xdr:to>
      <xdr:col>13</xdr:col>
      <xdr:colOff>9525</xdr:colOff>
      <xdr:row>16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2</xdr:row>
      <xdr:rowOff>9525</xdr:rowOff>
    </xdr:from>
    <xdr:to>
      <xdr:col>18</xdr:col>
      <xdr:colOff>238125</xdr:colOff>
      <xdr:row>16</xdr:row>
      <xdr:rowOff>33338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457198</xdr:colOff>
      <xdr:row>16</xdr:row>
      <xdr:rowOff>109537</xdr:rowOff>
    </xdr:from>
    <xdr:to>
      <xdr:col>18</xdr:col>
      <xdr:colOff>276224</xdr:colOff>
      <xdr:row>35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</xdr:row>
      <xdr:rowOff>0</xdr:rowOff>
    </xdr:from>
    <xdr:to>
      <xdr:col>8</xdr:col>
      <xdr:colOff>409575</xdr:colOff>
      <xdr:row>29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447676</xdr:colOff>
      <xdr:row>2</xdr:row>
      <xdr:rowOff>4762</xdr:rowOff>
    </xdr:from>
    <xdr:to>
      <xdr:col>11</xdr:col>
      <xdr:colOff>342900</xdr:colOff>
      <xdr:row>16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457197</xdr:colOff>
      <xdr:row>16</xdr:row>
      <xdr:rowOff>109537</xdr:rowOff>
    </xdr:from>
    <xdr:to>
      <xdr:col>14</xdr:col>
      <xdr:colOff>514350</xdr:colOff>
      <xdr:row>35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361951</xdr:colOff>
      <xdr:row>2</xdr:row>
      <xdr:rowOff>9525</xdr:rowOff>
    </xdr:from>
    <xdr:to>
      <xdr:col>14</xdr:col>
      <xdr:colOff>504825</xdr:colOff>
      <xdr:row>16</xdr:row>
      <xdr:rowOff>33338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10</xdr:row>
      <xdr:rowOff>109536</xdr:rowOff>
    </xdr:from>
    <xdr:to>
      <xdr:col>15</xdr:col>
      <xdr:colOff>419100</xdr:colOff>
      <xdr:row>31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3</xdr:row>
      <xdr:rowOff>185736</xdr:rowOff>
    </xdr:from>
    <xdr:to>
      <xdr:col>15</xdr:col>
      <xdr:colOff>590550</xdr:colOff>
      <xdr:row>24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3</xdr:row>
      <xdr:rowOff>757237</xdr:rowOff>
    </xdr:from>
    <xdr:to>
      <xdr:col>26</xdr:col>
      <xdr:colOff>409575</xdr:colOff>
      <xdr:row>26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352424</xdr:colOff>
      <xdr:row>28</xdr:row>
      <xdr:rowOff>109537</xdr:rowOff>
    </xdr:from>
    <xdr:to>
      <xdr:col>26</xdr:col>
      <xdr:colOff>438149</xdr:colOff>
      <xdr:row>48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9</xdr:row>
      <xdr:rowOff>52387</xdr:rowOff>
    </xdr:from>
    <xdr:to>
      <xdr:col>23</xdr:col>
      <xdr:colOff>142875</xdr:colOff>
      <xdr:row>32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33</xdr:row>
      <xdr:rowOff>61911</xdr:rowOff>
    </xdr:from>
    <xdr:to>
      <xdr:col>23</xdr:col>
      <xdr:colOff>219075</xdr:colOff>
      <xdr:row>56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1</xdr:row>
      <xdr:rowOff>185736</xdr:rowOff>
    </xdr:from>
    <xdr:to>
      <xdr:col>16</xdr:col>
      <xdr:colOff>447675</xdr:colOff>
      <xdr:row>22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5</xdr:row>
      <xdr:rowOff>42862</xdr:rowOff>
    </xdr:from>
    <xdr:to>
      <xdr:col>23</xdr:col>
      <xdr:colOff>38100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29</xdr:row>
      <xdr:rowOff>23812</xdr:rowOff>
    </xdr:from>
    <xdr:to>
      <xdr:col>23</xdr:col>
      <xdr:colOff>38100</xdr:colOff>
      <xdr:row>53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71437</xdr:rowOff>
    </xdr:from>
    <xdr:to>
      <xdr:col>20</xdr:col>
      <xdr:colOff>371475</xdr:colOff>
      <xdr:row>23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B43" sqref="B43"/>
    </sheetView>
  </sheetViews>
  <sheetFormatPr defaultRowHeight="15" x14ac:dyDescent="0.25"/>
  <cols>
    <col min="1" max="1" width="25.7109375" bestFit="1" customWidth="1"/>
    <col min="2" max="2" width="27.85546875" bestFit="1" customWidth="1"/>
    <col min="3" max="3" width="20.140625" bestFit="1" customWidth="1"/>
  </cols>
  <sheetData>
    <row r="2" spans="1:3" x14ac:dyDescent="0.25">
      <c r="A2" s="7" t="s">
        <v>371</v>
      </c>
      <c r="B2" s="7" t="s">
        <v>373</v>
      </c>
      <c r="C2" s="7" t="s">
        <v>372</v>
      </c>
    </row>
    <row r="3" spans="1:3" x14ac:dyDescent="0.25">
      <c r="A3" t="s">
        <v>141</v>
      </c>
      <c r="B3" t="s">
        <v>375</v>
      </c>
      <c r="C3" t="s">
        <v>374</v>
      </c>
    </row>
    <row r="4" spans="1:3" x14ac:dyDescent="0.25">
      <c r="A4" t="s">
        <v>376</v>
      </c>
      <c r="B4" t="s">
        <v>377</v>
      </c>
      <c r="C4" t="s">
        <v>377</v>
      </c>
    </row>
    <row r="5" spans="1:3" x14ac:dyDescent="0.25">
      <c r="A5" t="s">
        <v>378</v>
      </c>
      <c r="B5" t="s">
        <v>379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57"/>
  <sheetViews>
    <sheetView workbookViewId="0">
      <selection activeCell="I22" sqref="I22"/>
    </sheetView>
  </sheetViews>
  <sheetFormatPr defaultRowHeight="15" x14ac:dyDescent="0.25"/>
  <cols>
    <col min="1" max="1" width="9.7109375" customWidth="1"/>
    <col min="2" max="2" width="11.140625" customWidth="1"/>
    <col min="3" max="3" width="10.42578125" customWidth="1"/>
    <col min="4" max="4" width="11.42578125" customWidth="1"/>
    <col min="5" max="5" width="9.7109375" customWidth="1"/>
    <col min="6" max="6" width="9.140625" customWidth="1"/>
    <col min="7" max="7" width="11" customWidth="1"/>
    <col min="8" max="8" width="10.28515625" customWidth="1"/>
    <col min="9" max="9" width="11" customWidth="1"/>
    <col min="10" max="10" width="10.28515625" customWidth="1"/>
    <col min="12" max="12" width="10.7109375" customWidth="1"/>
    <col min="14" max="14" width="9.7109375" customWidth="1"/>
    <col min="15" max="15" width="11" customWidth="1"/>
  </cols>
  <sheetData>
    <row r="1" spans="1:20" ht="15.75" x14ac:dyDescent="0.25">
      <c r="A1" s="26" t="s">
        <v>148</v>
      </c>
    </row>
    <row r="2" spans="1:20" x14ac:dyDescent="0.25">
      <c r="A2" s="36" t="s">
        <v>106</v>
      </c>
      <c r="B2" s="36" t="s">
        <v>151</v>
      </c>
      <c r="C2" s="37">
        <f>City!B16</f>
        <v>0.35</v>
      </c>
      <c r="D2" s="38">
        <f>City!B17</f>
        <v>0.65</v>
      </c>
      <c r="E2" s="38">
        <f>City!B16</f>
        <v>0.35</v>
      </c>
      <c r="F2" s="38">
        <f>City!B17</f>
        <v>0.65</v>
      </c>
      <c r="G2" s="38">
        <f>City!B16</f>
        <v>0.35</v>
      </c>
      <c r="H2" s="38">
        <f>City!B17</f>
        <v>0.65</v>
      </c>
      <c r="I2" s="38">
        <f>City!B15</f>
        <v>1</v>
      </c>
      <c r="J2" s="38">
        <f>City!B15</f>
        <v>1</v>
      </c>
    </row>
    <row r="3" spans="1:20" x14ac:dyDescent="0.25">
      <c r="A3" s="35" t="s">
        <v>106</v>
      </c>
      <c r="B3" s="12" t="s">
        <v>150</v>
      </c>
      <c r="C3" s="27">
        <f>City!B10</f>
        <v>0.1</v>
      </c>
      <c r="D3" s="27">
        <f>City!B10</f>
        <v>0.1</v>
      </c>
      <c r="E3" s="27">
        <f>City!B11</f>
        <v>0.25</v>
      </c>
      <c r="F3" s="27">
        <f>City!B11</f>
        <v>0.25</v>
      </c>
      <c r="G3" s="27">
        <f>City!B12</f>
        <v>0.1</v>
      </c>
      <c r="H3" s="27">
        <f>City!B12</f>
        <v>0.1</v>
      </c>
      <c r="I3" s="27">
        <f>City!B13</f>
        <v>0.4</v>
      </c>
      <c r="J3" s="27">
        <f>City!B14</f>
        <v>0.15</v>
      </c>
      <c r="T3" s="171" t="s">
        <v>369</v>
      </c>
    </row>
    <row r="4" spans="1:20" ht="45" x14ac:dyDescent="0.25">
      <c r="B4" s="21" t="s">
        <v>97</v>
      </c>
      <c r="C4" s="91" t="s">
        <v>214</v>
      </c>
      <c r="D4" s="91" t="s">
        <v>215</v>
      </c>
      <c r="E4" s="32" t="s">
        <v>54</v>
      </c>
      <c r="F4" s="32" t="s">
        <v>55</v>
      </c>
      <c r="G4" s="32" t="s">
        <v>149</v>
      </c>
      <c r="H4" s="32" t="s">
        <v>57</v>
      </c>
      <c r="I4" s="32" t="s">
        <v>20</v>
      </c>
      <c r="J4" s="32" t="s">
        <v>42</v>
      </c>
      <c r="K4" s="124" t="s">
        <v>136</v>
      </c>
      <c r="L4" s="104" t="str">
        <f>City!$A$10</f>
        <v>Downtown</v>
      </c>
      <c r="M4" s="104" t="str">
        <f>City!$A$11</f>
        <v>Urban</v>
      </c>
      <c r="N4" s="103" t="str">
        <f>City!$A$12</f>
        <v>Suburban Business</v>
      </c>
      <c r="O4" s="103" t="str">
        <f>City!$A$13</f>
        <v>Suburban Residential</v>
      </c>
      <c r="P4" s="79" t="str">
        <f>City!$A$14</f>
        <v>Rural</v>
      </c>
    </row>
    <row r="5" spans="1:20" x14ac:dyDescent="0.25">
      <c r="A5">
        <v>1</v>
      </c>
      <c r="B5">
        <f>City!B3</f>
        <v>2018</v>
      </c>
      <c r="C5" s="16">
        <f>MIN(MAX($A5-Inputs!$I$74,0),1)*Inputs!I$75</f>
        <v>0</v>
      </c>
      <c r="D5" s="16">
        <f>MIN(MAX($A5-Inputs!$I$74,0),1)*Inputs!I$76</f>
        <v>0</v>
      </c>
      <c r="E5" s="16">
        <f>MIN(MAX($A5-Inputs!$I$74,0),1)*Inputs!I$77</f>
        <v>0</v>
      </c>
      <c r="F5" s="16">
        <f>MIN(MAX($A5-Inputs!$I$74,0),1)*Inputs!I$78</f>
        <v>0</v>
      </c>
      <c r="G5" s="16">
        <f>MIN(MAX($A5-Inputs!$I$74,0),1)*Inputs!I$79</f>
        <v>0</v>
      </c>
      <c r="H5" s="16">
        <f>MIN(MAX($A5-Inputs!$I$74,0),1)*Inputs!I$80</f>
        <v>0</v>
      </c>
      <c r="I5" s="16">
        <f>MIN(MAX($A5-Inputs!$I$74,0),1)*Inputs!J$81</f>
        <v>0</v>
      </c>
      <c r="J5" s="16">
        <f>MIN(MAX($A5-Inputs!$I$74,0),1)*Inputs!K$82</f>
        <v>0</v>
      </c>
      <c r="K5" s="125">
        <f>SUMPRODUCT(C5:J5,C$3:J$3,C$2:J$2)</f>
        <v>0</v>
      </c>
      <c r="L5" s="13">
        <f>C5*$C$2+D5*$D$2</f>
        <v>0</v>
      </c>
      <c r="M5" s="13">
        <f>E5*$E$2+F5*$F$2</f>
        <v>0</v>
      </c>
      <c r="N5" s="13">
        <f>G5*$G$2+H5*$H$2</f>
        <v>0</v>
      </c>
      <c r="O5" s="13">
        <f>I5</f>
        <v>0</v>
      </c>
      <c r="P5" s="13">
        <f>J5</f>
        <v>0</v>
      </c>
    </row>
    <row r="6" spans="1:20" x14ac:dyDescent="0.25">
      <c r="A6">
        <f>A5+1</f>
        <v>2</v>
      </c>
      <c r="B6">
        <f>B5+1</f>
        <v>2019</v>
      </c>
      <c r="C6" s="16">
        <f>MIN(MAX($A6-Inputs!$I$74,0),1)*Inputs!I$75</f>
        <v>0</v>
      </c>
      <c r="D6" s="16">
        <f>MIN(MAX($A6-Inputs!$I$74,0),1)*Inputs!I$76</f>
        <v>0</v>
      </c>
      <c r="E6" s="16">
        <f>MIN(MAX($A6-Inputs!$I$74,0),1)*Inputs!I$77</f>
        <v>0</v>
      </c>
      <c r="F6" s="16">
        <f>MIN(MAX($A6-Inputs!$I$74,0),1)*Inputs!I$78</f>
        <v>0</v>
      </c>
      <c r="G6" s="16">
        <f>MIN(MAX($A6-Inputs!$I$74,0),1)*Inputs!I$79</f>
        <v>0</v>
      </c>
      <c r="H6" s="16">
        <f>MIN(MAX($A6-Inputs!$I$74,0),1)*Inputs!I$80</f>
        <v>0</v>
      </c>
      <c r="I6" s="16">
        <f>MIN(MAX($A6-Inputs!$I$74,0),1)*Inputs!J$81</f>
        <v>0</v>
      </c>
      <c r="J6" s="16">
        <f>MIN(MAX($A6-Inputs!$I$74,0),1)*Inputs!K$82</f>
        <v>0</v>
      </c>
      <c r="K6" s="125">
        <f t="shared" ref="K6:K57" si="0">SUMPRODUCT(C6:J6,C$3:J$3,C$2:J$2)</f>
        <v>0</v>
      </c>
      <c r="L6" s="13">
        <f t="shared" ref="L6:L57" si="1">C6*$C$2+D6*$D$2</f>
        <v>0</v>
      </c>
      <c r="M6" s="13">
        <f t="shared" ref="M6:M57" si="2">E6*$E$2+F6*$F$2</f>
        <v>0</v>
      </c>
      <c r="N6" s="13">
        <f t="shared" ref="N6:N57" si="3">G6*$G$2+H6*$H$2</f>
        <v>0</v>
      </c>
      <c r="O6" s="13">
        <f t="shared" ref="O6:O57" si="4">I6</f>
        <v>0</v>
      </c>
      <c r="P6" s="13">
        <f t="shared" ref="P6:P57" si="5">J6</f>
        <v>0</v>
      </c>
    </row>
    <row r="7" spans="1:20" x14ac:dyDescent="0.25">
      <c r="A7">
        <f t="shared" ref="A7:B22" si="6">A6+1</f>
        <v>3</v>
      </c>
      <c r="B7">
        <f t="shared" si="6"/>
        <v>2020</v>
      </c>
      <c r="C7" s="16">
        <f>MIN(MAX($A7-Inputs!$I$74,0),1)*Inputs!I$75</f>
        <v>0</v>
      </c>
      <c r="D7" s="16">
        <f>MIN(MAX($A7-Inputs!$I$74,0),1)*Inputs!I$76</f>
        <v>0</v>
      </c>
      <c r="E7" s="16">
        <f>MIN(MAX($A7-Inputs!$I$74,0),1)*Inputs!I$77</f>
        <v>0</v>
      </c>
      <c r="F7" s="16">
        <f>MIN(MAX($A7-Inputs!$I$74,0),1)*Inputs!I$78</f>
        <v>0</v>
      </c>
      <c r="G7" s="16">
        <f>MIN(MAX($A7-Inputs!$I$74,0),1)*Inputs!I$79</f>
        <v>0</v>
      </c>
      <c r="H7" s="16">
        <f>MIN(MAX($A7-Inputs!$I$74,0),1)*Inputs!I$80</f>
        <v>0</v>
      </c>
      <c r="I7" s="16">
        <f>MIN(MAX($A7-Inputs!$I$74,0),1)*Inputs!J$81</f>
        <v>0</v>
      </c>
      <c r="J7" s="16">
        <f>MIN(MAX($A7-Inputs!$I$74,0),1)*Inputs!K$82</f>
        <v>0</v>
      </c>
      <c r="K7" s="125">
        <f t="shared" si="0"/>
        <v>0</v>
      </c>
      <c r="L7" s="13">
        <f t="shared" si="1"/>
        <v>0</v>
      </c>
      <c r="M7" s="13">
        <f t="shared" si="2"/>
        <v>0</v>
      </c>
      <c r="N7" s="13">
        <f t="shared" si="3"/>
        <v>0</v>
      </c>
      <c r="O7" s="13">
        <f t="shared" si="4"/>
        <v>0</v>
      </c>
      <c r="P7" s="13">
        <f t="shared" si="5"/>
        <v>0</v>
      </c>
    </row>
    <row r="8" spans="1:20" x14ac:dyDescent="0.25">
      <c r="A8">
        <f t="shared" si="6"/>
        <v>4</v>
      </c>
      <c r="B8">
        <f t="shared" si="6"/>
        <v>2021</v>
      </c>
      <c r="C8" s="16">
        <f>MIN(MAX($A8-Inputs!$I$74,0),1)*Inputs!I$75</f>
        <v>0</v>
      </c>
      <c r="D8" s="16">
        <f>MIN(MAX($A8-Inputs!$I$74,0),1)*Inputs!I$76</f>
        <v>0</v>
      </c>
      <c r="E8" s="16">
        <f>MIN(MAX($A8-Inputs!$I$74,0),1)*Inputs!I$77</f>
        <v>0</v>
      </c>
      <c r="F8" s="16">
        <f>MIN(MAX($A8-Inputs!$I$74,0),1)*Inputs!I$78</f>
        <v>0</v>
      </c>
      <c r="G8" s="16">
        <f>MIN(MAX($A8-Inputs!$I$74,0),1)*Inputs!I$79</f>
        <v>0</v>
      </c>
      <c r="H8" s="16">
        <f>MIN(MAX($A8-Inputs!$I$74,0),1)*Inputs!I$80</f>
        <v>0</v>
      </c>
      <c r="I8" s="16">
        <f>MIN(MAX($A8-Inputs!$I$74,0),1)*Inputs!J$81</f>
        <v>0</v>
      </c>
      <c r="J8" s="16">
        <f>MIN(MAX($A8-Inputs!$I$74,0),1)*Inputs!K$82</f>
        <v>0</v>
      </c>
      <c r="K8" s="125">
        <f t="shared" si="0"/>
        <v>0</v>
      </c>
      <c r="L8" s="13">
        <f t="shared" si="1"/>
        <v>0</v>
      </c>
      <c r="M8" s="13">
        <f t="shared" si="2"/>
        <v>0</v>
      </c>
      <c r="N8" s="13">
        <f t="shared" si="3"/>
        <v>0</v>
      </c>
      <c r="O8" s="13">
        <f t="shared" si="4"/>
        <v>0</v>
      </c>
      <c r="P8" s="13">
        <f t="shared" si="5"/>
        <v>0</v>
      </c>
    </row>
    <row r="9" spans="1:20" x14ac:dyDescent="0.25">
      <c r="A9">
        <f t="shared" si="6"/>
        <v>5</v>
      </c>
      <c r="B9">
        <f t="shared" si="6"/>
        <v>2022</v>
      </c>
      <c r="C9" s="16">
        <f>MIN(MAX($A9-Inputs!$I$74,0),1)*Inputs!I$75</f>
        <v>0</v>
      </c>
      <c r="D9" s="16">
        <f>MIN(MAX($A9-Inputs!$I$74,0),1)*Inputs!I$76</f>
        <v>0</v>
      </c>
      <c r="E9" s="16">
        <f>MIN(MAX($A9-Inputs!$I$74,0),1)*Inputs!I$77</f>
        <v>0</v>
      </c>
      <c r="F9" s="16">
        <f>MIN(MAX($A9-Inputs!$I$74,0),1)*Inputs!I$78</f>
        <v>0</v>
      </c>
      <c r="G9" s="16">
        <f>MIN(MAX($A9-Inputs!$I$74,0),1)*Inputs!I$79</f>
        <v>0</v>
      </c>
      <c r="H9" s="16">
        <f>MIN(MAX($A9-Inputs!$I$74,0),1)*Inputs!I$80</f>
        <v>0</v>
      </c>
      <c r="I9" s="16">
        <f>MIN(MAX($A9-Inputs!$I$74,0),1)*Inputs!J$81</f>
        <v>0</v>
      </c>
      <c r="J9" s="16">
        <f>MIN(MAX($A9-Inputs!$I$74,0),1)*Inputs!K$82</f>
        <v>0</v>
      </c>
      <c r="K9" s="125">
        <f t="shared" si="0"/>
        <v>0</v>
      </c>
      <c r="L9" s="13">
        <f t="shared" si="1"/>
        <v>0</v>
      </c>
      <c r="M9" s="13">
        <f t="shared" si="2"/>
        <v>0</v>
      </c>
      <c r="N9" s="13">
        <f t="shared" si="3"/>
        <v>0</v>
      </c>
      <c r="O9" s="13">
        <f t="shared" si="4"/>
        <v>0</v>
      </c>
      <c r="P9" s="13">
        <f t="shared" si="5"/>
        <v>0</v>
      </c>
    </row>
    <row r="10" spans="1:20" x14ac:dyDescent="0.25">
      <c r="A10">
        <f t="shared" si="6"/>
        <v>6</v>
      </c>
      <c r="B10">
        <f t="shared" si="6"/>
        <v>2023</v>
      </c>
      <c r="C10" s="16">
        <f>MIN(MAX($A10-Inputs!$I$74,0),1)*Inputs!I$75</f>
        <v>1</v>
      </c>
      <c r="D10" s="16">
        <f>MIN(MAX($A10-Inputs!$I$74,0),1)*Inputs!I$76</f>
        <v>0</v>
      </c>
      <c r="E10" s="16">
        <f>MIN(MAX($A10-Inputs!$I$74,0),1)*Inputs!I$77</f>
        <v>0</v>
      </c>
      <c r="F10" s="16">
        <f>MIN(MAX($A10-Inputs!$I$74,0),1)*Inputs!I$78</f>
        <v>0</v>
      </c>
      <c r="G10" s="16">
        <f>MIN(MAX($A10-Inputs!$I$74,0),1)*Inputs!I$79</f>
        <v>0</v>
      </c>
      <c r="H10" s="16">
        <f>MIN(MAX($A10-Inputs!$I$74,0),1)*Inputs!I$80</f>
        <v>0</v>
      </c>
      <c r="I10" s="16">
        <f>MIN(MAX($A10-Inputs!$I$74,0),1)*Inputs!J$81</f>
        <v>0</v>
      </c>
      <c r="J10" s="16">
        <f>MIN(MAX($A10-Inputs!$I$74,0),1)*Inputs!K$82</f>
        <v>0</v>
      </c>
      <c r="K10" s="125">
        <f t="shared" si="0"/>
        <v>3.4999999999999996E-2</v>
      </c>
      <c r="L10" s="13">
        <f t="shared" si="1"/>
        <v>0.35</v>
      </c>
      <c r="M10" s="13">
        <f t="shared" si="2"/>
        <v>0</v>
      </c>
      <c r="N10" s="13">
        <f t="shared" si="3"/>
        <v>0</v>
      </c>
      <c r="O10" s="13">
        <f t="shared" si="4"/>
        <v>0</v>
      </c>
      <c r="P10" s="13">
        <f t="shared" si="5"/>
        <v>0</v>
      </c>
    </row>
    <row r="11" spans="1:20" x14ac:dyDescent="0.25">
      <c r="A11">
        <f t="shared" si="6"/>
        <v>7</v>
      </c>
      <c r="B11">
        <f t="shared" si="6"/>
        <v>2024</v>
      </c>
      <c r="C11" s="16">
        <f>MIN(MAX($A11-Inputs!$I$74,0),1)*Inputs!I$75</f>
        <v>1</v>
      </c>
      <c r="D11" s="16">
        <f>MIN(MAX($A11-Inputs!$I$74,0),1)*Inputs!I$76</f>
        <v>0</v>
      </c>
      <c r="E11" s="16">
        <f>MIN(MAX($A11-Inputs!$I$74,0),1)*Inputs!I$77</f>
        <v>0</v>
      </c>
      <c r="F11" s="16">
        <f>MIN(MAX($A11-Inputs!$I$74,0),1)*Inputs!I$78</f>
        <v>0</v>
      </c>
      <c r="G11" s="16">
        <f>MIN(MAX($A11-Inputs!$I$74,0),1)*Inputs!I$79</f>
        <v>0</v>
      </c>
      <c r="H11" s="16">
        <f>MIN(MAX($A11-Inputs!$I$74,0),1)*Inputs!I$80</f>
        <v>0</v>
      </c>
      <c r="I11" s="16">
        <f>MIN(MAX($A11-Inputs!$I$74,0),1)*Inputs!J$81</f>
        <v>0</v>
      </c>
      <c r="J11" s="16">
        <f>MIN(MAX($A11-Inputs!$I$74,0),1)*Inputs!K$82</f>
        <v>0</v>
      </c>
      <c r="K11" s="125">
        <f t="shared" si="0"/>
        <v>3.4999999999999996E-2</v>
      </c>
      <c r="L11" s="13">
        <f t="shared" si="1"/>
        <v>0.35</v>
      </c>
      <c r="M11" s="13">
        <f t="shared" si="2"/>
        <v>0</v>
      </c>
      <c r="N11" s="13">
        <f t="shared" si="3"/>
        <v>0</v>
      </c>
      <c r="O11" s="13">
        <f t="shared" si="4"/>
        <v>0</v>
      </c>
      <c r="P11" s="13">
        <f t="shared" si="5"/>
        <v>0</v>
      </c>
    </row>
    <row r="12" spans="1:20" x14ac:dyDescent="0.25">
      <c r="A12">
        <f t="shared" si="6"/>
        <v>8</v>
      </c>
      <c r="B12">
        <f t="shared" si="6"/>
        <v>2025</v>
      </c>
      <c r="C12" s="16">
        <f>MIN(MAX($A12-Inputs!$I$74,0),1)*Inputs!I$75</f>
        <v>1</v>
      </c>
      <c r="D12" s="16">
        <f>MIN(MAX($A12-Inputs!$I$74,0),1)*Inputs!I$76</f>
        <v>0</v>
      </c>
      <c r="E12" s="16">
        <f>MIN(MAX($A12-Inputs!$I$74,0),1)*Inputs!I$77</f>
        <v>0</v>
      </c>
      <c r="F12" s="16">
        <f>MIN(MAX($A12-Inputs!$I$74,0),1)*Inputs!I$78</f>
        <v>0</v>
      </c>
      <c r="G12" s="16">
        <f>MIN(MAX($A12-Inputs!$I$74,0),1)*Inputs!I$79</f>
        <v>0</v>
      </c>
      <c r="H12" s="16">
        <f>MIN(MAX($A12-Inputs!$I$74,0),1)*Inputs!I$80</f>
        <v>0</v>
      </c>
      <c r="I12" s="16">
        <f>MIN(MAX($A12-Inputs!$I$74,0),1)*Inputs!J$81</f>
        <v>0</v>
      </c>
      <c r="J12" s="16">
        <f>MIN(MAX($A12-Inputs!$I$74,0),1)*Inputs!K$82</f>
        <v>0</v>
      </c>
      <c r="K12" s="125">
        <f t="shared" si="0"/>
        <v>3.4999999999999996E-2</v>
      </c>
      <c r="L12" s="13">
        <f t="shared" si="1"/>
        <v>0.35</v>
      </c>
      <c r="M12" s="13">
        <f t="shared" si="2"/>
        <v>0</v>
      </c>
      <c r="N12" s="13">
        <f t="shared" si="3"/>
        <v>0</v>
      </c>
      <c r="O12" s="13">
        <f t="shared" si="4"/>
        <v>0</v>
      </c>
      <c r="P12" s="13">
        <f t="shared" si="5"/>
        <v>0</v>
      </c>
    </row>
    <row r="13" spans="1:20" x14ac:dyDescent="0.25">
      <c r="A13">
        <f t="shared" si="6"/>
        <v>9</v>
      </c>
      <c r="B13">
        <f t="shared" si="6"/>
        <v>2026</v>
      </c>
      <c r="C13" s="16">
        <f>MIN(MAX($A13-Inputs!$I$74,0),1)*Inputs!I$75</f>
        <v>1</v>
      </c>
      <c r="D13" s="16">
        <f>MIN(MAX($A13-Inputs!$I$74,0),1)*Inputs!I$76</f>
        <v>0</v>
      </c>
      <c r="E13" s="16">
        <f>MIN(MAX($A13-Inputs!$I$74,0),1)*Inputs!I$77</f>
        <v>0</v>
      </c>
      <c r="F13" s="16">
        <f>MIN(MAX($A13-Inputs!$I$74,0),1)*Inputs!I$78</f>
        <v>0</v>
      </c>
      <c r="G13" s="16">
        <f>MIN(MAX($A13-Inputs!$I$74,0),1)*Inputs!I$79</f>
        <v>0</v>
      </c>
      <c r="H13" s="16">
        <f>MIN(MAX($A13-Inputs!$I$74,0),1)*Inputs!I$80</f>
        <v>0</v>
      </c>
      <c r="I13" s="16">
        <f>MIN(MAX($A13-Inputs!$I$74,0),1)*Inputs!J$81</f>
        <v>0</v>
      </c>
      <c r="J13" s="16">
        <f>MIN(MAX($A13-Inputs!$I$74,0),1)*Inputs!K$82</f>
        <v>0</v>
      </c>
      <c r="K13" s="125">
        <f t="shared" si="0"/>
        <v>3.4999999999999996E-2</v>
      </c>
      <c r="L13" s="13">
        <f t="shared" si="1"/>
        <v>0.35</v>
      </c>
      <c r="M13" s="13">
        <f t="shared" si="2"/>
        <v>0</v>
      </c>
      <c r="N13" s="13">
        <f t="shared" si="3"/>
        <v>0</v>
      </c>
      <c r="O13" s="13">
        <f t="shared" si="4"/>
        <v>0</v>
      </c>
      <c r="P13" s="13">
        <f t="shared" si="5"/>
        <v>0</v>
      </c>
    </row>
    <row r="14" spans="1:20" x14ac:dyDescent="0.25">
      <c r="A14">
        <f t="shared" si="6"/>
        <v>10</v>
      </c>
      <c r="B14">
        <f t="shared" si="6"/>
        <v>2027</v>
      </c>
      <c r="C14" s="16">
        <f>MIN(MAX($A14-Inputs!$I$74,0),1)*Inputs!I$75</f>
        <v>1</v>
      </c>
      <c r="D14" s="16">
        <f>MIN(MAX($A14-Inputs!$I$74,0),1)*Inputs!I$76</f>
        <v>0</v>
      </c>
      <c r="E14" s="16">
        <f>MIN(MAX($A14-Inputs!$I$74,0),1)*Inputs!I$77</f>
        <v>0</v>
      </c>
      <c r="F14" s="16">
        <f>MIN(MAX($A14-Inputs!$I$74,0),1)*Inputs!I$78</f>
        <v>0</v>
      </c>
      <c r="G14" s="16">
        <f>MIN(MAX($A14-Inputs!$I$74,0),1)*Inputs!I$79</f>
        <v>0</v>
      </c>
      <c r="H14" s="16">
        <f>MIN(MAX($A14-Inputs!$I$74,0),1)*Inputs!I$80</f>
        <v>0</v>
      </c>
      <c r="I14" s="16">
        <f>MIN(MAX($A14-Inputs!$I$74,0),1)*Inputs!J$81</f>
        <v>0</v>
      </c>
      <c r="J14" s="16">
        <f>MIN(MAX($A14-Inputs!$I$74,0),1)*Inputs!K$82</f>
        <v>0</v>
      </c>
      <c r="K14" s="125">
        <f t="shared" si="0"/>
        <v>3.4999999999999996E-2</v>
      </c>
      <c r="L14" s="13">
        <f t="shared" si="1"/>
        <v>0.35</v>
      </c>
      <c r="M14" s="13">
        <f t="shared" si="2"/>
        <v>0</v>
      </c>
      <c r="N14" s="13">
        <f t="shared" si="3"/>
        <v>0</v>
      </c>
      <c r="O14" s="13">
        <f t="shared" si="4"/>
        <v>0</v>
      </c>
      <c r="P14" s="13">
        <f t="shared" si="5"/>
        <v>0</v>
      </c>
    </row>
    <row r="15" spans="1:20" x14ac:dyDescent="0.25">
      <c r="A15">
        <f t="shared" si="6"/>
        <v>11</v>
      </c>
      <c r="B15">
        <f t="shared" si="6"/>
        <v>2028</v>
      </c>
      <c r="C15" s="16">
        <f>MIN(MAX($A15-Inputs!$I$74,0),1)*Inputs!I$75</f>
        <v>1</v>
      </c>
      <c r="D15" s="16">
        <f>MIN(MAX($A15-Inputs!$I$74,0),1)*Inputs!I$76</f>
        <v>0</v>
      </c>
      <c r="E15" s="16">
        <f>MIN(MAX($A15-Inputs!$I$74,0),1)*Inputs!I$77</f>
        <v>0</v>
      </c>
      <c r="F15" s="16">
        <f>MIN(MAX($A15-Inputs!$I$74,0),1)*Inputs!I$78</f>
        <v>0</v>
      </c>
      <c r="G15" s="16">
        <f>MIN(MAX($A15-Inputs!$I$74,0),1)*Inputs!I$79</f>
        <v>0</v>
      </c>
      <c r="H15" s="16">
        <f>MIN(MAX($A15-Inputs!$I$74,0),1)*Inputs!I$80</f>
        <v>0</v>
      </c>
      <c r="I15" s="16">
        <f>MIN(MAX($A15-Inputs!$I$74,0),1)*Inputs!J$81</f>
        <v>0</v>
      </c>
      <c r="J15" s="16">
        <f>MIN(MAX($A15-Inputs!$I$74,0),1)*Inputs!K$82</f>
        <v>0</v>
      </c>
      <c r="K15" s="125">
        <f t="shared" si="0"/>
        <v>3.4999999999999996E-2</v>
      </c>
      <c r="L15" s="13">
        <f t="shared" si="1"/>
        <v>0.35</v>
      </c>
      <c r="M15" s="13">
        <f t="shared" si="2"/>
        <v>0</v>
      </c>
      <c r="N15" s="13">
        <f t="shared" si="3"/>
        <v>0</v>
      </c>
      <c r="O15" s="13">
        <f t="shared" si="4"/>
        <v>0</v>
      </c>
      <c r="P15" s="13">
        <f t="shared" si="5"/>
        <v>0</v>
      </c>
    </row>
    <row r="16" spans="1:20" x14ac:dyDescent="0.25">
      <c r="A16">
        <f t="shared" si="6"/>
        <v>12</v>
      </c>
      <c r="B16">
        <f t="shared" si="6"/>
        <v>2029</v>
      </c>
      <c r="C16" s="16">
        <f>MIN(MAX($A16-Inputs!$I$74,0),1)*Inputs!I$75</f>
        <v>1</v>
      </c>
      <c r="D16" s="16">
        <f>MIN(MAX($A16-Inputs!$I$74,0),1)*Inputs!I$76</f>
        <v>0</v>
      </c>
      <c r="E16" s="16">
        <f>MIN(MAX($A16-Inputs!$I$74,0),1)*Inputs!I$77</f>
        <v>0</v>
      </c>
      <c r="F16" s="16">
        <f>MIN(MAX($A16-Inputs!$I$74,0),1)*Inputs!I$78</f>
        <v>0</v>
      </c>
      <c r="G16" s="16">
        <f>MIN(MAX($A16-Inputs!$I$74,0),1)*Inputs!I$79</f>
        <v>0</v>
      </c>
      <c r="H16" s="16">
        <f>MIN(MAX($A16-Inputs!$I$74,0),1)*Inputs!I$80</f>
        <v>0</v>
      </c>
      <c r="I16" s="16">
        <f>MIN(MAX($A16-Inputs!$I$74,0),1)*Inputs!J$81</f>
        <v>0</v>
      </c>
      <c r="J16" s="16">
        <f>MIN(MAX($A16-Inputs!$I$74,0),1)*Inputs!K$82</f>
        <v>0</v>
      </c>
      <c r="K16" s="125">
        <f t="shared" si="0"/>
        <v>3.4999999999999996E-2</v>
      </c>
      <c r="L16" s="13">
        <f t="shared" si="1"/>
        <v>0.35</v>
      </c>
      <c r="M16" s="13">
        <f t="shared" si="2"/>
        <v>0</v>
      </c>
      <c r="N16" s="13">
        <f t="shared" si="3"/>
        <v>0</v>
      </c>
      <c r="O16" s="13">
        <f t="shared" si="4"/>
        <v>0</v>
      </c>
      <c r="P16" s="13">
        <f t="shared" si="5"/>
        <v>0</v>
      </c>
    </row>
    <row r="17" spans="1:16" x14ac:dyDescent="0.25">
      <c r="A17">
        <f t="shared" si="6"/>
        <v>13</v>
      </c>
      <c r="B17">
        <f t="shared" si="6"/>
        <v>2030</v>
      </c>
      <c r="C17" s="16">
        <f>MIN(MAX($A17-Inputs!$I$74,0),1)*Inputs!I$75</f>
        <v>1</v>
      </c>
      <c r="D17" s="16">
        <f>MIN(MAX($A17-Inputs!$I$74,0),1)*Inputs!I$76</f>
        <v>0</v>
      </c>
      <c r="E17" s="16">
        <f>MIN(MAX($A17-Inputs!$I$74,0),1)*Inputs!I$77</f>
        <v>0</v>
      </c>
      <c r="F17" s="16">
        <f>MIN(MAX($A17-Inputs!$I$74,0),1)*Inputs!I$78</f>
        <v>0</v>
      </c>
      <c r="G17" s="16">
        <f>MIN(MAX($A17-Inputs!$I$74,0),1)*Inputs!I$79</f>
        <v>0</v>
      </c>
      <c r="H17" s="16">
        <f>MIN(MAX($A17-Inputs!$I$74,0),1)*Inputs!I$80</f>
        <v>0</v>
      </c>
      <c r="I17" s="16">
        <f>MIN(MAX($A17-Inputs!$I$74,0),1)*Inputs!J$81</f>
        <v>0</v>
      </c>
      <c r="J17" s="16">
        <f>MIN(MAX($A17-Inputs!$I$74,0),1)*Inputs!K$82</f>
        <v>0</v>
      </c>
      <c r="K17" s="125">
        <f t="shared" si="0"/>
        <v>3.4999999999999996E-2</v>
      </c>
      <c r="L17" s="13">
        <f t="shared" si="1"/>
        <v>0.35</v>
      </c>
      <c r="M17" s="13">
        <f t="shared" si="2"/>
        <v>0</v>
      </c>
      <c r="N17" s="13">
        <f t="shared" si="3"/>
        <v>0</v>
      </c>
      <c r="O17" s="13">
        <f t="shared" si="4"/>
        <v>0</v>
      </c>
      <c r="P17" s="13">
        <f t="shared" si="5"/>
        <v>0</v>
      </c>
    </row>
    <row r="18" spans="1:16" x14ac:dyDescent="0.25">
      <c r="A18">
        <f t="shared" si="6"/>
        <v>14</v>
      </c>
      <c r="B18">
        <f t="shared" si="6"/>
        <v>2031</v>
      </c>
      <c r="C18" s="16">
        <f>MIN(MAX($A18-Inputs!$I$74,0),1)*Inputs!I$75</f>
        <v>1</v>
      </c>
      <c r="D18" s="16">
        <f>MIN(MAX($A18-Inputs!$I$74,0),1)*Inputs!I$76</f>
        <v>0</v>
      </c>
      <c r="E18" s="16">
        <f>MIN(MAX($A18-Inputs!$I$74,0),1)*Inputs!I$77</f>
        <v>0</v>
      </c>
      <c r="F18" s="16">
        <f>MIN(MAX($A18-Inputs!$I$74,0),1)*Inputs!I$78</f>
        <v>0</v>
      </c>
      <c r="G18" s="16">
        <f>MIN(MAX($A18-Inputs!$I$74,0),1)*Inputs!I$79</f>
        <v>0</v>
      </c>
      <c r="H18" s="16">
        <f>MIN(MAX($A18-Inputs!$I$74,0),1)*Inputs!I$80</f>
        <v>0</v>
      </c>
      <c r="I18" s="16">
        <f>MIN(MAX($A18-Inputs!$I$74,0),1)*Inputs!J$81</f>
        <v>0</v>
      </c>
      <c r="J18" s="16">
        <f>MIN(MAX($A18-Inputs!$I$74,0),1)*Inputs!K$82</f>
        <v>0</v>
      </c>
      <c r="K18" s="125">
        <f t="shared" si="0"/>
        <v>3.4999999999999996E-2</v>
      </c>
      <c r="L18" s="13">
        <f t="shared" si="1"/>
        <v>0.35</v>
      </c>
      <c r="M18" s="13">
        <f t="shared" si="2"/>
        <v>0</v>
      </c>
      <c r="N18" s="13">
        <f t="shared" si="3"/>
        <v>0</v>
      </c>
      <c r="O18" s="13">
        <f t="shared" si="4"/>
        <v>0</v>
      </c>
      <c r="P18" s="13">
        <f t="shared" si="5"/>
        <v>0</v>
      </c>
    </row>
    <row r="19" spans="1:16" x14ac:dyDescent="0.25">
      <c r="A19">
        <f t="shared" si="6"/>
        <v>15</v>
      </c>
      <c r="B19">
        <f t="shared" si="6"/>
        <v>2032</v>
      </c>
      <c r="C19" s="16">
        <f>MIN(MAX($A19-Inputs!$I$74,0),1)*Inputs!I$75</f>
        <v>1</v>
      </c>
      <c r="D19" s="16">
        <f>MIN(MAX($A19-Inputs!$I$74,0),1)*Inputs!I$76</f>
        <v>0</v>
      </c>
      <c r="E19" s="16">
        <f>MIN(MAX($A19-Inputs!$I$74,0),1)*Inputs!I$77</f>
        <v>0</v>
      </c>
      <c r="F19" s="16">
        <f>MIN(MAX($A19-Inputs!$I$74,0),1)*Inputs!I$78</f>
        <v>0</v>
      </c>
      <c r="G19" s="16">
        <f>MIN(MAX($A19-Inputs!$I$74,0),1)*Inputs!I$79</f>
        <v>0</v>
      </c>
      <c r="H19" s="16">
        <f>MIN(MAX($A19-Inputs!$I$74,0),1)*Inputs!I$80</f>
        <v>0</v>
      </c>
      <c r="I19" s="16">
        <f>MIN(MAX($A19-Inputs!$I$74,0),1)*Inputs!J$81</f>
        <v>0</v>
      </c>
      <c r="J19" s="16">
        <f>MIN(MAX($A19-Inputs!$I$74,0),1)*Inputs!K$82</f>
        <v>0</v>
      </c>
      <c r="K19" s="125">
        <f t="shared" si="0"/>
        <v>3.4999999999999996E-2</v>
      </c>
      <c r="L19" s="13">
        <f t="shared" si="1"/>
        <v>0.35</v>
      </c>
      <c r="M19" s="13">
        <f t="shared" si="2"/>
        <v>0</v>
      </c>
      <c r="N19" s="13">
        <f t="shared" si="3"/>
        <v>0</v>
      </c>
      <c r="O19" s="13">
        <f t="shared" si="4"/>
        <v>0</v>
      </c>
      <c r="P19" s="13">
        <f t="shared" si="5"/>
        <v>0</v>
      </c>
    </row>
    <row r="20" spans="1:16" x14ac:dyDescent="0.25">
      <c r="A20">
        <f t="shared" si="6"/>
        <v>16</v>
      </c>
      <c r="B20">
        <f t="shared" si="6"/>
        <v>2033</v>
      </c>
      <c r="C20" s="16">
        <f>MIN(MAX($A20-Inputs!$I$74,0),1)*Inputs!I$75</f>
        <v>1</v>
      </c>
      <c r="D20" s="16">
        <f>MIN(MAX($A20-Inputs!$I$74,0),1)*Inputs!I$76</f>
        <v>0</v>
      </c>
      <c r="E20" s="16">
        <f>MIN(MAX($A20-Inputs!$I$74,0),1)*Inputs!I$77</f>
        <v>0</v>
      </c>
      <c r="F20" s="16">
        <f>MIN(MAX($A20-Inputs!$I$74,0),1)*Inputs!I$78</f>
        <v>0</v>
      </c>
      <c r="G20" s="16">
        <f>MIN(MAX($A20-Inputs!$I$74,0),1)*Inputs!I$79</f>
        <v>0</v>
      </c>
      <c r="H20" s="16">
        <f>MIN(MAX($A20-Inputs!$I$74,0),1)*Inputs!I$80</f>
        <v>0</v>
      </c>
      <c r="I20" s="16">
        <f>MIN(MAX($A20-Inputs!$I$74,0),1)*Inputs!J$81</f>
        <v>0</v>
      </c>
      <c r="J20" s="16">
        <f>MIN(MAX($A20-Inputs!$I$74,0),1)*Inputs!K$82</f>
        <v>0</v>
      </c>
      <c r="K20" s="125">
        <f t="shared" si="0"/>
        <v>3.4999999999999996E-2</v>
      </c>
      <c r="L20" s="13">
        <f t="shared" si="1"/>
        <v>0.35</v>
      </c>
      <c r="M20" s="13">
        <f t="shared" si="2"/>
        <v>0</v>
      </c>
      <c r="N20" s="13">
        <f t="shared" si="3"/>
        <v>0</v>
      </c>
      <c r="O20" s="13">
        <f t="shared" si="4"/>
        <v>0</v>
      </c>
      <c r="P20" s="13">
        <f t="shared" si="5"/>
        <v>0</v>
      </c>
    </row>
    <row r="21" spans="1:16" x14ac:dyDescent="0.25">
      <c r="A21">
        <f t="shared" si="6"/>
        <v>17</v>
      </c>
      <c r="B21">
        <f t="shared" si="6"/>
        <v>2034</v>
      </c>
      <c r="C21" s="16">
        <f>MIN(MAX($A21-Inputs!$I$74,0),1)*Inputs!I$75</f>
        <v>1</v>
      </c>
      <c r="D21" s="16">
        <f>MIN(MAX($A21-Inputs!$I$74,0),1)*Inputs!I$76</f>
        <v>0</v>
      </c>
      <c r="E21" s="16">
        <f>MIN(MAX($A21-Inputs!$I$74,0),1)*Inputs!I$77</f>
        <v>0</v>
      </c>
      <c r="F21" s="16">
        <f>MIN(MAX($A21-Inputs!$I$74,0),1)*Inputs!I$78</f>
        <v>0</v>
      </c>
      <c r="G21" s="16">
        <f>MIN(MAX($A21-Inputs!$I$74,0),1)*Inputs!I$79</f>
        <v>0</v>
      </c>
      <c r="H21" s="16">
        <f>MIN(MAX($A21-Inputs!$I$74,0),1)*Inputs!I$80</f>
        <v>0</v>
      </c>
      <c r="I21" s="16">
        <f>MIN(MAX($A21-Inputs!$I$74,0),1)*Inputs!J$81</f>
        <v>0</v>
      </c>
      <c r="J21" s="16">
        <f>MIN(MAX($A21-Inputs!$I$74,0),1)*Inputs!K$82</f>
        <v>0</v>
      </c>
      <c r="K21" s="125">
        <f t="shared" si="0"/>
        <v>3.4999999999999996E-2</v>
      </c>
      <c r="L21" s="13">
        <f t="shared" si="1"/>
        <v>0.35</v>
      </c>
      <c r="M21" s="13">
        <f t="shared" si="2"/>
        <v>0</v>
      </c>
      <c r="N21" s="13">
        <f t="shared" si="3"/>
        <v>0</v>
      </c>
      <c r="O21" s="13">
        <f t="shared" si="4"/>
        <v>0</v>
      </c>
      <c r="P21" s="13">
        <f t="shared" si="5"/>
        <v>0</v>
      </c>
    </row>
    <row r="22" spans="1:16" x14ac:dyDescent="0.25">
      <c r="A22">
        <f t="shared" si="6"/>
        <v>18</v>
      </c>
      <c r="B22">
        <f t="shared" si="6"/>
        <v>2035</v>
      </c>
      <c r="C22" s="16">
        <f>MIN(MAX($A22-Inputs!$I$74,0),1)*Inputs!I$75</f>
        <v>1</v>
      </c>
      <c r="D22" s="16">
        <f>MIN(MAX($A22-Inputs!$I$74,0),1)*Inputs!I$76</f>
        <v>0</v>
      </c>
      <c r="E22" s="16">
        <f>MIN(MAX($A22-Inputs!$I$74,0),1)*Inputs!I$77</f>
        <v>0</v>
      </c>
      <c r="F22" s="16">
        <f>MIN(MAX($A22-Inputs!$I$74,0),1)*Inputs!I$78</f>
        <v>0</v>
      </c>
      <c r="G22" s="16">
        <f>MIN(MAX($A22-Inputs!$I$74,0),1)*Inputs!I$79</f>
        <v>0</v>
      </c>
      <c r="H22" s="16">
        <f>MIN(MAX($A22-Inputs!$I$74,0),1)*Inputs!I$80</f>
        <v>0</v>
      </c>
      <c r="I22" s="16">
        <f>MIN(MAX($A22-Inputs!$I$74,0),1)*Inputs!J$81</f>
        <v>0</v>
      </c>
      <c r="J22" s="16">
        <f>MIN(MAX($A22-Inputs!$I$74,0),1)*Inputs!K$82</f>
        <v>0</v>
      </c>
      <c r="K22" s="125">
        <f t="shared" si="0"/>
        <v>3.4999999999999996E-2</v>
      </c>
      <c r="L22" s="13">
        <f t="shared" si="1"/>
        <v>0.35</v>
      </c>
      <c r="M22" s="13">
        <f t="shared" si="2"/>
        <v>0</v>
      </c>
      <c r="N22" s="13">
        <f t="shared" si="3"/>
        <v>0</v>
      </c>
      <c r="O22" s="13">
        <f t="shared" si="4"/>
        <v>0</v>
      </c>
      <c r="P22" s="13">
        <f t="shared" si="5"/>
        <v>0</v>
      </c>
    </row>
    <row r="23" spans="1:16" x14ac:dyDescent="0.25">
      <c r="A23">
        <f t="shared" ref="A23:B38" si="7">A22+1</f>
        <v>19</v>
      </c>
      <c r="B23">
        <f t="shared" si="7"/>
        <v>2036</v>
      </c>
      <c r="C23" s="16">
        <f>MIN(MAX($A23-Inputs!$I$74,0),1)*Inputs!I$75</f>
        <v>1</v>
      </c>
      <c r="D23" s="16">
        <f>MIN(MAX($A23-Inputs!$I$74,0),1)*Inputs!I$76</f>
        <v>0</v>
      </c>
      <c r="E23" s="16">
        <f>MIN(MAX($A23-Inputs!$I$74,0),1)*Inputs!I$77</f>
        <v>0</v>
      </c>
      <c r="F23" s="16">
        <f>MIN(MAX($A23-Inputs!$I$74,0),1)*Inputs!I$78</f>
        <v>0</v>
      </c>
      <c r="G23" s="16">
        <f>MIN(MAX($A23-Inputs!$I$74,0),1)*Inputs!I$79</f>
        <v>0</v>
      </c>
      <c r="H23" s="16">
        <f>MIN(MAX($A23-Inputs!$I$74,0),1)*Inputs!I$80</f>
        <v>0</v>
      </c>
      <c r="I23" s="16">
        <f>MIN(MAX($A23-Inputs!$I$74,0),1)*Inputs!J$81</f>
        <v>0</v>
      </c>
      <c r="J23" s="16">
        <f>MIN(MAX($A23-Inputs!$I$74,0),1)*Inputs!K$82</f>
        <v>0</v>
      </c>
      <c r="K23" s="125">
        <f t="shared" si="0"/>
        <v>3.4999999999999996E-2</v>
      </c>
      <c r="L23" s="13">
        <f t="shared" si="1"/>
        <v>0.35</v>
      </c>
      <c r="M23" s="13">
        <f t="shared" si="2"/>
        <v>0</v>
      </c>
      <c r="N23" s="13">
        <f t="shared" si="3"/>
        <v>0</v>
      </c>
      <c r="O23" s="13">
        <f t="shared" si="4"/>
        <v>0</v>
      </c>
      <c r="P23" s="13">
        <f t="shared" si="5"/>
        <v>0</v>
      </c>
    </row>
    <row r="24" spans="1:16" x14ac:dyDescent="0.25">
      <c r="A24">
        <f t="shared" si="7"/>
        <v>20</v>
      </c>
      <c r="B24">
        <f t="shared" si="7"/>
        <v>2037</v>
      </c>
      <c r="C24" s="16">
        <f>MIN(MAX($A24-Inputs!$I$74,0),1)*Inputs!I$75</f>
        <v>1</v>
      </c>
      <c r="D24" s="16">
        <f>MIN(MAX($A24-Inputs!$I$74,0),1)*Inputs!I$76</f>
        <v>0</v>
      </c>
      <c r="E24" s="16">
        <f>MIN(MAX($A24-Inputs!$I$74,0),1)*Inputs!I$77</f>
        <v>0</v>
      </c>
      <c r="F24" s="16">
        <f>MIN(MAX($A24-Inputs!$I$74,0),1)*Inputs!I$78</f>
        <v>0</v>
      </c>
      <c r="G24" s="16">
        <f>MIN(MAX($A24-Inputs!$I$74,0),1)*Inputs!I$79</f>
        <v>0</v>
      </c>
      <c r="H24" s="16">
        <f>MIN(MAX($A24-Inputs!$I$74,0),1)*Inputs!I$80</f>
        <v>0</v>
      </c>
      <c r="I24" s="16">
        <f>MIN(MAX($A24-Inputs!$I$74,0),1)*Inputs!J$81</f>
        <v>0</v>
      </c>
      <c r="J24" s="16">
        <f>MIN(MAX($A24-Inputs!$I$74,0),1)*Inputs!K$82</f>
        <v>0</v>
      </c>
      <c r="K24" s="125">
        <f t="shared" si="0"/>
        <v>3.4999999999999996E-2</v>
      </c>
      <c r="L24" s="13">
        <f t="shared" si="1"/>
        <v>0.35</v>
      </c>
      <c r="M24" s="13">
        <f t="shared" si="2"/>
        <v>0</v>
      </c>
      <c r="N24" s="13">
        <f t="shared" si="3"/>
        <v>0</v>
      </c>
      <c r="O24" s="13">
        <f t="shared" si="4"/>
        <v>0</v>
      </c>
      <c r="P24" s="13">
        <f t="shared" si="5"/>
        <v>0</v>
      </c>
    </row>
    <row r="25" spans="1:16" x14ac:dyDescent="0.25">
      <c r="A25">
        <f t="shared" si="7"/>
        <v>21</v>
      </c>
      <c r="B25">
        <f t="shared" si="7"/>
        <v>2038</v>
      </c>
      <c r="C25" s="16">
        <f>MIN(MAX($A25-Inputs!$I$74,0),1)*Inputs!I$75</f>
        <v>1</v>
      </c>
      <c r="D25" s="16">
        <f>MIN(MAX($A25-Inputs!$I$74,0),1)*Inputs!I$76</f>
        <v>0</v>
      </c>
      <c r="E25" s="16">
        <f>MIN(MAX($A25-Inputs!$I$74,0),1)*Inputs!I$77</f>
        <v>0</v>
      </c>
      <c r="F25" s="16">
        <f>MIN(MAX($A25-Inputs!$I$74,0),1)*Inputs!I$78</f>
        <v>0</v>
      </c>
      <c r="G25" s="16">
        <f>MIN(MAX($A25-Inputs!$I$74,0),1)*Inputs!I$79</f>
        <v>0</v>
      </c>
      <c r="H25" s="16">
        <f>MIN(MAX($A25-Inputs!$I$74,0),1)*Inputs!I$80</f>
        <v>0</v>
      </c>
      <c r="I25" s="16">
        <f>MIN(MAX($A25-Inputs!$I$74,0),1)*Inputs!J$81</f>
        <v>0</v>
      </c>
      <c r="J25" s="16">
        <f>MIN(MAX($A25-Inputs!$I$74,0),1)*Inputs!K$82</f>
        <v>0</v>
      </c>
      <c r="K25" s="125">
        <f t="shared" si="0"/>
        <v>3.4999999999999996E-2</v>
      </c>
      <c r="L25" s="13">
        <f t="shared" si="1"/>
        <v>0.35</v>
      </c>
      <c r="M25" s="13">
        <f t="shared" si="2"/>
        <v>0</v>
      </c>
      <c r="N25" s="13">
        <f t="shared" si="3"/>
        <v>0</v>
      </c>
      <c r="O25" s="13">
        <f t="shared" si="4"/>
        <v>0</v>
      </c>
      <c r="P25" s="13">
        <f t="shared" si="5"/>
        <v>0</v>
      </c>
    </row>
    <row r="26" spans="1:16" x14ac:dyDescent="0.25">
      <c r="A26">
        <f t="shared" si="7"/>
        <v>22</v>
      </c>
      <c r="B26">
        <f t="shared" si="7"/>
        <v>2039</v>
      </c>
      <c r="C26" s="16">
        <f>MIN(MAX($A26-Inputs!$I$74,0),1)*Inputs!I$75</f>
        <v>1</v>
      </c>
      <c r="D26" s="16">
        <f>MIN(MAX($A26-Inputs!$I$74,0),1)*Inputs!I$76</f>
        <v>0</v>
      </c>
      <c r="E26" s="16">
        <f>MIN(MAX($A26-Inputs!$I$74,0),1)*Inputs!I$77</f>
        <v>0</v>
      </c>
      <c r="F26" s="16">
        <f>MIN(MAX($A26-Inputs!$I$74,0),1)*Inputs!I$78</f>
        <v>0</v>
      </c>
      <c r="G26" s="16">
        <f>MIN(MAX($A26-Inputs!$I$74,0),1)*Inputs!I$79</f>
        <v>0</v>
      </c>
      <c r="H26" s="16">
        <f>MIN(MAX($A26-Inputs!$I$74,0),1)*Inputs!I$80</f>
        <v>0</v>
      </c>
      <c r="I26" s="16">
        <f>MIN(MAX($A26-Inputs!$I$74,0),1)*Inputs!J$81</f>
        <v>0</v>
      </c>
      <c r="J26" s="16">
        <f>MIN(MAX($A26-Inputs!$I$74,0),1)*Inputs!K$82</f>
        <v>0</v>
      </c>
      <c r="K26" s="125">
        <f t="shared" si="0"/>
        <v>3.4999999999999996E-2</v>
      </c>
      <c r="L26" s="13">
        <f t="shared" si="1"/>
        <v>0.35</v>
      </c>
      <c r="M26" s="13">
        <f t="shared" si="2"/>
        <v>0</v>
      </c>
      <c r="N26" s="13">
        <f t="shared" si="3"/>
        <v>0</v>
      </c>
      <c r="O26" s="13">
        <f t="shared" si="4"/>
        <v>0</v>
      </c>
      <c r="P26" s="13">
        <f t="shared" si="5"/>
        <v>0</v>
      </c>
    </row>
    <row r="27" spans="1:16" x14ac:dyDescent="0.25">
      <c r="A27">
        <f t="shared" si="7"/>
        <v>23</v>
      </c>
      <c r="B27">
        <f t="shared" si="7"/>
        <v>2040</v>
      </c>
      <c r="C27" s="16">
        <f>MIN(MAX($A27-Inputs!$I$74,0),1)*Inputs!I$75</f>
        <v>1</v>
      </c>
      <c r="D27" s="16">
        <f>MIN(MAX($A27-Inputs!$I$74,0),1)*Inputs!I$76</f>
        <v>0</v>
      </c>
      <c r="E27" s="16">
        <f>MIN(MAX($A27-Inputs!$I$74,0),1)*Inputs!I$77</f>
        <v>0</v>
      </c>
      <c r="F27" s="16">
        <f>MIN(MAX($A27-Inputs!$I$74,0),1)*Inputs!I$78</f>
        <v>0</v>
      </c>
      <c r="G27" s="16">
        <f>MIN(MAX($A27-Inputs!$I$74,0),1)*Inputs!I$79</f>
        <v>0</v>
      </c>
      <c r="H27" s="16">
        <f>MIN(MAX($A27-Inputs!$I$74,0),1)*Inputs!I$80</f>
        <v>0</v>
      </c>
      <c r="I27" s="16">
        <f>MIN(MAX($A27-Inputs!$I$74,0),1)*Inputs!J$81</f>
        <v>0</v>
      </c>
      <c r="J27" s="16">
        <f>MIN(MAX($A27-Inputs!$I$74,0),1)*Inputs!K$82</f>
        <v>0</v>
      </c>
      <c r="K27" s="125">
        <f t="shared" si="0"/>
        <v>3.4999999999999996E-2</v>
      </c>
      <c r="L27" s="13">
        <f t="shared" si="1"/>
        <v>0.35</v>
      </c>
      <c r="M27" s="13">
        <f t="shared" si="2"/>
        <v>0</v>
      </c>
      <c r="N27" s="13">
        <f t="shared" si="3"/>
        <v>0</v>
      </c>
      <c r="O27" s="13">
        <f t="shared" si="4"/>
        <v>0</v>
      </c>
      <c r="P27" s="13">
        <f t="shared" si="5"/>
        <v>0</v>
      </c>
    </row>
    <row r="28" spans="1:16" x14ac:dyDescent="0.25">
      <c r="A28">
        <f t="shared" si="7"/>
        <v>24</v>
      </c>
      <c r="B28">
        <f t="shared" si="7"/>
        <v>2041</v>
      </c>
      <c r="C28" s="16">
        <f>MIN(MAX($A28-Inputs!$I$74,0),1)*Inputs!I$75</f>
        <v>1</v>
      </c>
      <c r="D28" s="16">
        <f>MIN(MAX($A28-Inputs!$I$74,0),1)*Inputs!I$76</f>
        <v>0</v>
      </c>
      <c r="E28" s="16">
        <f>MIN(MAX($A28-Inputs!$I$74,0),1)*Inputs!I$77</f>
        <v>0</v>
      </c>
      <c r="F28" s="16">
        <f>MIN(MAX($A28-Inputs!$I$74,0),1)*Inputs!I$78</f>
        <v>0</v>
      </c>
      <c r="G28" s="16">
        <f>MIN(MAX($A28-Inputs!$I$74,0),1)*Inputs!I$79</f>
        <v>0</v>
      </c>
      <c r="H28" s="16">
        <f>MIN(MAX($A28-Inputs!$I$74,0),1)*Inputs!I$80</f>
        <v>0</v>
      </c>
      <c r="I28" s="16">
        <f>MIN(MAX($A28-Inputs!$I$74,0),1)*Inputs!J$81</f>
        <v>0</v>
      </c>
      <c r="J28" s="16">
        <f>MIN(MAX($A28-Inputs!$I$74,0),1)*Inputs!K$82</f>
        <v>0</v>
      </c>
      <c r="K28" s="125">
        <f t="shared" si="0"/>
        <v>3.4999999999999996E-2</v>
      </c>
      <c r="L28" s="13">
        <f t="shared" si="1"/>
        <v>0.35</v>
      </c>
      <c r="M28" s="13">
        <f t="shared" si="2"/>
        <v>0</v>
      </c>
      <c r="N28" s="13">
        <f t="shared" si="3"/>
        <v>0</v>
      </c>
      <c r="O28" s="13">
        <f t="shared" si="4"/>
        <v>0</v>
      </c>
      <c r="P28" s="13">
        <f t="shared" si="5"/>
        <v>0</v>
      </c>
    </row>
    <row r="29" spans="1:16" x14ac:dyDescent="0.25">
      <c r="A29">
        <f t="shared" si="7"/>
        <v>25</v>
      </c>
      <c r="B29">
        <f t="shared" si="7"/>
        <v>2042</v>
      </c>
      <c r="C29" s="16">
        <f>MIN(MAX($A29-Inputs!$I$74,0),1)*Inputs!I$75</f>
        <v>1</v>
      </c>
      <c r="D29" s="16">
        <f>MIN(MAX($A29-Inputs!$I$74,0),1)*Inputs!I$76</f>
        <v>0</v>
      </c>
      <c r="E29" s="16">
        <f>MIN(MAX($A29-Inputs!$I$74,0),1)*Inputs!I$77</f>
        <v>0</v>
      </c>
      <c r="F29" s="16">
        <f>MIN(MAX($A29-Inputs!$I$74,0),1)*Inputs!I$78</f>
        <v>0</v>
      </c>
      <c r="G29" s="16">
        <f>MIN(MAX($A29-Inputs!$I$74,0),1)*Inputs!I$79</f>
        <v>0</v>
      </c>
      <c r="H29" s="16">
        <f>MIN(MAX($A29-Inputs!$I$74,0),1)*Inputs!I$80</f>
        <v>0</v>
      </c>
      <c r="I29" s="16">
        <f>MIN(MAX($A29-Inputs!$I$74,0),1)*Inputs!J$81</f>
        <v>0</v>
      </c>
      <c r="J29" s="16">
        <f>MIN(MAX($A29-Inputs!$I$74,0),1)*Inputs!K$82</f>
        <v>0</v>
      </c>
      <c r="K29" s="125">
        <f t="shared" si="0"/>
        <v>3.4999999999999996E-2</v>
      </c>
      <c r="L29" s="13">
        <f t="shared" si="1"/>
        <v>0.35</v>
      </c>
      <c r="M29" s="13">
        <f t="shared" si="2"/>
        <v>0</v>
      </c>
      <c r="N29" s="13">
        <f t="shared" si="3"/>
        <v>0</v>
      </c>
      <c r="O29" s="13">
        <f t="shared" si="4"/>
        <v>0</v>
      </c>
      <c r="P29" s="13">
        <f t="shared" si="5"/>
        <v>0</v>
      </c>
    </row>
    <row r="30" spans="1:16" x14ac:dyDescent="0.25">
      <c r="A30">
        <f t="shared" si="7"/>
        <v>26</v>
      </c>
      <c r="B30">
        <f t="shared" si="7"/>
        <v>2043</v>
      </c>
      <c r="C30" s="16">
        <f>MIN(MAX($A30-Inputs!$I$74,0),1)*Inputs!I$75</f>
        <v>1</v>
      </c>
      <c r="D30" s="16">
        <f>MIN(MAX($A30-Inputs!$I$74,0),1)*Inputs!I$76</f>
        <v>0</v>
      </c>
      <c r="E30" s="16">
        <f>MIN(MAX($A30-Inputs!$I$74,0),1)*Inputs!I$77</f>
        <v>0</v>
      </c>
      <c r="F30" s="16">
        <f>MIN(MAX($A30-Inputs!$I$74,0),1)*Inputs!I$78</f>
        <v>0</v>
      </c>
      <c r="G30" s="16">
        <f>MIN(MAX($A30-Inputs!$I$74,0),1)*Inputs!I$79</f>
        <v>0</v>
      </c>
      <c r="H30" s="16">
        <f>MIN(MAX($A30-Inputs!$I$74,0),1)*Inputs!I$80</f>
        <v>0</v>
      </c>
      <c r="I30" s="16">
        <f>MIN(MAX($A30-Inputs!$I$74,0),1)*Inputs!J$81</f>
        <v>0</v>
      </c>
      <c r="J30" s="16">
        <f>MIN(MAX($A30-Inputs!$I$74,0),1)*Inputs!K$82</f>
        <v>0</v>
      </c>
      <c r="K30" s="125">
        <f t="shared" si="0"/>
        <v>3.4999999999999996E-2</v>
      </c>
      <c r="L30" s="13">
        <f t="shared" si="1"/>
        <v>0.35</v>
      </c>
      <c r="M30" s="13">
        <f t="shared" si="2"/>
        <v>0</v>
      </c>
      <c r="N30" s="13">
        <f t="shared" si="3"/>
        <v>0</v>
      </c>
      <c r="O30" s="13">
        <f t="shared" si="4"/>
        <v>0</v>
      </c>
      <c r="P30" s="13">
        <f t="shared" si="5"/>
        <v>0</v>
      </c>
    </row>
    <row r="31" spans="1:16" x14ac:dyDescent="0.25">
      <c r="A31">
        <f t="shared" si="7"/>
        <v>27</v>
      </c>
      <c r="B31">
        <f t="shared" si="7"/>
        <v>2044</v>
      </c>
      <c r="C31" s="16">
        <f>MIN(MAX($A31-Inputs!$I$74,0),1)*Inputs!I$75</f>
        <v>1</v>
      </c>
      <c r="D31" s="16">
        <f>MIN(MAX($A31-Inputs!$I$74,0),1)*Inputs!I$76</f>
        <v>0</v>
      </c>
      <c r="E31" s="16">
        <f>MIN(MAX($A31-Inputs!$I$74,0),1)*Inputs!I$77</f>
        <v>0</v>
      </c>
      <c r="F31" s="16">
        <f>MIN(MAX($A31-Inputs!$I$74,0),1)*Inputs!I$78</f>
        <v>0</v>
      </c>
      <c r="G31" s="16">
        <f>MIN(MAX($A31-Inputs!$I$74,0),1)*Inputs!I$79</f>
        <v>0</v>
      </c>
      <c r="H31" s="16">
        <f>MIN(MAX($A31-Inputs!$I$74,0),1)*Inputs!I$80</f>
        <v>0</v>
      </c>
      <c r="I31" s="16">
        <f>MIN(MAX($A31-Inputs!$I$74,0),1)*Inputs!J$81</f>
        <v>0</v>
      </c>
      <c r="J31" s="16">
        <f>MIN(MAX($A31-Inputs!$I$74,0),1)*Inputs!K$82</f>
        <v>0</v>
      </c>
      <c r="K31" s="125">
        <f t="shared" si="0"/>
        <v>3.4999999999999996E-2</v>
      </c>
      <c r="L31" s="13">
        <f t="shared" si="1"/>
        <v>0.35</v>
      </c>
      <c r="M31" s="13">
        <f t="shared" si="2"/>
        <v>0</v>
      </c>
      <c r="N31" s="13">
        <f t="shared" si="3"/>
        <v>0</v>
      </c>
      <c r="O31" s="13">
        <f t="shared" si="4"/>
        <v>0</v>
      </c>
      <c r="P31" s="13">
        <f t="shared" si="5"/>
        <v>0</v>
      </c>
    </row>
    <row r="32" spans="1:16" x14ac:dyDescent="0.25">
      <c r="A32">
        <f t="shared" si="7"/>
        <v>28</v>
      </c>
      <c r="B32">
        <f t="shared" si="7"/>
        <v>2045</v>
      </c>
      <c r="C32" s="16">
        <f>MIN(MAX($A32-Inputs!$I$74,0),1)*Inputs!I$75</f>
        <v>1</v>
      </c>
      <c r="D32" s="16">
        <f>MIN(MAX($A32-Inputs!$I$74,0),1)*Inputs!I$76</f>
        <v>0</v>
      </c>
      <c r="E32" s="16">
        <f>MIN(MAX($A32-Inputs!$I$74,0),1)*Inputs!I$77</f>
        <v>0</v>
      </c>
      <c r="F32" s="16">
        <f>MIN(MAX($A32-Inputs!$I$74,0),1)*Inputs!I$78</f>
        <v>0</v>
      </c>
      <c r="G32" s="16">
        <f>MIN(MAX($A32-Inputs!$I$74,0),1)*Inputs!I$79</f>
        <v>0</v>
      </c>
      <c r="H32" s="16">
        <f>MIN(MAX($A32-Inputs!$I$74,0),1)*Inputs!I$80</f>
        <v>0</v>
      </c>
      <c r="I32" s="16">
        <f>MIN(MAX($A32-Inputs!$I$74,0),1)*Inputs!J$81</f>
        <v>0</v>
      </c>
      <c r="J32" s="16">
        <f>MIN(MAX($A32-Inputs!$I$74,0),1)*Inputs!K$82</f>
        <v>0</v>
      </c>
      <c r="K32" s="125">
        <f t="shared" si="0"/>
        <v>3.4999999999999996E-2</v>
      </c>
      <c r="L32" s="13">
        <f t="shared" si="1"/>
        <v>0.35</v>
      </c>
      <c r="M32" s="13">
        <f t="shared" si="2"/>
        <v>0</v>
      </c>
      <c r="N32" s="13">
        <f t="shared" si="3"/>
        <v>0</v>
      </c>
      <c r="O32" s="13">
        <f t="shared" si="4"/>
        <v>0</v>
      </c>
      <c r="P32" s="13">
        <f t="shared" si="5"/>
        <v>0</v>
      </c>
    </row>
    <row r="33" spans="1:16" x14ac:dyDescent="0.25">
      <c r="A33">
        <f t="shared" si="7"/>
        <v>29</v>
      </c>
      <c r="B33">
        <f t="shared" si="7"/>
        <v>2046</v>
      </c>
      <c r="C33" s="16">
        <f>MIN(MAX($A33-Inputs!$I$74,0),1)*Inputs!I$75</f>
        <v>1</v>
      </c>
      <c r="D33" s="16">
        <f>MIN(MAX($A33-Inputs!$I$74,0),1)*Inputs!I$76</f>
        <v>0</v>
      </c>
      <c r="E33" s="16">
        <f>MIN(MAX($A33-Inputs!$I$74,0),1)*Inputs!I$77</f>
        <v>0</v>
      </c>
      <c r="F33" s="16">
        <f>MIN(MAX($A33-Inputs!$I$74,0),1)*Inputs!I$78</f>
        <v>0</v>
      </c>
      <c r="G33" s="16">
        <f>MIN(MAX($A33-Inputs!$I$74,0),1)*Inputs!I$79</f>
        <v>0</v>
      </c>
      <c r="H33" s="16">
        <f>MIN(MAX($A33-Inputs!$I$74,0),1)*Inputs!I$80</f>
        <v>0</v>
      </c>
      <c r="I33" s="16">
        <f>MIN(MAX($A33-Inputs!$I$74,0),1)*Inputs!J$81</f>
        <v>0</v>
      </c>
      <c r="J33" s="16">
        <f>MIN(MAX($A33-Inputs!$I$74,0),1)*Inputs!K$82</f>
        <v>0</v>
      </c>
      <c r="K33" s="125">
        <f t="shared" si="0"/>
        <v>3.4999999999999996E-2</v>
      </c>
      <c r="L33" s="13">
        <f t="shared" si="1"/>
        <v>0.35</v>
      </c>
      <c r="M33" s="13">
        <f t="shared" si="2"/>
        <v>0</v>
      </c>
      <c r="N33" s="13">
        <f t="shared" si="3"/>
        <v>0</v>
      </c>
      <c r="O33" s="13">
        <f t="shared" si="4"/>
        <v>0</v>
      </c>
      <c r="P33" s="13">
        <f t="shared" si="5"/>
        <v>0</v>
      </c>
    </row>
    <row r="34" spans="1:16" x14ac:dyDescent="0.25">
      <c r="A34">
        <f t="shared" si="7"/>
        <v>30</v>
      </c>
      <c r="B34">
        <f t="shared" si="7"/>
        <v>2047</v>
      </c>
      <c r="C34" s="16">
        <f>MIN(MAX($A34-Inputs!$I$74,0),1)*Inputs!I$75</f>
        <v>1</v>
      </c>
      <c r="D34" s="16">
        <f>MIN(MAX($A34-Inputs!$I$74,0),1)*Inputs!I$76</f>
        <v>0</v>
      </c>
      <c r="E34" s="16">
        <f>MIN(MAX($A34-Inputs!$I$74,0),1)*Inputs!I$77</f>
        <v>0</v>
      </c>
      <c r="F34" s="16">
        <f>MIN(MAX($A34-Inputs!$I$74,0),1)*Inputs!I$78</f>
        <v>0</v>
      </c>
      <c r="G34" s="16">
        <f>MIN(MAX($A34-Inputs!$I$74,0),1)*Inputs!I$79</f>
        <v>0</v>
      </c>
      <c r="H34" s="16">
        <f>MIN(MAX($A34-Inputs!$I$74,0),1)*Inputs!I$80</f>
        <v>0</v>
      </c>
      <c r="I34" s="16">
        <f>MIN(MAX($A34-Inputs!$I$74,0),1)*Inputs!J$81</f>
        <v>0</v>
      </c>
      <c r="J34" s="16">
        <f>MIN(MAX($A34-Inputs!$I$74,0),1)*Inputs!K$82</f>
        <v>0</v>
      </c>
      <c r="K34" s="125">
        <f t="shared" si="0"/>
        <v>3.4999999999999996E-2</v>
      </c>
      <c r="L34" s="13">
        <f t="shared" si="1"/>
        <v>0.35</v>
      </c>
      <c r="M34" s="13">
        <f t="shared" si="2"/>
        <v>0</v>
      </c>
      <c r="N34" s="13">
        <f t="shared" si="3"/>
        <v>0</v>
      </c>
      <c r="O34" s="13">
        <f t="shared" si="4"/>
        <v>0</v>
      </c>
      <c r="P34" s="13">
        <f t="shared" si="5"/>
        <v>0</v>
      </c>
    </row>
    <row r="35" spans="1:16" x14ac:dyDescent="0.25">
      <c r="A35">
        <f t="shared" si="7"/>
        <v>31</v>
      </c>
      <c r="B35">
        <f t="shared" si="7"/>
        <v>2048</v>
      </c>
      <c r="C35" s="16">
        <f>MIN(MAX($A35-Inputs!$I$74,0),1)*Inputs!I$75</f>
        <v>1</v>
      </c>
      <c r="D35" s="16">
        <f>MIN(MAX($A35-Inputs!$I$74,0),1)*Inputs!I$76</f>
        <v>0</v>
      </c>
      <c r="E35" s="16">
        <f>MIN(MAX($A35-Inputs!$I$74,0),1)*Inputs!I$77</f>
        <v>0</v>
      </c>
      <c r="F35" s="16">
        <f>MIN(MAX($A35-Inputs!$I$74,0),1)*Inputs!I$78</f>
        <v>0</v>
      </c>
      <c r="G35" s="16">
        <f>MIN(MAX($A35-Inputs!$I$74,0),1)*Inputs!I$79</f>
        <v>0</v>
      </c>
      <c r="H35" s="16">
        <f>MIN(MAX($A35-Inputs!$I$74,0),1)*Inputs!I$80</f>
        <v>0</v>
      </c>
      <c r="I35" s="16">
        <f>MIN(MAX($A35-Inputs!$I$74,0),1)*Inputs!J$81</f>
        <v>0</v>
      </c>
      <c r="J35" s="16">
        <f>MIN(MAX($A35-Inputs!$I$74,0),1)*Inputs!K$82</f>
        <v>0</v>
      </c>
      <c r="K35" s="125">
        <f t="shared" si="0"/>
        <v>3.4999999999999996E-2</v>
      </c>
      <c r="L35" s="13">
        <f t="shared" si="1"/>
        <v>0.35</v>
      </c>
      <c r="M35" s="13">
        <f t="shared" si="2"/>
        <v>0</v>
      </c>
      <c r="N35" s="13">
        <f t="shared" si="3"/>
        <v>0</v>
      </c>
      <c r="O35" s="13">
        <f t="shared" si="4"/>
        <v>0</v>
      </c>
      <c r="P35" s="13">
        <f t="shared" si="5"/>
        <v>0</v>
      </c>
    </row>
    <row r="36" spans="1:16" x14ac:dyDescent="0.25">
      <c r="A36">
        <f t="shared" si="7"/>
        <v>32</v>
      </c>
      <c r="B36">
        <f t="shared" si="7"/>
        <v>2049</v>
      </c>
      <c r="C36" s="16">
        <f>MIN(MAX($A36-Inputs!$I$74,0),1)*Inputs!I$75</f>
        <v>1</v>
      </c>
      <c r="D36" s="16">
        <f>MIN(MAX($A36-Inputs!$I$74,0),1)*Inputs!I$76</f>
        <v>0</v>
      </c>
      <c r="E36" s="16">
        <f>MIN(MAX($A36-Inputs!$I$74,0),1)*Inputs!I$77</f>
        <v>0</v>
      </c>
      <c r="F36" s="16">
        <f>MIN(MAX($A36-Inputs!$I$74,0),1)*Inputs!I$78</f>
        <v>0</v>
      </c>
      <c r="G36" s="16">
        <f>MIN(MAX($A36-Inputs!$I$74,0),1)*Inputs!I$79</f>
        <v>0</v>
      </c>
      <c r="H36" s="16">
        <f>MIN(MAX($A36-Inputs!$I$74,0),1)*Inputs!I$80</f>
        <v>0</v>
      </c>
      <c r="I36" s="16">
        <f>MIN(MAX($A36-Inputs!$I$74,0),1)*Inputs!J$81</f>
        <v>0</v>
      </c>
      <c r="J36" s="16">
        <f>MIN(MAX($A36-Inputs!$I$74,0),1)*Inputs!K$82</f>
        <v>0</v>
      </c>
      <c r="K36" s="125">
        <f t="shared" si="0"/>
        <v>3.4999999999999996E-2</v>
      </c>
      <c r="L36" s="13">
        <f t="shared" si="1"/>
        <v>0.35</v>
      </c>
      <c r="M36" s="13">
        <f t="shared" si="2"/>
        <v>0</v>
      </c>
      <c r="N36" s="13">
        <f t="shared" si="3"/>
        <v>0</v>
      </c>
      <c r="O36" s="13">
        <f t="shared" si="4"/>
        <v>0</v>
      </c>
      <c r="P36" s="13">
        <f t="shared" si="5"/>
        <v>0</v>
      </c>
    </row>
    <row r="37" spans="1:16" x14ac:dyDescent="0.25">
      <c r="A37">
        <f t="shared" si="7"/>
        <v>33</v>
      </c>
      <c r="B37">
        <f t="shared" si="7"/>
        <v>2050</v>
      </c>
      <c r="C37" s="16">
        <f>MIN(MAX($A37-Inputs!$I$74,0),1)*Inputs!I$75</f>
        <v>1</v>
      </c>
      <c r="D37" s="16">
        <f>MIN(MAX($A37-Inputs!$I$74,0),1)*Inputs!I$76</f>
        <v>0</v>
      </c>
      <c r="E37" s="16">
        <f>MIN(MAX($A37-Inputs!$I$74,0),1)*Inputs!I$77</f>
        <v>0</v>
      </c>
      <c r="F37" s="16">
        <f>MIN(MAX($A37-Inputs!$I$74,0),1)*Inputs!I$78</f>
        <v>0</v>
      </c>
      <c r="G37" s="16">
        <f>MIN(MAX($A37-Inputs!$I$74,0),1)*Inputs!I$79</f>
        <v>0</v>
      </c>
      <c r="H37" s="16">
        <f>MIN(MAX($A37-Inputs!$I$74,0),1)*Inputs!I$80</f>
        <v>0</v>
      </c>
      <c r="I37" s="16">
        <f>MIN(MAX($A37-Inputs!$I$74,0),1)*Inputs!J$81</f>
        <v>0</v>
      </c>
      <c r="J37" s="16">
        <f>MIN(MAX($A37-Inputs!$I$74,0),1)*Inputs!K$82</f>
        <v>0</v>
      </c>
      <c r="K37" s="125">
        <f t="shared" si="0"/>
        <v>3.4999999999999996E-2</v>
      </c>
      <c r="L37" s="13">
        <f t="shared" si="1"/>
        <v>0.35</v>
      </c>
      <c r="M37" s="13">
        <f t="shared" si="2"/>
        <v>0</v>
      </c>
      <c r="N37" s="13">
        <f t="shared" si="3"/>
        <v>0</v>
      </c>
      <c r="O37" s="13">
        <f t="shared" si="4"/>
        <v>0</v>
      </c>
      <c r="P37" s="13">
        <f t="shared" si="5"/>
        <v>0</v>
      </c>
    </row>
    <row r="38" spans="1:16" x14ac:dyDescent="0.25">
      <c r="A38">
        <f t="shared" si="7"/>
        <v>34</v>
      </c>
      <c r="B38">
        <f t="shared" si="7"/>
        <v>2051</v>
      </c>
      <c r="C38" s="16">
        <f>MIN(MAX($A38-Inputs!$I$74,0),1)*Inputs!I$75</f>
        <v>1</v>
      </c>
      <c r="D38" s="16">
        <f>MIN(MAX($A38-Inputs!$I$74,0),1)*Inputs!I$76</f>
        <v>0</v>
      </c>
      <c r="E38" s="16">
        <f>MIN(MAX($A38-Inputs!$I$74,0),1)*Inputs!I$77</f>
        <v>0</v>
      </c>
      <c r="F38" s="16">
        <f>MIN(MAX($A38-Inputs!$I$74,0),1)*Inputs!I$78</f>
        <v>0</v>
      </c>
      <c r="G38" s="16">
        <f>MIN(MAX($A38-Inputs!$I$74,0),1)*Inputs!I$79</f>
        <v>0</v>
      </c>
      <c r="H38" s="16">
        <f>MIN(MAX($A38-Inputs!$I$74,0),1)*Inputs!I$80</f>
        <v>0</v>
      </c>
      <c r="I38" s="16">
        <f>MIN(MAX($A38-Inputs!$I$74,0),1)*Inputs!J$81</f>
        <v>0</v>
      </c>
      <c r="J38" s="16">
        <f>MIN(MAX($A38-Inputs!$I$74,0),1)*Inputs!K$82</f>
        <v>0</v>
      </c>
      <c r="K38" s="125">
        <f t="shared" si="0"/>
        <v>3.4999999999999996E-2</v>
      </c>
      <c r="L38" s="13">
        <f t="shared" si="1"/>
        <v>0.35</v>
      </c>
      <c r="M38" s="13">
        <f t="shared" si="2"/>
        <v>0</v>
      </c>
      <c r="N38" s="13">
        <f t="shared" si="3"/>
        <v>0</v>
      </c>
      <c r="O38" s="13">
        <f t="shared" si="4"/>
        <v>0</v>
      </c>
      <c r="P38" s="13">
        <f t="shared" si="5"/>
        <v>0</v>
      </c>
    </row>
    <row r="39" spans="1:16" x14ac:dyDescent="0.25">
      <c r="A39">
        <f t="shared" ref="A39:B54" si="8">A38+1</f>
        <v>35</v>
      </c>
      <c r="B39">
        <f t="shared" si="8"/>
        <v>2052</v>
      </c>
      <c r="C39" s="16">
        <f>MIN(MAX($A39-Inputs!$I$74,0),1)*Inputs!I$75</f>
        <v>1</v>
      </c>
      <c r="D39" s="16">
        <f>MIN(MAX($A39-Inputs!$I$74,0),1)*Inputs!I$76</f>
        <v>0</v>
      </c>
      <c r="E39" s="16">
        <f>MIN(MAX($A39-Inputs!$I$74,0),1)*Inputs!I$77</f>
        <v>0</v>
      </c>
      <c r="F39" s="16">
        <f>MIN(MAX($A39-Inputs!$I$74,0),1)*Inputs!I$78</f>
        <v>0</v>
      </c>
      <c r="G39" s="16">
        <f>MIN(MAX($A39-Inputs!$I$74,0),1)*Inputs!I$79</f>
        <v>0</v>
      </c>
      <c r="H39" s="16">
        <f>MIN(MAX($A39-Inputs!$I$74,0),1)*Inputs!I$80</f>
        <v>0</v>
      </c>
      <c r="I39" s="16">
        <f>MIN(MAX($A39-Inputs!$I$74,0),1)*Inputs!J$81</f>
        <v>0</v>
      </c>
      <c r="J39" s="16">
        <f>MIN(MAX($A39-Inputs!$I$74,0),1)*Inputs!K$82</f>
        <v>0</v>
      </c>
      <c r="K39" s="125">
        <f t="shared" si="0"/>
        <v>3.4999999999999996E-2</v>
      </c>
      <c r="L39" s="13">
        <f t="shared" si="1"/>
        <v>0.35</v>
      </c>
      <c r="M39" s="13">
        <f t="shared" si="2"/>
        <v>0</v>
      </c>
      <c r="N39" s="13">
        <f t="shared" si="3"/>
        <v>0</v>
      </c>
      <c r="O39" s="13">
        <f t="shared" si="4"/>
        <v>0</v>
      </c>
      <c r="P39" s="13">
        <f t="shared" si="5"/>
        <v>0</v>
      </c>
    </row>
    <row r="40" spans="1:16" x14ac:dyDescent="0.25">
      <c r="A40">
        <f t="shared" si="8"/>
        <v>36</v>
      </c>
      <c r="B40">
        <f t="shared" si="8"/>
        <v>2053</v>
      </c>
      <c r="C40" s="16">
        <f>MIN(MAX($A40-Inputs!$I$74,0),1)*Inputs!I$75</f>
        <v>1</v>
      </c>
      <c r="D40" s="16">
        <f>MIN(MAX($A40-Inputs!$I$74,0),1)*Inputs!I$76</f>
        <v>0</v>
      </c>
      <c r="E40" s="16">
        <f>MIN(MAX($A40-Inputs!$I$74,0),1)*Inputs!I$77</f>
        <v>0</v>
      </c>
      <c r="F40" s="16">
        <f>MIN(MAX($A40-Inputs!$I$74,0),1)*Inputs!I$78</f>
        <v>0</v>
      </c>
      <c r="G40" s="16">
        <f>MIN(MAX($A40-Inputs!$I$74,0),1)*Inputs!I$79</f>
        <v>0</v>
      </c>
      <c r="H40" s="16">
        <f>MIN(MAX($A40-Inputs!$I$74,0),1)*Inputs!I$80</f>
        <v>0</v>
      </c>
      <c r="I40" s="16">
        <f>MIN(MAX($A40-Inputs!$I$74,0),1)*Inputs!J$81</f>
        <v>0</v>
      </c>
      <c r="J40" s="16">
        <f>MIN(MAX($A40-Inputs!$I$74,0),1)*Inputs!K$82</f>
        <v>0</v>
      </c>
      <c r="K40" s="125">
        <f t="shared" si="0"/>
        <v>3.4999999999999996E-2</v>
      </c>
      <c r="L40" s="13">
        <f t="shared" si="1"/>
        <v>0.35</v>
      </c>
      <c r="M40" s="13">
        <f t="shared" si="2"/>
        <v>0</v>
      </c>
      <c r="N40" s="13">
        <f t="shared" si="3"/>
        <v>0</v>
      </c>
      <c r="O40" s="13">
        <f t="shared" si="4"/>
        <v>0</v>
      </c>
      <c r="P40" s="13">
        <f t="shared" si="5"/>
        <v>0</v>
      </c>
    </row>
    <row r="41" spans="1:16" x14ac:dyDescent="0.25">
      <c r="A41">
        <f t="shared" si="8"/>
        <v>37</v>
      </c>
      <c r="B41">
        <f t="shared" si="8"/>
        <v>2054</v>
      </c>
      <c r="C41" s="16">
        <f>MIN(MAX($A41-Inputs!$I$74,0),1)*Inputs!I$75</f>
        <v>1</v>
      </c>
      <c r="D41" s="16">
        <f>MIN(MAX($A41-Inputs!$I$74,0),1)*Inputs!I$76</f>
        <v>0</v>
      </c>
      <c r="E41" s="16">
        <f>MIN(MAX($A41-Inputs!$I$74,0),1)*Inputs!I$77</f>
        <v>0</v>
      </c>
      <c r="F41" s="16">
        <f>MIN(MAX($A41-Inputs!$I$74,0),1)*Inputs!I$78</f>
        <v>0</v>
      </c>
      <c r="G41" s="16">
        <f>MIN(MAX($A41-Inputs!$I$74,0),1)*Inputs!I$79</f>
        <v>0</v>
      </c>
      <c r="H41" s="16">
        <f>MIN(MAX($A41-Inputs!$I$74,0),1)*Inputs!I$80</f>
        <v>0</v>
      </c>
      <c r="I41" s="16">
        <f>MIN(MAX($A41-Inputs!$I$74,0),1)*Inputs!J$81</f>
        <v>0</v>
      </c>
      <c r="J41" s="16">
        <f>MIN(MAX($A41-Inputs!$I$74,0),1)*Inputs!K$82</f>
        <v>0</v>
      </c>
      <c r="K41" s="125">
        <f t="shared" si="0"/>
        <v>3.4999999999999996E-2</v>
      </c>
      <c r="L41" s="13">
        <f t="shared" si="1"/>
        <v>0.35</v>
      </c>
      <c r="M41" s="13">
        <f t="shared" si="2"/>
        <v>0</v>
      </c>
      <c r="N41" s="13">
        <f t="shared" si="3"/>
        <v>0</v>
      </c>
      <c r="O41" s="13">
        <f t="shared" si="4"/>
        <v>0</v>
      </c>
      <c r="P41" s="13">
        <f t="shared" si="5"/>
        <v>0</v>
      </c>
    </row>
    <row r="42" spans="1:16" x14ac:dyDescent="0.25">
      <c r="A42">
        <f t="shared" si="8"/>
        <v>38</v>
      </c>
      <c r="B42">
        <f t="shared" si="8"/>
        <v>2055</v>
      </c>
      <c r="C42" s="16">
        <f>MIN(MAX($A42-Inputs!$I$74,0),1)*Inputs!I$75</f>
        <v>1</v>
      </c>
      <c r="D42" s="16">
        <f>MIN(MAX($A42-Inputs!$I$74,0),1)*Inputs!I$76</f>
        <v>0</v>
      </c>
      <c r="E42" s="16">
        <f>MIN(MAX($A42-Inputs!$I$74,0),1)*Inputs!I$77</f>
        <v>0</v>
      </c>
      <c r="F42" s="16">
        <f>MIN(MAX($A42-Inputs!$I$74,0),1)*Inputs!I$78</f>
        <v>0</v>
      </c>
      <c r="G42" s="16">
        <f>MIN(MAX($A42-Inputs!$I$74,0),1)*Inputs!I$79</f>
        <v>0</v>
      </c>
      <c r="H42" s="16">
        <f>MIN(MAX($A42-Inputs!$I$74,0),1)*Inputs!I$80</f>
        <v>0</v>
      </c>
      <c r="I42" s="16">
        <f>MIN(MAX($A42-Inputs!$I$74,0),1)*Inputs!J$81</f>
        <v>0</v>
      </c>
      <c r="J42" s="16">
        <f>MIN(MAX($A42-Inputs!$I$74,0),1)*Inputs!K$82</f>
        <v>0</v>
      </c>
      <c r="K42" s="125">
        <f t="shared" si="0"/>
        <v>3.4999999999999996E-2</v>
      </c>
      <c r="L42" s="13">
        <f t="shared" si="1"/>
        <v>0.35</v>
      </c>
      <c r="M42" s="13">
        <f t="shared" si="2"/>
        <v>0</v>
      </c>
      <c r="N42" s="13">
        <f t="shared" si="3"/>
        <v>0</v>
      </c>
      <c r="O42" s="13">
        <f t="shared" si="4"/>
        <v>0</v>
      </c>
      <c r="P42" s="13">
        <f t="shared" si="5"/>
        <v>0</v>
      </c>
    </row>
    <row r="43" spans="1:16" x14ac:dyDescent="0.25">
      <c r="A43">
        <f t="shared" si="8"/>
        <v>39</v>
      </c>
      <c r="B43">
        <f t="shared" si="8"/>
        <v>2056</v>
      </c>
      <c r="C43" s="16">
        <f>MIN(MAX($A43-Inputs!$I$74,0),1)*Inputs!I$75</f>
        <v>1</v>
      </c>
      <c r="D43" s="16">
        <f>MIN(MAX($A43-Inputs!$I$74,0),1)*Inputs!I$76</f>
        <v>0</v>
      </c>
      <c r="E43" s="16">
        <f>MIN(MAX($A43-Inputs!$I$74,0),1)*Inputs!I$77</f>
        <v>0</v>
      </c>
      <c r="F43" s="16">
        <f>MIN(MAX($A43-Inputs!$I$74,0),1)*Inputs!I$78</f>
        <v>0</v>
      </c>
      <c r="G43" s="16">
        <f>MIN(MAX($A43-Inputs!$I$74,0),1)*Inputs!I$79</f>
        <v>0</v>
      </c>
      <c r="H43" s="16">
        <f>MIN(MAX($A43-Inputs!$I$74,0),1)*Inputs!I$80</f>
        <v>0</v>
      </c>
      <c r="I43" s="16">
        <f>MIN(MAX($A43-Inputs!$I$74,0),1)*Inputs!J$81</f>
        <v>0</v>
      </c>
      <c r="J43" s="16">
        <f>MIN(MAX($A43-Inputs!$I$74,0),1)*Inputs!K$82</f>
        <v>0</v>
      </c>
      <c r="K43" s="125">
        <f t="shared" si="0"/>
        <v>3.4999999999999996E-2</v>
      </c>
      <c r="L43" s="13">
        <f t="shared" si="1"/>
        <v>0.35</v>
      </c>
      <c r="M43" s="13">
        <f t="shared" si="2"/>
        <v>0</v>
      </c>
      <c r="N43" s="13">
        <f t="shared" si="3"/>
        <v>0</v>
      </c>
      <c r="O43" s="13">
        <f t="shared" si="4"/>
        <v>0</v>
      </c>
      <c r="P43" s="13">
        <f t="shared" si="5"/>
        <v>0</v>
      </c>
    </row>
    <row r="44" spans="1:16" x14ac:dyDescent="0.25">
      <c r="A44">
        <f t="shared" si="8"/>
        <v>40</v>
      </c>
      <c r="B44">
        <f t="shared" si="8"/>
        <v>2057</v>
      </c>
      <c r="C44" s="16">
        <f>MIN(MAX($A44-Inputs!$I$74,0),1)*Inputs!I$75</f>
        <v>1</v>
      </c>
      <c r="D44" s="16">
        <f>MIN(MAX($A44-Inputs!$I$74,0),1)*Inputs!I$76</f>
        <v>0</v>
      </c>
      <c r="E44" s="16">
        <f>MIN(MAX($A44-Inputs!$I$74,0),1)*Inputs!I$77</f>
        <v>0</v>
      </c>
      <c r="F44" s="16">
        <f>MIN(MAX($A44-Inputs!$I$74,0),1)*Inputs!I$78</f>
        <v>0</v>
      </c>
      <c r="G44" s="16">
        <f>MIN(MAX($A44-Inputs!$I$74,0),1)*Inputs!I$79</f>
        <v>0</v>
      </c>
      <c r="H44" s="16">
        <f>MIN(MAX($A44-Inputs!$I$74,0),1)*Inputs!I$80</f>
        <v>0</v>
      </c>
      <c r="I44" s="16">
        <f>MIN(MAX($A44-Inputs!$I$74,0),1)*Inputs!J$81</f>
        <v>0</v>
      </c>
      <c r="J44" s="16">
        <f>MIN(MAX($A44-Inputs!$I$74,0),1)*Inputs!K$82</f>
        <v>0</v>
      </c>
      <c r="K44" s="125">
        <f t="shared" si="0"/>
        <v>3.4999999999999996E-2</v>
      </c>
      <c r="L44" s="13">
        <f t="shared" si="1"/>
        <v>0.35</v>
      </c>
      <c r="M44" s="13">
        <f t="shared" si="2"/>
        <v>0</v>
      </c>
      <c r="N44" s="13">
        <f t="shared" si="3"/>
        <v>0</v>
      </c>
      <c r="O44" s="13">
        <f t="shared" si="4"/>
        <v>0</v>
      </c>
      <c r="P44" s="13">
        <f t="shared" si="5"/>
        <v>0</v>
      </c>
    </row>
    <row r="45" spans="1:16" x14ac:dyDescent="0.25">
      <c r="A45">
        <f t="shared" si="8"/>
        <v>41</v>
      </c>
      <c r="B45">
        <f t="shared" si="8"/>
        <v>2058</v>
      </c>
      <c r="C45" s="16">
        <f>MIN(MAX($A45-Inputs!$I$74,0),1)*Inputs!I$75</f>
        <v>1</v>
      </c>
      <c r="D45" s="16">
        <f>MIN(MAX($A45-Inputs!$I$74,0),1)*Inputs!I$76</f>
        <v>0</v>
      </c>
      <c r="E45" s="16">
        <f>MIN(MAX($A45-Inputs!$I$74,0),1)*Inputs!I$77</f>
        <v>0</v>
      </c>
      <c r="F45" s="16">
        <f>MIN(MAX($A45-Inputs!$I$74,0),1)*Inputs!I$78</f>
        <v>0</v>
      </c>
      <c r="G45" s="16">
        <f>MIN(MAX($A45-Inputs!$I$74,0),1)*Inputs!I$79</f>
        <v>0</v>
      </c>
      <c r="H45" s="16">
        <f>MIN(MAX($A45-Inputs!$I$74,0),1)*Inputs!I$80</f>
        <v>0</v>
      </c>
      <c r="I45" s="16">
        <f>MIN(MAX($A45-Inputs!$I$74,0),1)*Inputs!J$81</f>
        <v>0</v>
      </c>
      <c r="J45" s="16">
        <f>MIN(MAX($A45-Inputs!$I$74,0),1)*Inputs!K$82</f>
        <v>0</v>
      </c>
      <c r="K45" s="125">
        <f t="shared" si="0"/>
        <v>3.4999999999999996E-2</v>
      </c>
      <c r="L45" s="13">
        <f t="shared" si="1"/>
        <v>0.35</v>
      </c>
      <c r="M45" s="13">
        <f t="shared" si="2"/>
        <v>0</v>
      </c>
      <c r="N45" s="13">
        <f t="shared" si="3"/>
        <v>0</v>
      </c>
      <c r="O45" s="13">
        <f t="shared" si="4"/>
        <v>0</v>
      </c>
      <c r="P45" s="13">
        <f t="shared" si="5"/>
        <v>0</v>
      </c>
    </row>
    <row r="46" spans="1:16" x14ac:dyDescent="0.25">
      <c r="A46">
        <f t="shared" si="8"/>
        <v>42</v>
      </c>
      <c r="B46">
        <f t="shared" si="8"/>
        <v>2059</v>
      </c>
      <c r="C46" s="16">
        <f>MIN(MAX($A46-Inputs!$I$74,0),1)*Inputs!I$75</f>
        <v>1</v>
      </c>
      <c r="D46" s="16">
        <f>MIN(MAX($A46-Inputs!$I$74,0),1)*Inputs!I$76</f>
        <v>0</v>
      </c>
      <c r="E46" s="16">
        <f>MIN(MAX($A46-Inputs!$I$74,0),1)*Inputs!I$77</f>
        <v>0</v>
      </c>
      <c r="F46" s="16">
        <f>MIN(MAX($A46-Inputs!$I$74,0),1)*Inputs!I$78</f>
        <v>0</v>
      </c>
      <c r="G46" s="16">
        <f>MIN(MAX($A46-Inputs!$I$74,0),1)*Inputs!I$79</f>
        <v>0</v>
      </c>
      <c r="H46" s="16">
        <f>MIN(MAX($A46-Inputs!$I$74,0),1)*Inputs!I$80</f>
        <v>0</v>
      </c>
      <c r="I46" s="16">
        <f>MIN(MAX($A46-Inputs!$I$74,0),1)*Inputs!J$81</f>
        <v>0</v>
      </c>
      <c r="J46" s="16">
        <f>MIN(MAX($A46-Inputs!$I$74,0),1)*Inputs!K$82</f>
        <v>0</v>
      </c>
      <c r="K46" s="125">
        <f t="shared" si="0"/>
        <v>3.4999999999999996E-2</v>
      </c>
      <c r="L46" s="13">
        <f t="shared" si="1"/>
        <v>0.35</v>
      </c>
      <c r="M46" s="13">
        <f t="shared" si="2"/>
        <v>0</v>
      </c>
      <c r="N46" s="13">
        <f t="shared" si="3"/>
        <v>0</v>
      </c>
      <c r="O46" s="13">
        <f t="shared" si="4"/>
        <v>0</v>
      </c>
      <c r="P46" s="13">
        <f t="shared" si="5"/>
        <v>0</v>
      </c>
    </row>
    <row r="47" spans="1:16" x14ac:dyDescent="0.25">
      <c r="A47">
        <f t="shared" si="8"/>
        <v>43</v>
      </c>
      <c r="B47">
        <f t="shared" si="8"/>
        <v>2060</v>
      </c>
      <c r="C47" s="16">
        <f>MIN(MAX($A47-Inputs!$I$74,0),1)*Inputs!I$75</f>
        <v>1</v>
      </c>
      <c r="D47" s="16">
        <f>MIN(MAX($A47-Inputs!$I$74,0),1)*Inputs!I$76</f>
        <v>0</v>
      </c>
      <c r="E47" s="16">
        <f>MIN(MAX($A47-Inputs!$I$74,0),1)*Inputs!I$77</f>
        <v>0</v>
      </c>
      <c r="F47" s="16">
        <f>MIN(MAX($A47-Inputs!$I$74,0),1)*Inputs!I$78</f>
        <v>0</v>
      </c>
      <c r="G47" s="16">
        <f>MIN(MAX($A47-Inputs!$I$74,0),1)*Inputs!I$79</f>
        <v>0</v>
      </c>
      <c r="H47" s="16">
        <f>MIN(MAX($A47-Inputs!$I$74,0),1)*Inputs!I$80</f>
        <v>0</v>
      </c>
      <c r="I47" s="16">
        <f>MIN(MAX($A47-Inputs!$I$74,0),1)*Inputs!J$81</f>
        <v>0</v>
      </c>
      <c r="J47" s="16">
        <f>MIN(MAX($A47-Inputs!$I$74,0),1)*Inputs!K$82</f>
        <v>0</v>
      </c>
      <c r="K47" s="125">
        <f t="shared" si="0"/>
        <v>3.4999999999999996E-2</v>
      </c>
      <c r="L47" s="13">
        <f t="shared" si="1"/>
        <v>0.35</v>
      </c>
      <c r="M47" s="13">
        <f t="shared" si="2"/>
        <v>0</v>
      </c>
      <c r="N47" s="13">
        <f t="shared" si="3"/>
        <v>0</v>
      </c>
      <c r="O47" s="13">
        <f t="shared" si="4"/>
        <v>0</v>
      </c>
      <c r="P47" s="13">
        <f t="shared" si="5"/>
        <v>0</v>
      </c>
    </row>
    <row r="48" spans="1:16" x14ac:dyDescent="0.25">
      <c r="A48">
        <f t="shared" si="8"/>
        <v>44</v>
      </c>
      <c r="B48">
        <f t="shared" si="8"/>
        <v>2061</v>
      </c>
      <c r="C48" s="16">
        <f>MIN(MAX($A48-Inputs!$I$74,0),1)*Inputs!I$75</f>
        <v>1</v>
      </c>
      <c r="D48" s="16">
        <f>MIN(MAX($A48-Inputs!$I$74,0),1)*Inputs!I$76</f>
        <v>0</v>
      </c>
      <c r="E48" s="16">
        <f>MIN(MAX($A48-Inputs!$I$74,0),1)*Inputs!I$77</f>
        <v>0</v>
      </c>
      <c r="F48" s="16">
        <f>MIN(MAX($A48-Inputs!$I$74,0),1)*Inputs!I$78</f>
        <v>0</v>
      </c>
      <c r="G48" s="16">
        <f>MIN(MAX($A48-Inputs!$I$74,0),1)*Inputs!I$79</f>
        <v>0</v>
      </c>
      <c r="H48" s="16">
        <f>MIN(MAX($A48-Inputs!$I$74,0),1)*Inputs!I$80</f>
        <v>0</v>
      </c>
      <c r="I48" s="16">
        <f>MIN(MAX($A48-Inputs!$I$74,0),1)*Inputs!J$81</f>
        <v>0</v>
      </c>
      <c r="J48" s="16">
        <f>MIN(MAX($A48-Inputs!$I$74,0),1)*Inputs!K$82</f>
        <v>0</v>
      </c>
      <c r="K48" s="125">
        <f t="shared" si="0"/>
        <v>3.4999999999999996E-2</v>
      </c>
      <c r="L48" s="13">
        <f t="shared" si="1"/>
        <v>0.35</v>
      </c>
      <c r="M48" s="13">
        <f t="shared" si="2"/>
        <v>0</v>
      </c>
      <c r="N48" s="13">
        <f t="shared" si="3"/>
        <v>0</v>
      </c>
      <c r="O48" s="13">
        <f t="shared" si="4"/>
        <v>0</v>
      </c>
      <c r="P48" s="13">
        <f t="shared" si="5"/>
        <v>0</v>
      </c>
    </row>
    <row r="49" spans="1:16" x14ac:dyDescent="0.25">
      <c r="A49">
        <f t="shared" si="8"/>
        <v>45</v>
      </c>
      <c r="B49">
        <f t="shared" si="8"/>
        <v>2062</v>
      </c>
      <c r="C49" s="16">
        <f>MIN(MAX($A49-Inputs!$I$74,0),1)*Inputs!I$75</f>
        <v>1</v>
      </c>
      <c r="D49" s="16">
        <f>MIN(MAX($A49-Inputs!$I$74,0),1)*Inputs!I$76</f>
        <v>0</v>
      </c>
      <c r="E49" s="16">
        <f>MIN(MAX($A49-Inputs!$I$74,0),1)*Inputs!I$77</f>
        <v>0</v>
      </c>
      <c r="F49" s="16">
        <f>MIN(MAX($A49-Inputs!$I$74,0),1)*Inputs!I$78</f>
        <v>0</v>
      </c>
      <c r="G49" s="16">
        <f>MIN(MAX($A49-Inputs!$I$74,0),1)*Inputs!I$79</f>
        <v>0</v>
      </c>
      <c r="H49" s="16">
        <f>MIN(MAX($A49-Inputs!$I$74,0),1)*Inputs!I$80</f>
        <v>0</v>
      </c>
      <c r="I49" s="16">
        <f>MIN(MAX($A49-Inputs!$I$74,0),1)*Inputs!J$81</f>
        <v>0</v>
      </c>
      <c r="J49" s="16">
        <f>MIN(MAX($A49-Inputs!$I$74,0),1)*Inputs!K$82</f>
        <v>0</v>
      </c>
      <c r="K49" s="125">
        <f t="shared" si="0"/>
        <v>3.4999999999999996E-2</v>
      </c>
      <c r="L49" s="13">
        <f t="shared" si="1"/>
        <v>0.35</v>
      </c>
      <c r="M49" s="13">
        <f t="shared" si="2"/>
        <v>0</v>
      </c>
      <c r="N49" s="13">
        <f t="shared" si="3"/>
        <v>0</v>
      </c>
      <c r="O49" s="13">
        <f t="shared" si="4"/>
        <v>0</v>
      </c>
      <c r="P49" s="13">
        <f t="shared" si="5"/>
        <v>0</v>
      </c>
    </row>
    <row r="50" spans="1:16" x14ac:dyDescent="0.25">
      <c r="A50">
        <f t="shared" si="8"/>
        <v>46</v>
      </c>
      <c r="B50">
        <f t="shared" si="8"/>
        <v>2063</v>
      </c>
      <c r="C50" s="16">
        <f>MIN(MAX($A50-Inputs!$I$74,0),1)*Inputs!I$75</f>
        <v>1</v>
      </c>
      <c r="D50" s="16">
        <f>MIN(MAX($A50-Inputs!$I$74,0),1)*Inputs!I$76</f>
        <v>0</v>
      </c>
      <c r="E50" s="16">
        <f>MIN(MAX($A50-Inputs!$I$74,0),1)*Inputs!I$77</f>
        <v>0</v>
      </c>
      <c r="F50" s="16">
        <f>MIN(MAX($A50-Inputs!$I$74,0),1)*Inputs!I$78</f>
        <v>0</v>
      </c>
      <c r="G50" s="16">
        <f>MIN(MAX($A50-Inputs!$I$74,0),1)*Inputs!I$79</f>
        <v>0</v>
      </c>
      <c r="H50" s="16">
        <f>MIN(MAX($A50-Inputs!$I$74,0),1)*Inputs!I$80</f>
        <v>0</v>
      </c>
      <c r="I50" s="16">
        <f>MIN(MAX($A50-Inputs!$I$74,0),1)*Inputs!J$81</f>
        <v>0</v>
      </c>
      <c r="J50" s="16">
        <f>MIN(MAX($A50-Inputs!$I$74,0),1)*Inputs!K$82</f>
        <v>0</v>
      </c>
      <c r="K50" s="125">
        <f t="shared" si="0"/>
        <v>3.4999999999999996E-2</v>
      </c>
      <c r="L50" s="13">
        <f t="shared" si="1"/>
        <v>0.35</v>
      </c>
      <c r="M50" s="13">
        <f t="shared" si="2"/>
        <v>0</v>
      </c>
      <c r="N50" s="13">
        <f t="shared" si="3"/>
        <v>0</v>
      </c>
      <c r="O50" s="13">
        <f t="shared" si="4"/>
        <v>0</v>
      </c>
      <c r="P50" s="13">
        <f t="shared" si="5"/>
        <v>0</v>
      </c>
    </row>
    <row r="51" spans="1:16" x14ac:dyDescent="0.25">
      <c r="A51">
        <f t="shared" si="8"/>
        <v>47</v>
      </c>
      <c r="B51">
        <f t="shared" si="8"/>
        <v>2064</v>
      </c>
      <c r="C51" s="16">
        <f>MIN(MAX($A51-Inputs!$I$74,0),1)*Inputs!I$75</f>
        <v>1</v>
      </c>
      <c r="D51" s="16">
        <f>MIN(MAX($A51-Inputs!$I$74,0),1)*Inputs!I$76</f>
        <v>0</v>
      </c>
      <c r="E51" s="16">
        <f>MIN(MAX($A51-Inputs!$I$74,0),1)*Inputs!I$77</f>
        <v>0</v>
      </c>
      <c r="F51" s="16">
        <f>MIN(MAX($A51-Inputs!$I$74,0),1)*Inputs!I$78</f>
        <v>0</v>
      </c>
      <c r="G51" s="16">
        <f>MIN(MAX($A51-Inputs!$I$74,0),1)*Inputs!I$79</f>
        <v>0</v>
      </c>
      <c r="H51" s="16">
        <f>MIN(MAX($A51-Inputs!$I$74,0),1)*Inputs!I$80</f>
        <v>0</v>
      </c>
      <c r="I51" s="16">
        <f>MIN(MAX($A51-Inputs!$I$74,0),1)*Inputs!J$81</f>
        <v>0</v>
      </c>
      <c r="J51" s="16">
        <f>MIN(MAX($A51-Inputs!$I$74,0),1)*Inputs!K$82</f>
        <v>0</v>
      </c>
      <c r="K51" s="125">
        <f t="shared" si="0"/>
        <v>3.4999999999999996E-2</v>
      </c>
      <c r="L51" s="13">
        <f t="shared" si="1"/>
        <v>0.35</v>
      </c>
      <c r="M51" s="13">
        <f t="shared" si="2"/>
        <v>0</v>
      </c>
      <c r="N51" s="13">
        <f t="shared" si="3"/>
        <v>0</v>
      </c>
      <c r="O51" s="13">
        <f t="shared" si="4"/>
        <v>0</v>
      </c>
      <c r="P51" s="13">
        <f t="shared" si="5"/>
        <v>0</v>
      </c>
    </row>
    <row r="52" spans="1:16" x14ac:dyDescent="0.25">
      <c r="A52">
        <f t="shared" si="8"/>
        <v>48</v>
      </c>
      <c r="B52">
        <f t="shared" si="8"/>
        <v>2065</v>
      </c>
      <c r="C52" s="16">
        <f>MIN(MAX($A52-Inputs!$I$74,0),1)*Inputs!I$75</f>
        <v>1</v>
      </c>
      <c r="D52" s="16">
        <f>MIN(MAX($A52-Inputs!$I$74,0),1)*Inputs!I$76</f>
        <v>0</v>
      </c>
      <c r="E52" s="16">
        <f>MIN(MAX($A52-Inputs!$I$74,0),1)*Inputs!I$77</f>
        <v>0</v>
      </c>
      <c r="F52" s="16">
        <f>MIN(MAX($A52-Inputs!$I$74,0),1)*Inputs!I$78</f>
        <v>0</v>
      </c>
      <c r="G52" s="16">
        <f>MIN(MAX($A52-Inputs!$I$74,0),1)*Inputs!I$79</f>
        <v>0</v>
      </c>
      <c r="H52" s="16">
        <f>MIN(MAX($A52-Inputs!$I$74,0),1)*Inputs!I$80</f>
        <v>0</v>
      </c>
      <c r="I52" s="16">
        <f>MIN(MAX($A52-Inputs!$I$74,0),1)*Inputs!J$81</f>
        <v>0</v>
      </c>
      <c r="J52" s="16">
        <f>MIN(MAX($A52-Inputs!$I$74,0),1)*Inputs!K$82</f>
        <v>0</v>
      </c>
      <c r="K52" s="125">
        <f t="shared" si="0"/>
        <v>3.4999999999999996E-2</v>
      </c>
      <c r="L52" s="13">
        <f t="shared" si="1"/>
        <v>0.35</v>
      </c>
      <c r="M52" s="13">
        <f t="shared" si="2"/>
        <v>0</v>
      </c>
      <c r="N52" s="13">
        <f t="shared" si="3"/>
        <v>0</v>
      </c>
      <c r="O52" s="13">
        <f t="shared" si="4"/>
        <v>0</v>
      </c>
      <c r="P52" s="13">
        <f t="shared" si="5"/>
        <v>0</v>
      </c>
    </row>
    <row r="53" spans="1:16" x14ac:dyDescent="0.25">
      <c r="A53">
        <f t="shared" si="8"/>
        <v>49</v>
      </c>
      <c r="B53">
        <f t="shared" si="8"/>
        <v>2066</v>
      </c>
      <c r="C53" s="16">
        <f>MIN(MAX($A53-Inputs!$I$74,0),1)*Inputs!I$75</f>
        <v>1</v>
      </c>
      <c r="D53" s="16">
        <f>MIN(MAX($A53-Inputs!$I$74,0),1)*Inputs!I$76</f>
        <v>0</v>
      </c>
      <c r="E53" s="16">
        <f>MIN(MAX($A53-Inputs!$I$74,0),1)*Inputs!I$77</f>
        <v>0</v>
      </c>
      <c r="F53" s="16">
        <f>MIN(MAX($A53-Inputs!$I$74,0),1)*Inputs!I$78</f>
        <v>0</v>
      </c>
      <c r="G53" s="16">
        <f>MIN(MAX($A53-Inputs!$I$74,0),1)*Inputs!I$79</f>
        <v>0</v>
      </c>
      <c r="H53" s="16">
        <f>MIN(MAX($A53-Inputs!$I$74,0),1)*Inputs!I$80</f>
        <v>0</v>
      </c>
      <c r="I53" s="16">
        <f>MIN(MAX($A53-Inputs!$I$74,0),1)*Inputs!J$81</f>
        <v>0</v>
      </c>
      <c r="J53" s="16">
        <f>MIN(MAX($A53-Inputs!$I$74,0),1)*Inputs!K$82</f>
        <v>0</v>
      </c>
      <c r="K53" s="125">
        <f t="shared" si="0"/>
        <v>3.4999999999999996E-2</v>
      </c>
      <c r="L53" s="13">
        <f t="shared" si="1"/>
        <v>0.35</v>
      </c>
      <c r="M53" s="13">
        <f t="shared" si="2"/>
        <v>0</v>
      </c>
      <c r="N53" s="13">
        <f t="shared" si="3"/>
        <v>0</v>
      </c>
      <c r="O53" s="13">
        <f t="shared" si="4"/>
        <v>0</v>
      </c>
      <c r="P53" s="13">
        <f t="shared" si="5"/>
        <v>0</v>
      </c>
    </row>
    <row r="54" spans="1:16" x14ac:dyDescent="0.25">
      <c r="A54">
        <f t="shared" si="8"/>
        <v>50</v>
      </c>
      <c r="B54">
        <f t="shared" si="8"/>
        <v>2067</v>
      </c>
      <c r="C54" s="16">
        <f>MIN(MAX($A54-Inputs!$I$74,0),1)*Inputs!I$75</f>
        <v>1</v>
      </c>
      <c r="D54" s="16">
        <f>MIN(MAX($A54-Inputs!$I$74,0),1)*Inputs!I$76</f>
        <v>0</v>
      </c>
      <c r="E54" s="16">
        <f>MIN(MAX($A54-Inputs!$I$74,0),1)*Inputs!I$77</f>
        <v>0</v>
      </c>
      <c r="F54" s="16">
        <f>MIN(MAX($A54-Inputs!$I$74,0),1)*Inputs!I$78</f>
        <v>0</v>
      </c>
      <c r="G54" s="16">
        <f>MIN(MAX($A54-Inputs!$I$74,0),1)*Inputs!I$79</f>
        <v>0</v>
      </c>
      <c r="H54" s="16">
        <f>MIN(MAX($A54-Inputs!$I$74,0),1)*Inputs!I$80</f>
        <v>0</v>
      </c>
      <c r="I54" s="16">
        <f>MIN(MAX($A54-Inputs!$I$74,0),1)*Inputs!J$81</f>
        <v>0</v>
      </c>
      <c r="J54" s="16">
        <f>MIN(MAX($A54-Inputs!$I$74,0),1)*Inputs!K$82</f>
        <v>0</v>
      </c>
      <c r="K54" s="125">
        <f t="shared" si="0"/>
        <v>3.4999999999999996E-2</v>
      </c>
      <c r="L54" s="13">
        <f t="shared" si="1"/>
        <v>0.35</v>
      </c>
      <c r="M54" s="13">
        <f t="shared" si="2"/>
        <v>0</v>
      </c>
      <c r="N54" s="13">
        <f t="shared" si="3"/>
        <v>0</v>
      </c>
      <c r="O54" s="13">
        <f t="shared" si="4"/>
        <v>0</v>
      </c>
      <c r="P54" s="13">
        <f t="shared" si="5"/>
        <v>0</v>
      </c>
    </row>
    <row r="55" spans="1:16" x14ac:dyDescent="0.25">
      <c r="A55">
        <f t="shared" ref="A55:B57" si="9">A54+1</f>
        <v>51</v>
      </c>
      <c r="B55">
        <f t="shared" si="9"/>
        <v>2068</v>
      </c>
      <c r="C55" s="16">
        <f>MIN(MAX($A55-Inputs!$I$74,0),1)*Inputs!I$75</f>
        <v>1</v>
      </c>
      <c r="D55" s="16">
        <f>MIN(MAX($A55-Inputs!$I$74,0),1)*Inputs!I$76</f>
        <v>0</v>
      </c>
      <c r="E55" s="16">
        <f>MIN(MAX($A55-Inputs!$I$74,0),1)*Inputs!I$77</f>
        <v>0</v>
      </c>
      <c r="F55" s="16">
        <f>MIN(MAX($A55-Inputs!$I$74,0),1)*Inputs!I$78</f>
        <v>0</v>
      </c>
      <c r="G55" s="16">
        <f>MIN(MAX($A55-Inputs!$I$74,0),1)*Inputs!I$79</f>
        <v>0</v>
      </c>
      <c r="H55" s="16">
        <f>MIN(MAX($A55-Inputs!$I$74,0),1)*Inputs!I$80</f>
        <v>0</v>
      </c>
      <c r="I55" s="16">
        <f>MIN(MAX($A55-Inputs!$I$74,0),1)*Inputs!J$81</f>
        <v>0</v>
      </c>
      <c r="J55" s="16">
        <f>MIN(MAX($A55-Inputs!$I$74,0),1)*Inputs!K$82</f>
        <v>0</v>
      </c>
      <c r="K55" s="125">
        <f t="shared" si="0"/>
        <v>3.4999999999999996E-2</v>
      </c>
      <c r="L55" s="13">
        <f t="shared" si="1"/>
        <v>0.35</v>
      </c>
      <c r="M55" s="13">
        <f t="shared" si="2"/>
        <v>0</v>
      </c>
      <c r="N55" s="13">
        <f t="shared" si="3"/>
        <v>0</v>
      </c>
      <c r="O55" s="13">
        <f t="shared" si="4"/>
        <v>0</v>
      </c>
      <c r="P55" s="13">
        <f t="shared" si="5"/>
        <v>0</v>
      </c>
    </row>
    <row r="56" spans="1:16" x14ac:dyDescent="0.25">
      <c r="A56">
        <f t="shared" si="9"/>
        <v>52</v>
      </c>
      <c r="B56">
        <f t="shared" si="9"/>
        <v>2069</v>
      </c>
      <c r="C56" s="16">
        <f>MIN(MAX($A56-Inputs!$I$74,0),1)*Inputs!I$75</f>
        <v>1</v>
      </c>
      <c r="D56" s="16">
        <f>MIN(MAX($A56-Inputs!$I$74,0),1)*Inputs!I$76</f>
        <v>0</v>
      </c>
      <c r="E56" s="16">
        <f>MIN(MAX($A56-Inputs!$I$74,0),1)*Inputs!I$77</f>
        <v>0</v>
      </c>
      <c r="F56" s="16">
        <f>MIN(MAX($A56-Inputs!$I$74,0),1)*Inputs!I$78</f>
        <v>0</v>
      </c>
      <c r="G56" s="16">
        <f>MIN(MAX($A56-Inputs!$I$74,0),1)*Inputs!I$79</f>
        <v>0</v>
      </c>
      <c r="H56" s="16">
        <f>MIN(MAX($A56-Inputs!$I$74,0),1)*Inputs!I$80</f>
        <v>0</v>
      </c>
      <c r="I56" s="16">
        <f>MIN(MAX($A56-Inputs!$I$74,0),1)*Inputs!J$81</f>
        <v>0</v>
      </c>
      <c r="J56" s="16">
        <f>MIN(MAX($A56-Inputs!$I$74,0),1)*Inputs!K$82</f>
        <v>0</v>
      </c>
      <c r="K56" s="125">
        <f t="shared" si="0"/>
        <v>3.4999999999999996E-2</v>
      </c>
      <c r="L56" s="13">
        <f t="shared" si="1"/>
        <v>0.35</v>
      </c>
      <c r="M56" s="13">
        <f t="shared" si="2"/>
        <v>0</v>
      </c>
      <c r="N56" s="13">
        <f t="shared" si="3"/>
        <v>0</v>
      </c>
      <c r="O56" s="13">
        <f t="shared" si="4"/>
        <v>0</v>
      </c>
      <c r="P56" s="13">
        <f t="shared" si="5"/>
        <v>0</v>
      </c>
    </row>
    <row r="57" spans="1:16" x14ac:dyDescent="0.25">
      <c r="A57">
        <f t="shared" si="9"/>
        <v>53</v>
      </c>
      <c r="B57">
        <f t="shared" si="9"/>
        <v>2070</v>
      </c>
      <c r="C57" s="16">
        <f>MIN(MAX($A57-Inputs!$I$74,0),1)*Inputs!I$75</f>
        <v>1</v>
      </c>
      <c r="D57" s="16">
        <f>MIN(MAX($A57-Inputs!$I$74,0),1)*Inputs!I$76</f>
        <v>0</v>
      </c>
      <c r="E57" s="16">
        <f>MIN(MAX($A57-Inputs!$I$74,0),1)*Inputs!I$77</f>
        <v>0</v>
      </c>
      <c r="F57" s="16">
        <f>MIN(MAX($A57-Inputs!$I$74,0),1)*Inputs!I$78</f>
        <v>0</v>
      </c>
      <c r="G57" s="16">
        <f>MIN(MAX($A57-Inputs!$I$74,0),1)*Inputs!I$79</f>
        <v>0</v>
      </c>
      <c r="H57" s="16">
        <f>MIN(MAX($A57-Inputs!$I$74,0),1)*Inputs!I$80</f>
        <v>0</v>
      </c>
      <c r="I57" s="16">
        <f>MIN(MAX($A57-Inputs!$I$74,0),1)*Inputs!J$81</f>
        <v>0</v>
      </c>
      <c r="J57" s="16">
        <f>MIN(MAX($A57-Inputs!$I$74,0),1)*Inputs!K$82</f>
        <v>0</v>
      </c>
      <c r="K57" s="125">
        <f t="shared" si="0"/>
        <v>3.4999999999999996E-2</v>
      </c>
      <c r="L57" s="13">
        <f t="shared" si="1"/>
        <v>0.35</v>
      </c>
      <c r="M57" s="13">
        <f t="shared" si="2"/>
        <v>0</v>
      </c>
      <c r="N57" s="13">
        <f t="shared" si="3"/>
        <v>0</v>
      </c>
      <c r="O57" s="13">
        <f t="shared" si="4"/>
        <v>0</v>
      </c>
      <c r="P57" s="13">
        <f t="shared" si="5"/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57"/>
  <sheetViews>
    <sheetView workbookViewId="0">
      <selection activeCell="C26" sqref="C26"/>
    </sheetView>
  </sheetViews>
  <sheetFormatPr defaultRowHeight="15" x14ac:dyDescent="0.25"/>
  <sheetData>
    <row r="1" spans="1:20" ht="15.75" x14ac:dyDescent="0.25">
      <c r="A1" s="26" t="s">
        <v>172</v>
      </c>
    </row>
    <row r="2" spans="1:20" x14ac:dyDescent="0.25">
      <c r="C2" s="39"/>
    </row>
    <row r="3" spans="1:20" x14ac:dyDescent="0.25">
      <c r="C3" s="16"/>
    </row>
    <row r="4" spans="1:20" x14ac:dyDescent="0.25">
      <c r="B4" t="s">
        <v>97</v>
      </c>
      <c r="C4" t="s">
        <v>173</v>
      </c>
      <c r="E4" t="s">
        <v>174</v>
      </c>
    </row>
    <row r="5" spans="1:20" x14ac:dyDescent="0.25">
      <c r="A5">
        <v>1</v>
      </c>
      <c r="B5">
        <f>City!B3</f>
        <v>2018</v>
      </c>
      <c r="C5" s="16">
        <f>MIN(MAX(A5-Inputs!I$66,0),1)*(1+Inputs!I$68*$E$5)*(1+Inputs!I$69*$E$6)*(1+Inputs!I$70*$E$7)</f>
        <v>0</v>
      </c>
      <c r="D5" s="13"/>
      <c r="E5" s="13">
        <v>0.05</v>
      </c>
      <c r="F5" s="2" t="s">
        <v>51</v>
      </c>
      <c r="T5" s="171" t="s">
        <v>369</v>
      </c>
    </row>
    <row r="6" spans="1:20" x14ac:dyDescent="0.25">
      <c r="A6">
        <f>A5+1</f>
        <v>2</v>
      </c>
      <c r="B6">
        <f>B5+1</f>
        <v>2019</v>
      </c>
      <c r="C6" s="16">
        <f>MIN(MAX(A6-Inputs!I$66,0),1)*(1+Inputs!I$68*$E$5)*(1+Inputs!I$69*$E$6)*(1+Inputs!I$70*$E$7)</f>
        <v>0</v>
      </c>
      <c r="D6" s="13"/>
      <c r="E6" s="13">
        <v>0.2</v>
      </c>
      <c r="F6" s="2" t="s">
        <v>53</v>
      </c>
    </row>
    <row r="7" spans="1:20" x14ac:dyDescent="0.25">
      <c r="A7">
        <f t="shared" ref="A7:B22" si="0">A6+1</f>
        <v>3</v>
      </c>
      <c r="B7">
        <f t="shared" si="0"/>
        <v>2020</v>
      </c>
      <c r="C7" s="16">
        <f>MIN(MAX(A7-Inputs!I$66,0),1)*(1+Inputs!I$68*$E$5)*(1+Inputs!I$69*$E$6)*(1+Inputs!I$70*$E$7)</f>
        <v>0</v>
      </c>
      <c r="D7" s="13"/>
      <c r="E7" s="13">
        <v>0.5</v>
      </c>
      <c r="F7" s="2" t="s">
        <v>52</v>
      </c>
    </row>
    <row r="8" spans="1:20" x14ac:dyDescent="0.25">
      <c r="A8">
        <f t="shared" si="0"/>
        <v>4</v>
      </c>
      <c r="B8">
        <f t="shared" si="0"/>
        <v>2021</v>
      </c>
      <c r="C8" s="16">
        <f>MIN(MAX(A8-Inputs!I$66,0),1)*(1+Inputs!I$68*$E$5)*(1+Inputs!I$69*$E$6)*(1+Inputs!I$70*$E$7)</f>
        <v>0</v>
      </c>
      <c r="D8" s="13"/>
    </row>
    <row r="9" spans="1:20" x14ac:dyDescent="0.25">
      <c r="A9">
        <f t="shared" si="0"/>
        <v>5</v>
      </c>
      <c r="B9">
        <f t="shared" si="0"/>
        <v>2022</v>
      </c>
      <c r="C9" s="16">
        <f>MIN(MAX(A9-Inputs!I$66,0),1)*(1+Inputs!I$68*$E$5)*(1+Inputs!I$69*$E$6)*(1+Inputs!I$70*$E$7)</f>
        <v>0</v>
      </c>
      <c r="D9" s="13"/>
    </row>
    <row r="10" spans="1:20" x14ac:dyDescent="0.25">
      <c r="A10">
        <f t="shared" si="0"/>
        <v>6</v>
      </c>
      <c r="B10">
        <f t="shared" si="0"/>
        <v>2023</v>
      </c>
      <c r="C10" s="16">
        <f>MIN(MAX(A10-Inputs!I$66,0),1)*(1+Inputs!I$68*$E$5)*(1+Inputs!I$69*$E$6)*(1+Inputs!I$70*$E$7)</f>
        <v>1.05</v>
      </c>
      <c r="D10" s="13"/>
    </row>
    <row r="11" spans="1:20" x14ac:dyDescent="0.25">
      <c r="A11">
        <f t="shared" si="0"/>
        <v>7</v>
      </c>
      <c r="B11">
        <f t="shared" si="0"/>
        <v>2024</v>
      </c>
      <c r="C11" s="16">
        <f>MIN(MAX(A11-Inputs!I$66,0),1)*(1+Inputs!I$68*$E$5)*(1+Inputs!I$69*$E$6)*(1+Inputs!I$70*$E$7)</f>
        <v>1.05</v>
      </c>
      <c r="D11" s="13"/>
    </row>
    <row r="12" spans="1:20" x14ac:dyDescent="0.25">
      <c r="A12">
        <f t="shared" si="0"/>
        <v>8</v>
      </c>
      <c r="B12">
        <f t="shared" si="0"/>
        <v>2025</v>
      </c>
      <c r="C12" s="16">
        <f>MIN(MAX(A12-Inputs!I$66,0),1)*(1+Inputs!I$68*$E$5)*(1+Inputs!I$69*$E$6)*(1+Inputs!I$70*$E$7)</f>
        <v>1.05</v>
      </c>
      <c r="D12" s="13"/>
    </row>
    <row r="13" spans="1:20" x14ac:dyDescent="0.25">
      <c r="A13">
        <f t="shared" si="0"/>
        <v>9</v>
      </c>
      <c r="B13">
        <f t="shared" si="0"/>
        <v>2026</v>
      </c>
      <c r="C13" s="16">
        <f>MIN(MAX(A13-Inputs!I$66,0),1)*(1+Inputs!I$68*$E$5)*(1+Inputs!I$69*$E$6)*(1+Inputs!I$70*$E$7)</f>
        <v>1.05</v>
      </c>
      <c r="D13" s="13"/>
    </row>
    <row r="14" spans="1:20" x14ac:dyDescent="0.25">
      <c r="A14">
        <f t="shared" si="0"/>
        <v>10</v>
      </c>
      <c r="B14">
        <f t="shared" si="0"/>
        <v>2027</v>
      </c>
      <c r="C14" s="16">
        <f>MIN(MAX(A14-Inputs!I$66,0),1)*(1+Inputs!I$68*$E$5)*(1+Inputs!I$69*$E$6)*(1+Inputs!I$70*$E$7)</f>
        <v>1.05</v>
      </c>
      <c r="D14" s="13"/>
    </row>
    <row r="15" spans="1:20" x14ac:dyDescent="0.25">
      <c r="A15">
        <f t="shared" si="0"/>
        <v>11</v>
      </c>
      <c r="B15">
        <f t="shared" si="0"/>
        <v>2028</v>
      </c>
      <c r="C15" s="16">
        <f>MIN(MAX(A15-Inputs!I$66,0),1)*(1+Inputs!I$68*$E$5)*(1+Inputs!I$69*$E$6)*(1+Inputs!I$70*$E$7)</f>
        <v>1.05</v>
      </c>
      <c r="D15" s="13"/>
    </row>
    <row r="16" spans="1:20" x14ac:dyDescent="0.25">
      <c r="A16">
        <f t="shared" si="0"/>
        <v>12</v>
      </c>
      <c r="B16">
        <f t="shared" si="0"/>
        <v>2029</v>
      </c>
      <c r="C16" s="16">
        <f>MIN(MAX(A16-Inputs!I$66,0),1)*(1+Inputs!I$68*$E$5)*(1+Inputs!I$69*$E$6)*(1+Inputs!I$70*$E$7)</f>
        <v>1.05</v>
      </c>
      <c r="D16" s="13"/>
    </row>
    <row r="17" spans="1:4" x14ac:dyDescent="0.25">
      <c r="A17">
        <f t="shared" si="0"/>
        <v>13</v>
      </c>
      <c r="B17">
        <f t="shared" si="0"/>
        <v>2030</v>
      </c>
      <c r="C17" s="16">
        <f>MIN(MAX(A17-Inputs!I$66,0),1)*(1+Inputs!I$68*$E$5)*(1+Inputs!I$69*$E$6)*(1+Inputs!I$70*$E$7)</f>
        <v>1.05</v>
      </c>
      <c r="D17" s="13"/>
    </row>
    <row r="18" spans="1:4" x14ac:dyDescent="0.25">
      <c r="A18">
        <f t="shared" si="0"/>
        <v>14</v>
      </c>
      <c r="B18">
        <f t="shared" si="0"/>
        <v>2031</v>
      </c>
      <c r="C18" s="16">
        <f>MIN(MAX(A18-Inputs!I$66,0),1)*(1+Inputs!I$68*$E$5)*(1+Inputs!I$69*$E$6)*(1+Inputs!I$70*$E$7)</f>
        <v>1.05</v>
      </c>
      <c r="D18" s="13"/>
    </row>
    <row r="19" spans="1:4" x14ac:dyDescent="0.25">
      <c r="A19">
        <f t="shared" si="0"/>
        <v>15</v>
      </c>
      <c r="B19">
        <f t="shared" si="0"/>
        <v>2032</v>
      </c>
      <c r="C19" s="16">
        <f>MIN(MAX(A19-Inputs!I$66,0),1)*(1+Inputs!I$68*$E$5)*(1+Inputs!I$69*$E$6)*(1+Inputs!I$70*$E$7)</f>
        <v>1.05</v>
      </c>
      <c r="D19" s="13"/>
    </row>
    <row r="20" spans="1:4" x14ac:dyDescent="0.25">
      <c r="A20">
        <f t="shared" si="0"/>
        <v>16</v>
      </c>
      <c r="B20">
        <f t="shared" si="0"/>
        <v>2033</v>
      </c>
      <c r="C20" s="16">
        <f>MIN(MAX(A20-Inputs!I$66,0),1)*(1+Inputs!I$68*$E$5)*(1+Inputs!I$69*$E$6)*(1+Inputs!I$70*$E$7)</f>
        <v>1.05</v>
      </c>
      <c r="D20" s="13"/>
    </row>
    <row r="21" spans="1:4" x14ac:dyDescent="0.25">
      <c r="A21">
        <f t="shared" si="0"/>
        <v>17</v>
      </c>
      <c r="B21">
        <f t="shared" si="0"/>
        <v>2034</v>
      </c>
      <c r="C21" s="16">
        <f>MIN(MAX(A21-Inputs!I$66,0),1)*(1+Inputs!I$68*$E$5)*(1+Inputs!I$69*$E$6)*(1+Inputs!I$70*$E$7)</f>
        <v>1.05</v>
      </c>
      <c r="D21" s="13"/>
    </row>
    <row r="22" spans="1:4" x14ac:dyDescent="0.25">
      <c r="A22">
        <f t="shared" si="0"/>
        <v>18</v>
      </c>
      <c r="B22">
        <f t="shared" si="0"/>
        <v>2035</v>
      </c>
      <c r="C22" s="16">
        <f>MIN(MAX(A22-Inputs!I$66,0),1)*(1+Inputs!I$68*$E$5)*(1+Inputs!I$69*$E$6)*(1+Inputs!I$70*$E$7)</f>
        <v>1.05</v>
      </c>
      <c r="D22" s="13"/>
    </row>
    <row r="23" spans="1:4" x14ac:dyDescent="0.25">
      <c r="A23">
        <f t="shared" ref="A23:B38" si="1">A22+1</f>
        <v>19</v>
      </c>
      <c r="B23">
        <f t="shared" si="1"/>
        <v>2036</v>
      </c>
      <c r="C23" s="16">
        <f>MIN(MAX(A23-Inputs!I$66,0),1)*(1+Inputs!I$68*$E$5)*(1+Inputs!I$69*$E$6)*(1+Inputs!I$70*$E$7)</f>
        <v>1.05</v>
      </c>
      <c r="D23" s="13"/>
    </row>
    <row r="24" spans="1:4" x14ac:dyDescent="0.25">
      <c r="A24">
        <f t="shared" si="1"/>
        <v>20</v>
      </c>
      <c r="B24">
        <f t="shared" si="1"/>
        <v>2037</v>
      </c>
      <c r="C24" s="16">
        <f>MIN(MAX(A24-Inputs!I$66,0),1)*(1+Inputs!I$68*$E$5)*(1+Inputs!I$69*$E$6)*(1+Inputs!I$70*$E$7)</f>
        <v>1.05</v>
      </c>
      <c r="D24" s="13"/>
    </row>
    <row r="25" spans="1:4" x14ac:dyDescent="0.25">
      <c r="A25">
        <f t="shared" si="1"/>
        <v>21</v>
      </c>
      <c r="B25">
        <f t="shared" si="1"/>
        <v>2038</v>
      </c>
      <c r="C25" s="16">
        <f>MIN(MAX(A25-Inputs!I$66,0),1)*(1+Inputs!I$68*$E$5)*(1+Inputs!I$69*$E$6)*(1+Inputs!I$70*$E$7)</f>
        <v>1.05</v>
      </c>
      <c r="D25" s="13"/>
    </row>
    <row r="26" spans="1:4" x14ac:dyDescent="0.25">
      <c r="A26">
        <f t="shared" si="1"/>
        <v>22</v>
      </c>
      <c r="B26">
        <f t="shared" si="1"/>
        <v>2039</v>
      </c>
      <c r="C26" s="16">
        <f>MIN(MAX(A26-Inputs!I$66,0),1)*(1+Inputs!I$68*$E$5)*(1+Inputs!I$69*$E$6)*(1+Inputs!I$70*$E$7)</f>
        <v>1.05</v>
      </c>
      <c r="D26" s="13"/>
    </row>
    <row r="27" spans="1:4" x14ac:dyDescent="0.25">
      <c r="A27">
        <f t="shared" si="1"/>
        <v>23</v>
      </c>
      <c r="B27">
        <f t="shared" si="1"/>
        <v>2040</v>
      </c>
      <c r="C27" s="16">
        <f>MIN(MAX(A27-Inputs!I$66,0),1)*(1+Inputs!I$68*$E$5)*(1+Inputs!I$69*$E$6)*(1+Inputs!I$70*$E$7)</f>
        <v>1.05</v>
      </c>
      <c r="D27" s="13"/>
    </row>
    <row r="28" spans="1:4" x14ac:dyDescent="0.25">
      <c r="A28">
        <f t="shared" si="1"/>
        <v>24</v>
      </c>
      <c r="B28">
        <f t="shared" si="1"/>
        <v>2041</v>
      </c>
      <c r="C28" s="16">
        <f>MIN(MAX(A28-Inputs!I$66,0),1)*(1+Inputs!I$68*$E$5)*(1+Inputs!I$69*$E$6)*(1+Inputs!I$70*$E$7)</f>
        <v>1.05</v>
      </c>
      <c r="D28" s="13"/>
    </row>
    <row r="29" spans="1:4" x14ac:dyDescent="0.25">
      <c r="A29">
        <f t="shared" si="1"/>
        <v>25</v>
      </c>
      <c r="B29">
        <f t="shared" si="1"/>
        <v>2042</v>
      </c>
      <c r="C29" s="16">
        <f>MIN(MAX(A29-Inputs!I$66,0),1)*(1+Inputs!I$68*$E$5)*(1+Inputs!I$69*$E$6)*(1+Inputs!I$70*$E$7)</f>
        <v>1.05</v>
      </c>
      <c r="D29" s="13"/>
    </row>
    <row r="30" spans="1:4" x14ac:dyDescent="0.25">
      <c r="A30">
        <f t="shared" si="1"/>
        <v>26</v>
      </c>
      <c r="B30">
        <f t="shared" si="1"/>
        <v>2043</v>
      </c>
      <c r="C30" s="16">
        <f>MIN(MAX(A30-Inputs!I$66,0),1)*(1+Inputs!I$68*$E$5)*(1+Inputs!I$69*$E$6)*(1+Inputs!I$70*$E$7)</f>
        <v>1.05</v>
      </c>
      <c r="D30" s="13"/>
    </row>
    <row r="31" spans="1:4" x14ac:dyDescent="0.25">
      <c r="A31">
        <f t="shared" si="1"/>
        <v>27</v>
      </c>
      <c r="B31">
        <f t="shared" si="1"/>
        <v>2044</v>
      </c>
      <c r="C31" s="16">
        <f>MIN(MAX(A31-Inputs!I$66,0),1)*(1+Inputs!I$68*$E$5)*(1+Inputs!I$69*$E$6)*(1+Inputs!I$70*$E$7)</f>
        <v>1.05</v>
      </c>
      <c r="D31" s="13"/>
    </row>
    <row r="32" spans="1:4" x14ac:dyDescent="0.25">
      <c r="A32">
        <f t="shared" si="1"/>
        <v>28</v>
      </c>
      <c r="B32">
        <f t="shared" si="1"/>
        <v>2045</v>
      </c>
      <c r="C32" s="16">
        <f>MIN(MAX(A32-Inputs!I$66,0),1)*(1+Inputs!I$68*$E$5)*(1+Inputs!I$69*$E$6)*(1+Inputs!I$70*$E$7)</f>
        <v>1.05</v>
      </c>
      <c r="D32" s="13"/>
    </row>
    <row r="33" spans="1:4" x14ac:dyDescent="0.25">
      <c r="A33">
        <f t="shared" si="1"/>
        <v>29</v>
      </c>
      <c r="B33">
        <f t="shared" si="1"/>
        <v>2046</v>
      </c>
      <c r="C33" s="16">
        <f>MIN(MAX(A33-Inputs!I$66,0),1)*(1+Inputs!I$68*$E$5)*(1+Inputs!I$69*$E$6)*(1+Inputs!I$70*$E$7)</f>
        <v>1.05</v>
      </c>
      <c r="D33" s="13"/>
    </row>
    <row r="34" spans="1:4" x14ac:dyDescent="0.25">
      <c r="A34">
        <f t="shared" si="1"/>
        <v>30</v>
      </c>
      <c r="B34">
        <f t="shared" si="1"/>
        <v>2047</v>
      </c>
      <c r="C34" s="16">
        <f>MIN(MAX(A34-Inputs!I$66,0),1)*(1+Inputs!I$68*$E$5)*(1+Inputs!I$69*$E$6)*(1+Inputs!I$70*$E$7)</f>
        <v>1.05</v>
      </c>
      <c r="D34" s="13"/>
    </row>
    <row r="35" spans="1:4" x14ac:dyDescent="0.25">
      <c r="A35">
        <f t="shared" si="1"/>
        <v>31</v>
      </c>
      <c r="B35">
        <f t="shared" si="1"/>
        <v>2048</v>
      </c>
      <c r="C35" s="16">
        <f>MIN(MAX(A35-Inputs!I$66,0),1)*(1+Inputs!I$68*$E$5)*(1+Inputs!I$69*$E$6)*(1+Inputs!I$70*$E$7)</f>
        <v>1.05</v>
      </c>
      <c r="D35" s="13"/>
    </row>
    <row r="36" spans="1:4" x14ac:dyDescent="0.25">
      <c r="A36">
        <f t="shared" si="1"/>
        <v>32</v>
      </c>
      <c r="B36">
        <f t="shared" si="1"/>
        <v>2049</v>
      </c>
      <c r="C36" s="16">
        <f>MIN(MAX(A36-Inputs!I$66,0),1)*(1+Inputs!I$68*$E$5)*(1+Inputs!I$69*$E$6)*(1+Inputs!I$70*$E$7)</f>
        <v>1.05</v>
      </c>
      <c r="D36" s="13"/>
    </row>
    <row r="37" spans="1:4" x14ac:dyDescent="0.25">
      <c r="A37">
        <f t="shared" si="1"/>
        <v>33</v>
      </c>
      <c r="B37">
        <f t="shared" si="1"/>
        <v>2050</v>
      </c>
      <c r="C37" s="16">
        <f>MIN(MAX(A37-Inputs!I$66,0),1)*(1+Inputs!I$68*$E$5)*(1+Inputs!I$69*$E$6)*(1+Inputs!I$70*$E$7)</f>
        <v>1.05</v>
      </c>
      <c r="D37" s="13"/>
    </row>
    <row r="38" spans="1:4" x14ac:dyDescent="0.25">
      <c r="A38">
        <f t="shared" si="1"/>
        <v>34</v>
      </c>
      <c r="B38">
        <f t="shared" si="1"/>
        <v>2051</v>
      </c>
      <c r="C38" s="16">
        <f>MIN(MAX(A38-Inputs!I$66,0),1)*(1+Inputs!I$68*$E$5)*(1+Inputs!I$69*$E$6)*(1+Inputs!I$70*$E$7)</f>
        <v>1.05</v>
      </c>
      <c r="D38" s="13"/>
    </row>
    <row r="39" spans="1:4" x14ac:dyDescent="0.25">
      <c r="A39">
        <f t="shared" ref="A39:B54" si="2">A38+1</f>
        <v>35</v>
      </c>
      <c r="B39">
        <f t="shared" si="2"/>
        <v>2052</v>
      </c>
      <c r="C39" s="16">
        <f>MIN(MAX(A39-Inputs!I$66,0),1)*(1+Inputs!I$68*$E$5)*(1+Inputs!I$69*$E$6)*(1+Inputs!I$70*$E$7)</f>
        <v>1.05</v>
      </c>
      <c r="D39" s="13"/>
    </row>
    <row r="40" spans="1:4" x14ac:dyDescent="0.25">
      <c r="A40">
        <f t="shared" si="2"/>
        <v>36</v>
      </c>
      <c r="B40">
        <f t="shared" si="2"/>
        <v>2053</v>
      </c>
      <c r="C40" s="16">
        <f>MIN(MAX(A40-Inputs!I$66,0),1)*(1+Inputs!I$68*$E$5)*(1+Inputs!I$69*$E$6)*(1+Inputs!I$70*$E$7)</f>
        <v>1.05</v>
      </c>
      <c r="D40" s="13"/>
    </row>
    <row r="41" spans="1:4" x14ac:dyDescent="0.25">
      <c r="A41">
        <f t="shared" si="2"/>
        <v>37</v>
      </c>
      <c r="B41">
        <f t="shared" si="2"/>
        <v>2054</v>
      </c>
      <c r="C41" s="16">
        <f>MIN(MAX(A41-Inputs!I$66,0),1)*(1+Inputs!I$68*$E$5)*(1+Inputs!I$69*$E$6)*(1+Inputs!I$70*$E$7)</f>
        <v>1.05</v>
      </c>
      <c r="D41" s="13"/>
    </row>
    <row r="42" spans="1:4" x14ac:dyDescent="0.25">
      <c r="A42">
        <f t="shared" si="2"/>
        <v>38</v>
      </c>
      <c r="B42">
        <f t="shared" si="2"/>
        <v>2055</v>
      </c>
      <c r="C42" s="16">
        <f>MIN(MAX(A42-Inputs!I$66,0),1)*(1+Inputs!I$68*$E$5)*(1+Inputs!I$69*$E$6)*(1+Inputs!I$70*$E$7)</f>
        <v>1.05</v>
      </c>
      <c r="D42" s="13"/>
    </row>
    <row r="43" spans="1:4" x14ac:dyDescent="0.25">
      <c r="A43">
        <f t="shared" si="2"/>
        <v>39</v>
      </c>
      <c r="B43">
        <f t="shared" si="2"/>
        <v>2056</v>
      </c>
      <c r="C43" s="16">
        <f>MIN(MAX(A43-Inputs!I$66,0),1)*(1+Inputs!I$68*$E$5)*(1+Inputs!I$69*$E$6)*(1+Inputs!I$70*$E$7)</f>
        <v>1.05</v>
      </c>
      <c r="D43" s="13"/>
    </row>
    <row r="44" spans="1:4" x14ac:dyDescent="0.25">
      <c r="A44">
        <f t="shared" si="2"/>
        <v>40</v>
      </c>
      <c r="B44">
        <f t="shared" si="2"/>
        <v>2057</v>
      </c>
      <c r="C44" s="16">
        <f>MIN(MAX(A44-Inputs!I$66,0),1)*(1+Inputs!I$68*$E$5)*(1+Inputs!I$69*$E$6)*(1+Inputs!I$70*$E$7)</f>
        <v>1.05</v>
      </c>
      <c r="D44" s="13"/>
    </row>
    <row r="45" spans="1:4" x14ac:dyDescent="0.25">
      <c r="A45">
        <f t="shared" si="2"/>
        <v>41</v>
      </c>
      <c r="B45">
        <f t="shared" si="2"/>
        <v>2058</v>
      </c>
      <c r="C45" s="16">
        <f>MIN(MAX(A45-Inputs!I$66,0),1)*(1+Inputs!I$68*$E$5)*(1+Inputs!I$69*$E$6)*(1+Inputs!I$70*$E$7)</f>
        <v>1.05</v>
      </c>
      <c r="D45" s="13"/>
    </row>
    <row r="46" spans="1:4" x14ac:dyDescent="0.25">
      <c r="A46">
        <f t="shared" si="2"/>
        <v>42</v>
      </c>
      <c r="B46">
        <f t="shared" si="2"/>
        <v>2059</v>
      </c>
      <c r="C46" s="16">
        <f>MIN(MAX(A46-Inputs!I$66,0),1)*(1+Inputs!I$68*$E$5)*(1+Inputs!I$69*$E$6)*(1+Inputs!I$70*$E$7)</f>
        <v>1.05</v>
      </c>
      <c r="D46" s="13"/>
    </row>
    <row r="47" spans="1:4" x14ac:dyDescent="0.25">
      <c r="A47">
        <f t="shared" si="2"/>
        <v>43</v>
      </c>
      <c r="B47">
        <f t="shared" si="2"/>
        <v>2060</v>
      </c>
      <c r="C47" s="16">
        <f>MIN(MAX(A47-Inputs!I$66,0),1)*(1+Inputs!I$68*$E$5)*(1+Inputs!I$69*$E$6)*(1+Inputs!I$70*$E$7)</f>
        <v>1.05</v>
      </c>
      <c r="D47" s="13"/>
    </row>
    <row r="48" spans="1:4" x14ac:dyDescent="0.25">
      <c r="A48">
        <f t="shared" si="2"/>
        <v>44</v>
      </c>
      <c r="B48">
        <f t="shared" si="2"/>
        <v>2061</v>
      </c>
      <c r="C48" s="16">
        <f>MIN(MAX(A48-Inputs!I$66,0),1)*(1+Inputs!I$68*$E$5)*(1+Inputs!I$69*$E$6)*(1+Inputs!I$70*$E$7)</f>
        <v>1.05</v>
      </c>
      <c r="D48" s="13"/>
    </row>
    <row r="49" spans="1:4" x14ac:dyDescent="0.25">
      <c r="A49">
        <f t="shared" si="2"/>
        <v>45</v>
      </c>
      <c r="B49">
        <f t="shared" si="2"/>
        <v>2062</v>
      </c>
      <c r="C49" s="16">
        <f>MIN(MAX(A49-Inputs!I$66,0),1)*(1+Inputs!I$68*$E$5)*(1+Inputs!I$69*$E$6)*(1+Inputs!I$70*$E$7)</f>
        <v>1.05</v>
      </c>
      <c r="D49" s="13"/>
    </row>
    <row r="50" spans="1:4" x14ac:dyDescent="0.25">
      <c r="A50">
        <f t="shared" si="2"/>
        <v>46</v>
      </c>
      <c r="B50">
        <f t="shared" si="2"/>
        <v>2063</v>
      </c>
      <c r="C50" s="16">
        <f>MIN(MAX(A50-Inputs!I$66,0),1)*(1+Inputs!I$68*$E$5)*(1+Inputs!I$69*$E$6)*(1+Inputs!I$70*$E$7)</f>
        <v>1.05</v>
      </c>
      <c r="D50" s="13"/>
    </row>
    <row r="51" spans="1:4" x14ac:dyDescent="0.25">
      <c r="A51">
        <f t="shared" si="2"/>
        <v>47</v>
      </c>
      <c r="B51">
        <f t="shared" si="2"/>
        <v>2064</v>
      </c>
      <c r="C51" s="16">
        <f>MIN(MAX(A51-Inputs!I$66,0),1)*(1+Inputs!I$68*$E$5)*(1+Inputs!I$69*$E$6)*(1+Inputs!I$70*$E$7)</f>
        <v>1.05</v>
      </c>
      <c r="D51" s="13"/>
    </row>
    <row r="52" spans="1:4" x14ac:dyDescent="0.25">
      <c r="A52">
        <f t="shared" si="2"/>
        <v>48</v>
      </c>
      <c r="B52">
        <f t="shared" si="2"/>
        <v>2065</v>
      </c>
      <c r="C52" s="16">
        <f>MIN(MAX(A52-Inputs!I$66,0),1)*(1+Inputs!I$68*$E$5)*(1+Inputs!I$69*$E$6)*(1+Inputs!I$70*$E$7)</f>
        <v>1.05</v>
      </c>
      <c r="D52" s="13"/>
    </row>
    <row r="53" spans="1:4" x14ac:dyDescent="0.25">
      <c r="A53">
        <f t="shared" si="2"/>
        <v>49</v>
      </c>
      <c r="B53">
        <f t="shared" si="2"/>
        <v>2066</v>
      </c>
      <c r="C53" s="16">
        <f>MIN(MAX(A53-Inputs!I$66,0),1)*(1+Inputs!I$68*$E$5)*(1+Inputs!I$69*$E$6)*(1+Inputs!I$70*$E$7)</f>
        <v>1.05</v>
      </c>
      <c r="D53" s="13"/>
    </row>
    <row r="54" spans="1:4" x14ac:dyDescent="0.25">
      <c r="A54">
        <f t="shared" si="2"/>
        <v>50</v>
      </c>
      <c r="B54">
        <f t="shared" si="2"/>
        <v>2067</v>
      </c>
      <c r="C54" s="16">
        <f>MIN(MAX(A54-Inputs!I$66,0),1)*(1+Inputs!I$68*$E$5)*(1+Inputs!I$69*$E$6)*(1+Inputs!I$70*$E$7)</f>
        <v>1.05</v>
      </c>
      <c r="D54" s="13"/>
    </row>
    <row r="55" spans="1:4" x14ac:dyDescent="0.25">
      <c r="A55">
        <f t="shared" ref="A55:B57" si="3">A54+1</f>
        <v>51</v>
      </c>
      <c r="B55">
        <f t="shared" si="3"/>
        <v>2068</v>
      </c>
      <c r="C55" s="16">
        <f>MIN(MAX(A55-Inputs!I$66,0),1)*(1+Inputs!I$68*$E$5)*(1+Inputs!I$69*$E$6)*(1+Inputs!I$70*$E$7)</f>
        <v>1.05</v>
      </c>
      <c r="D55" s="13"/>
    </row>
    <row r="56" spans="1:4" x14ac:dyDescent="0.25">
      <c r="A56">
        <f t="shared" si="3"/>
        <v>52</v>
      </c>
      <c r="B56">
        <f t="shared" si="3"/>
        <v>2069</v>
      </c>
      <c r="C56" s="16">
        <f>MIN(MAX(A56-Inputs!I$66,0),1)*(1+Inputs!I$68*$E$5)*(1+Inputs!I$69*$E$6)*(1+Inputs!I$70*$E$7)</f>
        <v>1.05</v>
      </c>
      <c r="D56" s="13"/>
    </row>
    <row r="57" spans="1:4" x14ac:dyDescent="0.25">
      <c r="A57">
        <f t="shared" si="3"/>
        <v>53</v>
      </c>
      <c r="B57">
        <f t="shared" si="3"/>
        <v>2070</v>
      </c>
      <c r="C57" s="16">
        <f>MIN(MAX(A57-Inputs!I$66,0),1)*(1+Inputs!I$68*$E$5)*(1+Inputs!I$69*$E$6)*(1+Inputs!I$70*$E$7)</f>
        <v>1.05</v>
      </c>
      <c r="D57" s="1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57"/>
  <sheetViews>
    <sheetView workbookViewId="0">
      <selection activeCell="T3" sqref="T3"/>
    </sheetView>
  </sheetViews>
  <sheetFormatPr defaultRowHeight="15" x14ac:dyDescent="0.25"/>
  <cols>
    <col min="1" max="1" width="9.7109375" customWidth="1"/>
    <col min="2" max="2" width="11.140625" customWidth="1"/>
    <col min="3" max="3" width="10.42578125" customWidth="1"/>
    <col min="4" max="4" width="10.5703125" customWidth="1"/>
    <col min="5" max="5" width="9.7109375" customWidth="1"/>
    <col min="6" max="6" width="9.140625" customWidth="1"/>
    <col min="7" max="7" width="11" customWidth="1"/>
    <col min="8" max="8" width="10.28515625" customWidth="1"/>
    <col min="9" max="9" width="11" customWidth="1"/>
    <col min="10" max="10" width="10.28515625" customWidth="1"/>
    <col min="12" max="12" width="11" customWidth="1"/>
    <col min="14" max="14" width="10.85546875" customWidth="1"/>
    <col min="15" max="15" width="12" customWidth="1"/>
  </cols>
  <sheetData>
    <row r="1" spans="1:20" ht="15.75" x14ac:dyDescent="0.25">
      <c r="A1" s="26" t="s">
        <v>154</v>
      </c>
    </row>
    <row r="2" spans="1:20" x14ac:dyDescent="0.25">
      <c r="A2" s="36" t="s">
        <v>106</v>
      </c>
      <c r="B2" s="36" t="s">
        <v>151</v>
      </c>
      <c r="C2" s="37">
        <f>City!B16</f>
        <v>0.35</v>
      </c>
      <c r="D2" s="38">
        <f>City!B17</f>
        <v>0.65</v>
      </c>
      <c r="E2" s="38">
        <f>City!B16</f>
        <v>0.35</v>
      </c>
      <c r="F2" s="38">
        <f>City!B17</f>
        <v>0.65</v>
      </c>
      <c r="G2" s="38">
        <f>City!B16</f>
        <v>0.35</v>
      </c>
      <c r="H2" s="38">
        <f>City!B17</f>
        <v>0.65</v>
      </c>
      <c r="I2" s="38">
        <f>City!B15</f>
        <v>1</v>
      </c>
      <c r="J2" s="38">
        <f>City!B15</f>
        <v>1</v>
      </c>
    </row>
    <row r="3" spans="1:20" x14ac:dyDescent="0.25">
      <c r="A3" s="35" t="s">
        <v>106</v>
      </c>
      <c r="B3" s="12" t="s">
        <v>150</v>
      </c>
      <c r="C3" s="27">
        <f>City!B10</f>
        <v>0.1</v>
      </c>
      <c r="D3" s="27">
        <f>City!B10</f>
        <v>0.1</v>
      </c>
      <c r="E3" s="27">
        <f>City!B11</f>
        <v>0.25</v>
      </c>
      <c r="F3" s="27">
        <f>City!B11</f>
        <v>0.25</v>
      </c>
      <c r="G3" s="27">
        <f>City!B12</f>
        <v>0.1</v>
      </c>
      <c r="H3" s="27">
        <f>City!B12</f>
        <v>0.1</v>
      </c>
      <c r="I3" s="27">
        <f>City!B13</f>
        <v>0.4</v>
      </c>
      <c r="J3" s="27">
        <f>City!B14</f>
        <v>0.15</v>
      </c>
      <c r="T3" s="171" t="s">
        <v>369</v>
      </c>
    </row>
    <row r="4" spans="1:20" ht="45" x14ac:dyDescent="0.25">
      <c r="B4" s="21" t="s">
        <v>97</v>
      </c>
      <c r="C4" s="91" t="s">
        <v>214</v>
      </c>
      <c r="D4" s="91" t="s">
        <v>215</v>
      </c>
      <c r="E4" s="32" t="s">
        <v>54</v>
      </c>
      <c r="F4" s="32" t="s">
        <v>55</v>
      </c>
      <c r="G4" s="32" t="s">
        <v>149</v>
      </c>
      <c r="H4" s="32" t="s">
        <v>57</v>
      </c>
      <c r="I4" s="32" t="s">
        <v>20</v>
      </c>
      <c r="J4" s="32" t="s">
        <v>42</v>
      </c>
      <c r="K4" s="124" t="s">
        <v>136</v>
      </c>
      <c r="L4" s="104" t="str">
        <f>City!$A$10</f>
        <v>Downtown</v>
      </c>
      <c r="M4" s="104" t="str">
        <f>City!$A$11</f>
        <v>Urban</v>
      </c>
      <c r="N4" s="103" t="str">
        <f>City!$A$12</f>
        <v>Suburban Business</v>
      </c>
      <c r="O4" s="103" t="str">
        <f>City!$A$13</f>
        <v>Suburban Residential</v>
      </c>
      <c r="P4" s="79" t="str">
        <f>City!$A$14</f>
        <v>Rural</v>
      </c>
    </row>
    <row r="5" spans="1:20" x14ac:dyDescent="0.25">
      <c r="A5">
        <v>1</v>
      </c>
      <c r="B5">
        <f>City!B3</f>
        <v>2018</v>
      </c>
      <c r="C5" s="16">
        <f>MIN(MAX($A5-Inputs!$I$86-Inputs!I$7,0),1)*Inputs!I$87</f>
        <v>0</v>
      </c>
      <c r="D5" s="16">
        <f>MIN(MAX($A5-Inputs!$I$86-Inputs!I$7,0),1)*Inputs!I$88</f>
        <v>0</v>
      </c>
      <c r="E5" s="16">
        <f>MIN(MAX($A5-Inputs!$I$86-Inputs!I$7,0),1)*Inputs!I$89</f>
        <v>0</v>
      </c>
      <c r="F5" s="16">
        <f>MIN(MAX($A5-Inputs!$I$86-Inputs!I$7,0),1)*Inputs!I$90</f>
        <v>0</v>
      </c>
      <c r="G5" s="16">
        <f>MIN(MAX($A5-Inputs!$I$86-Inputs!I$7,0),1)*Inputs!I$91</f>
        <v>0</v>
      </c>
      <c r="H5" s="16">
        <f>MIN(MAX($A5-Inputs!$I$86-Inputs!I$7,0),1)*Inputs!I$92</f>
        <v>0</v>
      </c>
      <c r="I5" s="16">
        <f>MIN(MAX($A5-Inputs!$I$86-Inputs!I$7,0),1)*Inputs!J$93</f>
        <v>0</v>
      </c>
      <c r="J5" s="16">
        <f>MIN(MAX($A5-Inputs!$I$86-Inputs!I$7,0),1)*Inputs!K$94</f>
        <v>0</v>
      </c>
      <c r="K5" s="125">
        <f>SUMPRODUCT(C5:J5,C$3:J$3,C$2:J$2)</f>
        <v>0</v>
      </c>
      <c r="L5" s="13">
        <f>C5*$C$2+D5*$D$2</f>
        <v>0</v>
      </c>
      <c r="M5" s="13">
        <f>E5*$E$2+F5*$F$2</f>
        <v>0</v>
      </c>
      <c r="N5" s="13">
        <f>G5*$G$2+H5*$H$2</f>
        <v>0</v>
      </c>
      <c r="O5" s="13">
        <f>I5</f>
        <v>0</v>
      </c>
      <c r="P5" s="13">
        <f>J5</f>
        <v>0</v>
      </c>
    </row>
    <row r="6" spans="1:20" x14ac:dyDescent="0.25">
      <c r="A6">
        <f>A5+1</f>
        <v>2</v>
      </c>
      <c r="B6">
        <f>B5+1</f>
        <v>2019</v>
      </c>
      <c r="C6" s="16">
        <f>MIN(MAX($A6-Inputs!$I$86-Inputs!I$7,0),1)*Inputs!I$87</f>
        <v>0</v>
      </c>
      <c r="D6" s="16">
        <f>MIN(MAX($A6-Inputs!$I$86-Inputs!I$7,0),1)*Inputs!I$88</f>
        <v>0</v>
      </c>
      <c r="E6" s="16">
        <f>MIN(MAX($A6-Inputs!$I$86-Inputs!I$7,0),1)*Inputs!I$89</f>
        <v>0</v>
      </c>
      <c r="F6" s="16">
        <f>MIN(MAX($A6-Inputs!$I$86-Inputs!I$7,0),1)*Inputs!I$90</f>
        <v>0</v>
      </c>
      <c r="G6" s="16">
        <f>MIN(MAX($A6-Inputs!$I$86-Inputs!I$7,0),1)*Inputs!I$91</f>
        <v>0</v>
      </c>
      <c r="H6" s="16">
        <f>MIN(MAX($A6-Inputs!$I$86-Inputs!I$7,0),1)*Inputs!I$92</f>
        <v>0</v>
      </c>
      <c r="I6" s="16">
        <f>MIN(MAX($A6-Inputs!$I$86-Inputs!I$7,0),1)*Inputs!J$93</f>
        <v>0</v>
      </c>
      <c r="J6" s="16">
        <f>MIN(MAX($A6-Inputs!$I$86-Inputs!I$7,0),1)*Inputs!K$94</f>
        <v>0</v>
      </c>
      <c r="K6" s="125">
        <f t="shared" ref="K6:K57" si="0">SUMPRODUCT(C6:J6,C$3:J$3,C$2:J$2)</f>
        <v>0</v>
      </c>
      <c r="L6" s="13">
        <f t="shared" ref="L6:L57" si="1">C6*$C$2+D6*$D$2</f>
        <v>0</v>
      </c>
      <c r="M6" s="13">
        <f t="shared" ref="M6:M57" si="2">E6*$E$2+F6*$F$2</f>
        <v>0</v>
      </c>
      <c r="N6" s="13">
        <f t="shared" ref="N6:N57" si="3">G6*$G$2+H6*$H$2</f>
        <v>0</v>
      </c>
      <c r="O6" s="13">
        <f t="shared" ref="O6:O57" si="4">I6</f>
        <v>0</v>
      </c>
      <c r="P6" s="13">
        <f t="shared" ref="P6:P57" si="5">J6</f>
        <v>0</v>
      </c>
    </row>
    <row r="7" spans="1:20" x14ac:dyDescent="0.25">
      <c r="A7">
        <f t="shared" ref="A7:B22" si="6">A6+1</f>
        <v>3</v>
      </c>
      <c r="B7">
        <f t="shared" si="6"/>
        <v>2020</v>
      </c>
      <c r="C7" s="16">
        <f>MIN(MAX($A7-Inputs!$I$86-Inputs!I$7,0),1)*Inputs!I$87</f>
        <v>0</v>
      </c>
      <c r="D7" s="16">
        <f>MIN(MAX($A7-Inputs!$I$86-Inputs!I$7,0),1)*Inputs!I$88</f>
        <v>0</v>
      </c>
      <c r="E7" s="16">
        <f>MIN(MAX($A7-Inputs!$I$86-Inputs!I$7,0),1)*Inputs!I$89</f>
        <v>0</v>
      </c>
      <c r="F7" s="16">
        <f>MIN(MAX($A7-Inputs!$I$86-Inputs!I$7,0),1)*Inputs!I$90</f>
        <v>0</v>
      </c>
      <c r="G7" s="16">
        <f>MIN(MAX($A7-Inputs!$I$86-Inputs!I$7,0),1)*Inputs!I$91</f>
        <v>0</v>
      </c>
      <c r="H7" s="16">
        <f>MIN(MAX($A7-Inputs!$I$86-Inputs!I$7,0),1)*Inputs!I$92</f>
        <v>0</v>
      </c>
      <c r="I7" s="16">
        <f>MIN(MAX($A7-Inputs!$I$86-Inputs!I$7,0),1)*Inputs!J$93</f>
        <v>0</v>
      </c>
      <c r="J7" s="16">
        <f>MIN(MAX($A7-Inputs!$I$86-Inputs!I$7,0),1)*Inputs!K$94</f>
        <v>0</v>
      </c>
      <c r="K7" s="125">
        <f t="shared" si="0"/>
        <v>0</v>
      </c>
      <c r="L7" s="13">
        <f t="shared" si="1"/>
        <v>0</v>
      </c>
      <c r="M7" s="13">
        <f t="shared" si="2"/>
        <v>0</v>
      </c>
      <c r="N7" s="13">
        <f t="shared" si="3"/>
        <v>0</v>
      </c>
      <c r="O7" s="13">
        <f t="shared" si="4"/>
        <v>0</v>
      </c>
      <c r="P7" s="13">
        <f t="shared" si="5"/>
        <v>0</v>
      </c>
    </row>
    <row r="8" spans="1:20" x14ac:dyDescent="0.25">
      <c r="A8">
        <f t="shared" si="6"/>
        <v>4</v>
      </c>
      <c r="B8">
        <f t="shared" si="6"/>
        <v>2021</v>
      </c>
      <c r="C8" s="16">
        <f>MIN(MAX($A8-Inputs!$I$86-Inputs!I$7,0),1)*Inputs!I$87</f>
        <v>0</v>
      </c>
      <c r="D8" s="16">
        <f>MIN(MAX($A8-Inputs!$I$86-Inputs!I$7,0),1)*Inputs!I$88</f>
        <v>0</v>
      </c>
      <c r="E8" s="16">
        <f>MIN(MAX($A8-Inputs!$I$86-Inputs!I$7,0),1)*Inputs!I$89</f>
        <v>0</v>
      </c>
      <c r="F8" s="16">
        <f>MIN(MAX($A8-Inputs!$I$86-Inputs!I$7,0),1)*Inputs!I$90</f>
        <v>0</v>
      </c>
      <c r="G8" s="16">
        <f>MIN(MAX($A8-Inputs!$I$86-Inputs!I$7,0),1)*Inputs!I$91</f>
        <v>0</v>
      </c>
      <c r="H8" s="16">
        <f>MIN(MAX($A8-Inputs!$I$86-Inputs!I$7,0),1)*Inputs!I$92</f>
        <v>0</v>
      </c>
      <c r="I8" s="16">
        <f>MIN(MAX($A8-Inputs!$I$86-Inputs!I$7,0),1)*Inputs!J$93</f>
        <v>0</v>
      </c>
      <c r="J8" s="16">
        <f>MIN(MAX($A8-Inputs!$I$86-Inputs!I$7,0),1)*Inputs!K$94</f>
        <v>0</v>
      </c>
      <c r="K8" s="125">
        <f t="shared" si="0"/>
        <v>0</v>
      </c>
      <c r="L8" s="13">
        <f t="shared" si="1"/>
        <v>0</v>
      </c>
      <c r="M8" s="13">
        <f t="shared" si="2"/>
        <v>0</v>
      </c>
      <c r="N8" s="13">
        <f t="shared" si="3"/>
        <v>0</v>
      </c>
      <c r="O8" s="13">
        <f t="shared" si="4"/>
        <v>0</v>
      </c>
      <c r="P8" s="13">
        <f t="shared" si="5"/>
        <v>0</v>
      </c>
    </row>
    <row r="9" spans="1:20" x14ac:dyDescent="0.25">
      <c r="A9">
        <f t="shared" si="6"/>
        <v>5</v>
      </c>
      <c r="B9">
        <f t="shared" si="6"/>
        <v>2022</v>
      </c>
      <c r="C9" s="16">
        <f>MIN(MAX($A9-Inputs!$I$86-Inputs!I$7,0),1)*Inputs!I$87</f>
        <v>0</v>
      </c>
      <c r="D9" s="16">
        <f>MIN(MAX($A9-Inputs!$I$86-Inputs!I$7,0),1)*Inputs!I$88</f>
        <v>0</v>
      </c>
      <c r="E9" s="16">
        <f>MIN(MAX($A9-Inputs!$I$86-Inputs!I$7,0),1)*Inputs!I$89</f>
        <v>0</v>
      </c>
      <c r="F9" s="16">
        <f>MIN(MAX($A9-Inputs!$I$86-Inputs!I$7,0),1)*Inputs!I$90</f>
        <v>0</v>
      </c>
      <c r="G9" s="16">
        <f>MIN(MAX($A9-Inputs!$I$86-Inputs!I$7,0),1)*Inputs!I$91</f>
        <v>0</v>
      </c>
      <c r="H9" s="16">
        <f>MIN(MAX($A9-Inputs!$I$86-Inputs!I$7,0),1)*Inputs!I$92</f>
        <v>0</v>
      </c>
      <c r="I9" s="16">
        <f>MIN(MAX($A9-Inputs!$I$86-Inputs!I$7,0),1)*Inputs!J$93</f>
        <v>0</v>
      </c>
      <c r="J9" s="16">
        <f>MIN(MAX($A9-Inputs!$I$86-Inputs!I$7,0),1)*Inputs!K$94</f>
        <v>0</v>
      </c>
      <c r="K9" s="125">
        <f t="shared" si="0"/>
        <v>0</v>
      </c>
      <c r="L9" s="13">
        <f t="shared" si="1"/>
        <v>0</v>
      </c>
      <c r="M9" s="13">
        <f t="shared" si="2"/>
        <v>0</v>
      </c>
      <c r="N9" s="13">
        <f t="shared" si="3"/>
        <v>0</v>
      </c>
      <c r="O9" s="13">
        <f t="shared" si="4"/>
        <v>0</v>
      </c>
      <c r="P9" s="13">
        <f t="shared" si="5"/>
        <v>0</v>
      </c>
    </row>
    <row r="10" spans="1:20" x14ac:dyDescent="0.25">
      <c r="A10">
        <f t="shared" si="6"/>
        <v>6</v>
      </c>
      <c r="B10">
        <f t="shared" si="6"/>
        <v>2023</v>
      </c>
      <c r="C10" s="16">
        <f>MIN(MAX($A10-Inputs!$I$86-Inputs!I$7,0),1)*Inputs!I$87</f>
        <v>0</v>
      </c>
      <c r="D10" s="16">
        <f>MIN(MAX($A10-Inputs!$I$86-Inputs!I$7,0),1)*Inputs!I$88</f>
        <v>0</v>
      </c>
      <c r="E10" s="16">
        <f>MIN(MAX($A10-Inputs!$I$86-Inputs!I$7,0),1)*Inputs!I$89</f>
        <v>0</v>
      </c>
      <c r="F10" s="16">
        <f>MIN(MAX($A10-Inputs!$I$86-Inputs!I$7,0),1)*Inputs!I$90</f>
        <v>0</v>
      </c>
      <c r="G10" s="16">
        <f>MIN(MAX($A10-Inputs!$I$86-Inputs!I$7,0),1)*Inputs!I$91</f>
        <v>0</v>
      </c>
      <c r="H10" s="16">
        <f>MIN(MAX($A10-Inputs!$I$86-Inputs!I$7,0),1)*Inputs!I$92</f>
        <v>0</v>
      </c>
      <c r="I10" s="16">
        <f>MIN(MAX($A10-Inputs!$I$86-Inputs!I$7,0),1)*Inputs!J$93</f>
        <v>0</v>
      </c>
      <c r="J10" s="16">
        <f>MIN(MAX($A10-Inputs!$I$86-Inputs!I$7,0),1)*Inputs!K$94</f>
        <v>0</v>
      </c>
      <c r="K10" s="125">
        <f t="shared" si="0"/>
        <v>0</v>
      </c>
      <c r="L10" s="13">
        <f t="shared" si="1"/>
        <v>0</v>
      </c>
      <c r="M10" s="13">
        <f t="shared" si="2"/>
        <v>0</v>
      </c>
      <c r="N10" s="13">
        <f t="shared" si="3"/>
        <v>0</v>
      </c>
      <c r="O10" s="13">
        <f t="shared" si="4"/>
        <v>0</v>
      </c>
      <c r="P10" s="13">
        <f t="shared" si="5"/>
        <v>0</v>
      </c>
    </row>
    <row r="11" spans="1:20" x14ac:dyDescent="0.25">
      <c r="A11">
        <f t="shared" si="6"/>
        <v>7</v>
      </c>
      <c r="B11">
        <f t="shared" si="6"/>
        <v>2024</v>
      </c>
      <c r="C11" s="16">
        <f>MIN(MAX($A11-Inputs!$I$86-Inputs!I$7,0),1)*Inputs!I$87</f>
        <v>0</v>
      </c>
      <c r="D11" s="16">
        <f>MIN(MAX($A11-Inputs!$I$86-Inputs!I$7,0),1)*Inputs!I$88</f>
        <v>0</v>
      </c>
      <c r="E11" s="16">
        <f>MIN(MAX($A11-Inputs!$I$86-Inputs!I$7,0),1)*Inputs!I$89</f>
        <v>0</v>
      </c>
      <c r="F11" s="16">
        <f>MIN(MAX($A11-Inputs!$I$86-Inputs!I$7,0),1)*Inputs!I$90</f>
        <v>0</v>
      </c>
      <c r="G11" s="16">
        <f>MIN(MAX($A11-Inputs!$I$86-Inputs!I$7,0),1)*Inputs!I$91</f>
        <v>0</v>
      </c>
      <c r="H11" s="16">
        <f>MIN(MAX($A11-Inputs!$I$86-Inputs!I$7,0),1)*Inputs!I$92</f>
        <v>0</v>
      </c>
      <c r="I11" s="16">
        <f>MIN(MAX($A11-Inputs!$I$86-Inputs!I$7,0),1)*Inputs!J$93</f>
        <v>0</v>
      </c>
      <c r="J11" s="16">
        <f>MIN(MAX($A11-Inputs!$I$86-Inputs!I$7,0),1)*Inputs!K$94</f>
        <v>0</v>
      </c>
      <c r="K11" s="125">
        <f t="shared" si="0"/>
        <v>0</v>
      </c>
      <c r="L11" s="13">
        <f t="shared" si="1"/>
        <v>0</v>
      </c>
      <c r="M11" s="13">
        <f t="shared" si="2"/>
        <v>0</v>
      </c>
      <c r="N11" s="13">
        <f t="shared" si="3"/>
        <v>0</v>
      </c>
      <c r="O11" s="13">
        <f t="shared" si="4"/>
        <v>0</v>
      </c>
      <c r="P11" s="13">
        <f t="shared" si="5"/>
        <v>0</v>
      </c>
    </row>
    <row r="12" spans="1:20" x14ac:dyDescent="0.25">
      <c r="A12">
        <f t="shared" si="6"/>
        <v>8</v>
      </c>
      <c r="B12">
        <f t="shared" si="6"/>
        <v>2025</v>
      </c>
      <c r="C12" s="16">
        <f>MIN(MAX($A12-Inputs!$I$86-Inputs!I$7,0),1)*Inputs!I$87</f>
        <v>0</v>
      </c>
      <c r="D12" s="16">
        <f>MIN(MAX($A12-Inputs!$I$86-Inputs!I$7,0),1)*Inputs!I$88</f>
        <v>0</v>
      </c>
      <c r="E12" s="16">
        <f>MIN(MAX($A12-Inputs!$I$86-Inputs!I$7,0),1)*Inputs!I$89</f>
        <v>0</v>
      </c>
      <c r="F12" s="16">
        <f>MIN(MAX($A12-Inputs!$I$86-Inputs!I$7,0),1)*Inputs!I$90</f>
        <v>0</v>
      </c>
      <c r="G12" s="16">
        <f>MIN(MAX($A12-Inputs!$I$86-Inputs!I$7,0),1)*Inputs!I$91</f>
        <v>0</v>
      </c>
      <c r="H12" s="16">
        <f>MIN(MAX($A12-Inputs!$I$86-Inputs!I$7,0),1)*Inputs!I$92</f>
        <v>0</v>
      </c>
      <c r="I12" s="16">
        <f>MIN(MAX($A12-Inputs!$I$86-Inputs!I$7,0),1)*Inputs!J$93</f>
        <v>0</v>
      </c>
      <c r="J12" s="16">
        <f>MIN(MAX($A12-Inputs!$I$86-Inputs!I$7,0),1)*Inputs!K$94</f>
        <v>0</v>
      </c>
      <c r="K12" s="125">
        <f t="shared" si="0"/>
        <v>0</v>
      </c>
      <c r="L12" s="13">
        <f t="shared" si="1"/>
        <v>0</v>
      </c>
      <c r="M12" s="13">
        <f t="shared" si="2"/>
        <v>0</v>
      </c>
      <c r="N12" s="13">
        <f t="shared" si="3"/>
        <v>0</v>
      </c>
      <c r="O12" s="13">
        <f t="shared" si="4"/>
        <v>0</v>
      </c>
      <c r="P12" s="13">
        <f t="shared" si="5"/>
        <v>0</v>
      </c>
    </row>
    <row r="13" spans="1:20" x14ac:dyDescent="0.25">
      <c r="A13">
        <f t="shared" si="6"/>
        <v>9</v>
      </c>
      <c r="B13">
        <f t="shared" si="6"/>
        <v>2026</v>
      </c>
      <c r="C13" s="16">
        <f>MIN(MAX($A13-Inputs!$I$86-Inputs!I$7,0),1)*Inputs!I$87</f>
        <v>0</v>
      </c>
      <c r="D13" s="16">
        <f>MIN(MAX($A13-Inputs!$I$86-Inputs!I$7,0),1)*Inputs!I$88</f>
        <v>0</v>
      </c>
      <c r="E13" s="16">
        <f>MIN(MAX($A13-Inputs!$I$86-Inputs!I$7,0),1)*Inputs!I$89</f>
        <v>0</v>
      </c>
      <c r="F13" s="16">
        <f>MIN(MAX($A13-Inputs!$I$86-Inputs!I$7,0),1)*Inputs!I$90</f>
        <v>0</v>
      </c>
      <c r="G13" s="16">
        <f>MIN(MAX($A13-Inputs!$I$86-Inputs!I$7,0),1)*Inputs!I$91</f>
        <v>0</v>
      </c>
      <c r="H13" s="16">
        <f>MIN(MAX($A13-Inputs!$I$86-Inputs!I$7,0),1)*Inputs!I$92</f>
        <v>0</v>
      </c>
      <c r="I13" s="16">
        <f>MIN(MAX($A13-Inputs!$I$86-Inputs!I$7,0),1)*Inputs!J$93</f>
        <v>0</v>
      </c>
      <c r="J13" s="16">
        <f>MIN(MAX($A13-Inputs!$I$86-Inputs!I$7,0),1)*Inputs!K$94</f>
        <v>0</v>
      </c>
      <c r="K13" s="125">
        <f t="shared" si="0"/>
        <v>0</v>
      </c>
      <c r="L13" s="13">
        <f t="shared" si="1"/>
        <v>0</v>
      </c>
      <c r="M13" s="13">
        <f t="shared" si="2"/>
        <v>0</v>
      </c>
      <c r="N13" s="13">
        <f t="shared" si="3"/>
        <v>0</v>
      </c>
      <c r="O13" s="13">
        <f t="shared" si="4"/>
        <v>0</v>
      </c>
      <c r="P13" s="13">
        <f t="shared" si="5"/>
        <v>0</v>
      </c>
    </row>
    <row r="14" spans="1:20" x14ac:dyDescent="0.25">
      <c r="A14">
        <f t="shared" si="6"/>
        <v>10</v>
      </c>
      <c r="B14">
        <f t="shared" si="6"/>
        <v>2027</v>
      </c>
      <c r="C14" s="16">
        <f>MIN(MAX($A14-Inputs!$I$86-Inputs!I$7,0),1)*Inputs!I$87</f>
        <v>0</v>
      </c>
      <c r="D14" s="16">
        <f>MIN(MAX($A14-Inputs!$I$86-Inputs!I$7,0),1)*Inputs!I$88</f>
        <v>0</v>
      </c>
      <c r="E14" s="16">
        <f>MIN(MAX($A14-Inputs!$I$86-Inputs!I$7,0),1)*Inputs!I$89</f>
        <v>0</v>
      </c>
      <c r="F14" s="16">
        <f>MIN(MAX($A14-Inputs!$I$86-Inputs!I$7,0),1)*Inputs!I$90</f>
        <v>0</v>
      </c>
      <c r="G14" s="16">
        <f>MIN(MAX($A14-Inputs!$I$86-Inputs!I$7,0),1)*Inputs!I$91</f>
        <v>0</v>
      </c>
      <c r="H14" s="16">
        <f>MIN(MAX($A14-Inputs!$I$86-Inputs!I$7,0),1)*Inputs!I$92</f>
        <v>0</v>
      </c>
      <c r="I14" s="16">
        <f>MIN(MAX($A14-Inputs!$I$86-Inputs!I$7,0),1)*Inputs!J$93</f>
        <v>0</v>
      </c>
      <c r="J14" s="16">
        <f>MIN(MAX($A14-Inputs!$I$86-Inputs!I$7,0),1)*Inputs!K$94</f>
        <v>0</v>
      </c>
      <c r="K14" s="125">
        <f t="shared" si="0"/>
        <v>0</v>
      </c>
      <c r="L14" s="13">
        <f t="shared" si="1"/>
        <v>0</v>
      </c>
      <c r="M14" s="13">
        <f t="shared" si="2"/>
        <v>0</v>
      </c>
      <c r="N14" s="13">
        <f t="shared" si="3"/>
        <v>0</v>
      </c>
      <c r="O14" s="13">
        <f t="shared" si="4"/>
        <v>0</v>
      </c>
      <c r="P14" s="13">
        <f t="shared" si="5"/>
        <v>0</v>
      </c>
    </row>
    <row r="15" spans="1:20" x14ac:dyDescent="0.25">
      <c r="A15">
        <f t="shared" si="6"/>
        <v>11</v>
      </c>
      <c r="B15">
        <f t="shared" si="6"/>
        <v>2028</v>
      </c>
      <c r="C15" s="16">
        <f>MIN(MAX($A15-Inputs!$I$86-Inputs!I$7,0),1)*Inputs!I$87</f>
        <v>0</v>
      </c>
      <c r="D15" s="16">
        <f>MIN(MAX($A15-Inputs!$I$86-Inputs!I$7,0),1)*Inputs!I$88</f>
        <v>0</v>
      </c>
      <c r="E15" s="16">
        <f>MIN(MAX($A15-Inputs!$I$86-Inputs!I$7,0),1)*Inputs!I$89</f>
        <v>0</v>
      </c>
      <c r="F15" s="16">
        <f>MIN(MAX($A15-Inputs!$I$86-Inputs!I$7,0),1)*Inputs!I$90</f>
        <v>0</v>
      </c>
      <c r="G15" s="16">
        <f>MIN(MAX($A15-Inputs!$I$86-Inputs!I$7,0),1)*Inputs!I$91</f>
        <v>0</v>
      </c>
      <c r="H15" s="16">
        <f>MIN(MAX($A15-Inputs!$I$86-Inputs!I$7,0),1)*Inputs!I$92</f>
        <v>0</v>
      </c>
      <c r="I15" s="16">
        <f>MIN(MAX($A15-Inputs!$I$86-Inputs!I$7,0),1)*Inputs!J$93</f>
        <v>0</v>
      </c>
      <c r="J15" s="16">
        <f>MIN(MAX($A15-Inputs!$I$86-Inputs!I$7,0),1)*Inputs!K$94</f>
        <v>0</v>
      </c>
      <c r="K15" s="125">
        <f t="shared" si="0"/>
        <v>0</v>
      </c>
      <c r="L15" s="13">
        <f t="shared" si="1"/>
        <v>0</v>
      </c>
      <c r="M15" s="13">
        <f t="shared" si="2"/>
        <v>0</v>
      </c>
      <c r="N15" s="13">
        <f t="shared" si="3"/>
        <v>0</v>
      </c>
      <c r="O15" s="13">
        <f t="shared" si="4"/>
        <v>0</v>
      </c>
      <c r="P15" s="13">
        <f t="shared" si="5"/>
        <v>0</v>
      </c>
    </row>
    <row r="16" spans="1:20" x14ac:dyDescent="0.25">
      <c r="A16">
        <f t="shared" si="6"/>
        <v>12</v>
      </c>
      <c r="B16">
        <f t="shared" si="6"/>
        <v>2029</v>
      </c>
      <c r="C16" s="16">
        <f>MIN(MAX($A16-Inputs!$I$86-Inputs!I$7,0),1)*Inputs!I$87</f>
        <v>0</v>
      </c>
      <c r="D16" s="16">
        <f>MIN(MAX($A16-Inputs!$I$86-Inputs!I$7,0),1)*Inputs!I$88</f>
        <v>0</v>
      </c>
      <c r="E16" s="16">
        <f>MIN(MAX($A16-Inputs!$I$86-Inputs!I$7,0),1)*Inputs!I$89</f>
        <v>0</v>
      </c>
      <c r="F16" s="16">
        <f>MIN(MAX($A16-Inputs!$I$86-Inputs!I$7,0),1)*Inputs!I$90</f>
        <v>0</v>
      </c>
      <c r="G16" s="16">
        <f>MIN(MAX($A16-Inputs!$I$86-Inputs!I$7,0),1)*Inputs!I$91</f>
        <v>0</v>
      </c>
      <c r="H16" s="16">
        <f>MIN(MAX($A16-Inputs!$I$86-Inputs!I$7,0),1)*Inputs!I$92</f>
        <v>0</v>
      </c>
      <c r="I16" s="16">
        <f>MIN(MAX($A16-Inputs!$I$86-Inputs!I$7,0),1)*Inputs!J$93</f>
        <v>0</v>
      </c>
      <c r="J16" s="16">
        <f>MIN(MAX($A16-Inputs!$I$86-Inputs!I$7,0),1)*Inputs!K$94</f>
        <v>0</v>
      </c>
      <c r="K16" s="125">
        <f t="shared" si="0"/>
        <v>0</v>
      </c>
      <c r="L16" s="13">
        <f t="shared" si="1"/>
        <v>0</v>
      </c>
      <c r="M16" s="13">
        <f t="shared" si="2"/>
        <v>0</v>
      </c>
      <c r="N16" s="13">
        <f t="shared" si="3"/>
        <v>0</v>
      </c>
      <c r="O16" s="13">
        <f t="shared" si="4"/>
        <v>0</v>
      </c>
      <c r="P16" s="13">
        <f t="shared" si="5"/>
        <v>0</v>
      </c>
    </row>
    <row r="17" spans="1:16" x14ac:dyDescent="0.25">
      <c r="A17">
        <f t="shared" si="6"/>
        <v>13</v>
      </c>
      <c r="B17">
        <f t="shared" si="6"/>
        <v>2030</v>
      </c>
      <c r="C17" s="16">
        <f>MIN(MAX($A17-Inputs!$I$86-Inputs!I$7,0),1)*Inputs!I$87</f>
        <v>0</v>
      </c>
      <c r="D17" s="16">
        <f>MIN(MAX($A17-Inputs!$I$86-Inputs!I$7,0),1)*Inputs!I$88</f>
        <v>0</v>
      </c>
      <c r="E17" s="16">
        <f>MIN(MAX($A17-Inputs!$I$86-Inputs!I$7,0),1)*Inputs!I$89</f>
        <v>0</v>
      </c>
      <c r="F17" s="16">
        <f>MIN(MAX($A17-Inputs!$I$86-Inputs!I$7,0),1)*Inputs!I$90</f>
        <v>0</v>
      </c>
      <c r="G17" s="16">
        <f>MIN(MAX($A17-Inputs!$I$86-Inputs!I$7,0),1)*Inputs!I$91</f>
        <v>0</v>
      </c>
      <c r="H17" s="16">
        <f>MIN(MAX($A17-Inputs!$I$86-Inputs!I$7,0),1)*Inputs!I$92</f>
        <v>0</v>
      </c>
      <c r="I17" s="16">
        <f>MIN(MAX($A17-Inputs!$I$86-Inputs!I$7,0),1)*Inputs!J$93</f>
        <v>0</v>
      </c>
      <c r="J17" s="16">
        <f>MIN(MAX($A17-Inputs!$I$86-Inputs!I$7,0),1)*Inputs!K$94</f>
        <v>0</v>
      </c>
      <c r="K17" s="125">
        <f t="shared" si="0"/>
        <v>0</v>
      </c>
      <c r="L17" s="13">
        <f t="shared" si="1"/>
        <v>0</v>
      </c>
      <c r="M17" s="13">
        <f t="shared" si="2"/>
        <v>0</v>
      </c>
      <c r="N17" s="13">
        <f t="shared" si="3"/>
        <v>0</v>
      </c>
      <c r="O17" s="13">
        <f t="shared" si="4"/>
        <v>0</v>
      </c>
      <c r="P17" s="13">
        <f t="shared" si="5"/>
        <v>0</v>
      </c>
    </row>
    <row r="18" spans="1:16" x14ac:dyDescent="0.25">
      <c r="A18">
        <f t="shared" si="6"/>
        <v>14</v>
      </c>
      <c r="B18">
        <f t="shared" si="6"/>
        <v>2031</v>
      </c>
      <c r="C18" s="16">
        <f>MIN(MAX($A18-Inputs!$I$86-Inputs!I$7,0),1)*Inputs!I$87</f>
        <v>0</v>
      </c>
      <c r="D18" s="16">
        <f>MIN(MAX($A18-Inputs!$I$86-Inputs!I$7,0),1)*Inputs!I$88</f>
        <v>0</v>
      </c>
      <c r="E18" s="16">
        <f>MIN(MAX($A18-Inputs!$I$86-Inputs!I$7,0),1)*Inputs!I$89</f>
        <v>0</v>
      </c>
      <c r="F18" s="16">
        <f>MIN(MAX($A18-Inputs!$I$86-Inputs!I$7,0),1)*Inputs!I$90</f>
        <v>0</v>
      </c>
      <c r="G18" s="16">
        <f>MIN(MAX($A18-Inputs!$I$86-Inputs!I$7,0),1)*Inputs!I$91</f>
        <v>0</v>
      </c>
      <c r="H18" s="16">
        <f>MIN(MAX($A18-Inputs!$I$86-Inputs!I$7,0),1)*Inputs!I$92</f>
        <v>0</v>
      </c>
      <c r="I18" s="16">
        <f>MIN(MAX($A18-Inputs!$I$86-Inputs!I$7,0),1)*Inputs!J$93</f>
        <v>0</v>
      </c>
      <c r="J18" s="16">
        <f>MIN(MAX($A18-Inputs!$I$86-Inputs!I$7,0),1)*Inputs!K$94</f>
        <v>0</v>
      </c>
      <c r="K18" s="125">
        <f t="shared" si="0"/>
        <v>0</v>
      </c>
      <c r="L18" s="13">
        <f t="shared" si="1"/>
        <v>0</v>
      </c>
      <c r="M18" s="13">
        <f t="shared" si="2"/>
        <v>0</v>
      </c>
      <c r="N18" s="13">
        <f t="shared" si="3"/>
        <v>0</v>
      </c>
      <c r="O18" s="13">
        <f t="shared" si="4"/>
        <v>0</v>
      </c>
      <c r="P18" s="13">
        <f t="shared" si="5"/>
        <v>0</v>
      </c>
    </row>
    <row r="19" spans="1:16" x14ac:dyDescent="0.25">
      <c r="A19">
        <f t="shared" si="6"/>
        <v>15</v>
      </c>
      <c r="B19">
        <f t="shared" si="6"/>
        <v>2032</v>
      </c>
      <c r="C19" s="16">
        <f>MIN(MAX($A19-Inputs!$I$86-Inputs!I$7,0),1)*Inputs!I$87</f>
        <v>0</v>
      </c>
      <c r="D19" s="16">
        <f>MIN(MAX($A19-Inputs!$I$86-Inputs!I$7,0),1)*Inputs!I$88</f>
        <v>0</v>
      </c>
      <c r="E19" s="16">
        <f>MIN(MAX($A19-Inputs!$I$86-Inputs!I$7,0),1)*Inputs!I$89</f>
        <v>0</v>
      </c>
      <c r="F19" s="16">
        <f>MIN(MAX($A19-Inputs!$I$86-Inputs!I$7,0),1)*Inputs!I$90</f>
        <v>0</v>
      </c>
      <c r="G19" s="16">
        <f>MIN(MAX($A19-Inputs!$I$86-Inputs!I$7,0),1)*Inputs!I$91</f>
        <v>0</v>
      </c>
      <c r="H19" s="16">
        <f>MIN(MAX($A19-Inputs!$I$86-Inputs!I$7,0),1)*Inputs!I$92</f>
        <v>0</v>
      </c>
      <c r="I19" s="16">
        <f>MIN(MAX($A19-Inputs!$I$86-Inputs!I$7,0),1)*Inputs!J$93</f>
        <v>0</v>
      </c>
      <c r="J19" s="16">
        <f>MIN(MAX($A19-Inputs!$I$86-Inputs!I$7,0),1)*Inputs!K$94</f>
        <v>0</v>
      </c>
      <c r="K19" s="125">
        <f t="shared" si="0"/>
        <v>0</v>
      </c>
      <c r="L19" s="13">
        <f t="shared" si="1"/>
        <v>0</v>
      </c>
      <c r="M19" s="13">
        <f t="shared" si="2"/>
        <v>0</v>
      </c>
      <c r="N19" s="13">
        <f t="shared" si="3"/>
        <v>0</v>
      </c>
      <c r="O19" s="13">
        <f t="shared" si="4"/>
        <v>0</v>
      </c>
      <c r="P19" s="13">
        <f t="shared" si="5"/>
        <v>0</v>
      </c>
    </row>
    <row r="20" spans="1:16" x14ac:dyDescent="0.25">
      <c r="A20">
        <f t="shared" si="6"/>
        <v>16</v>
      </c>
      <c r="B20">
        <f t="shared" si="6"/>
        <v>2033</v>
      </c>
      <c r="C20" s="16">
        <f>MIN(MAX($A20-Inputs!$I$86-Inputs!I$7,0),1)*Inputs!I$87</f>
        <v>0</v>
      </c>
      <c r="D20" s="16">
        <f>MIN(MAX($A20-Inputs!$I$86-Inputs!I$7,0),1)*Inputs!I$88</f>
        <v>0</v>
      </c>
      <c r="E20" s="16">
        <f>MIN(MAX($A20-Inputs!$I$86-Inputs!I$7,0),1)*Inputs!I$89</f>
        <v>0</v>
      </c>
      <c r="F20" s="16">
        <f>MIN(MAX($A20-Inputs!$I$86-Inputs!I$7,0),1)*Inputs!I$90</f>
        <v>0</v>
      </c>
      <c r="G20" s="16">
        <f>MIN(MAX($A20-Inputs!$I$86-Inputs!I$7,0),1)*Inputs!I$91</f>
        <v>0</v>
      </c>
      <c r="H20" s="16">
        <f>MIN(MAX($A20-Inputs!$I$86-Inputs!I$7,0),1)*Inputs!I$92</f>
        <v>0</v>
      </c>
      <c r="I20" s="16">
        <f>MIN(MAX($A20-Inputs!$I$86-Inputs!I$7,0),1)*Inputs!J$93</f>
        <v>0</v>
      </c>
      <c r="J20" s="16">
        <f>MIN(MAX($A20-Inputs!$I$86-Inputs!I$7,0),1)*Inputs!K$94</f>
        <v>0</v>
      </c>
      <c r="K20" s="125">
        <f t="shared" si="0"/>
        <v>0</v>
      </c>
      <c r="L20" s="13">
        <f t="shared" si="1"/>
        <v>0</v>
      </c>
      <c r="M20" s="13">
        <f t="shared" si="2"/>
        <v>0</v>
      </c>
      <c r="N20" s="13">
        <f t="shared" si="3"/>
        <v>0</v>
      </c>
      <c r="O20" s="13">
        <f t="shared" si="4"/>
        <v>0</v>
      </c>
      <c r="P20" s="13">
        <f t="shared" si="5"/>
        <v>0</v>
      </c>
    </row>
    <row r="21" spans="1:16" x14ac:dyDescent="0.25">
      <c r="A21">
        <f t="shared" si="6"/>
        <v>17</v>
      </c>
      <c r="B21">
        <f t="shared" si="6"/>
        <v>2034</v>
      </c>
      <c r="C21" s="16">
        <f>MIN(MAX($A21-Inputs!$I$86-Inputs!I$7,0),1)*Inputs!I$87</f>
        <v>0</v>
      </c>
      <c r="D21" s="16">
        <f>MIN(MAX($A21-Inputs!$I$86-Inputs!I$7,0),1)*Inputs!I$88</f>
        <v>0</v>
      </c>
      <c r="E21" s="16">
        <f>MIN(MAX($A21-Inputs!$I$86-Inputs!I$7,0),1)*Inputs!I$89</f>
        <v>0</v>
      </c>
      <c r="F21" s="16">
        <f>MIN(MAX($A21-Inputs!$I$86-Inputs!I$7,0),1)*Inputs!I$90</f>
        <v>0</v>
      </c>
      <c r="G21" s="16">
        <f>MIN(MAX($A21-Inputs!$I$86-Inputs!I$7,0),1)*Inputs!I$91</f>
        <v>0</v>
      </c>
      <c r="H21" s="16">
        <f>MIN(MAX($A21-Inputs!$I$86-Inputs!I$7,0),1)*Inputs!I$92</f>
        <v>0</v>
      </c>
      <c r="I21" s="16">
        <f>MIN(MAX($A21-Inputs!$I$86-Inputs!I$7,0),1)*Inputs!J$93</f>
        <v>0</v>
      </c>
      <c r="J21" s="16">
        <f>MIN(MAX($A21-Inputs!$I$86-Inputs!I$7,0),1)*Inputs!K$94</f>
        <v>0</v>
      </c>
      <c r="K21" s="125">
        <f t="shared" si="0"/>
        <v>0</v>
      </c>
      <c r="L21" s="13">
        <f t="shared" si="1"/>
        <v>0</v>
      </c>
      <c r="M21" s="13">
        <f t="shared" si="2"/>
        <v>0</v>
      </c>
      <c r="N21" s="13">
        <f t="shared" si="3"/>
        <v>0</v>
      </c>
      <c r="O21" s="13">
        <f t="shared" si="4"/>
        <v>0</v>
      </c>
      <c r="P21" s="13">
        <f t="shared" si="5"/>
        <v>0</v>
      </c>
    </row>
    <row r="22" spans="1:16" x14ac:dyDescent="0.25">
      <c r="A22">
        <f t="shared" si="6"/>
        <v>18</v>
      </c>
      <c r="B22">
        <f t="shared" si="6"/>
        <v>2035</v>
      </c>
      <c r="C22" s="16">
        <f>MIN(MAX($A22-Inputs!$I$86-Inputs!I$7,0),1)*Inputs!I$87</f>
        <v>1</v>
      </c>
      <c r="D22" s="16">
        <f>MIN(MAX($A22-Inputs!$I$86-Inputs!I$7,0),1)*Inputs!I$88</f>
        <v>0.5</v>
      </c>
      <c r="E22" s="16">
        <f>MIN(MAX($A22-Inputs!$I$86-Inputs!I$7,0),1)*Inputs!I$89</f>
        <v>0.5</v>
      </c>
      <c r="F22" s="16">
        <f>MIN(MAX($A22-Inputs!$I$86-Inputs!I$7,0),1)*Inputs!I$90</f>
        <v>0.1</v>
      </c>
      <c r="G22" s="16">
        <f>MIN(MAX($A22-Inputs!$I$86-Inputs!I$7,0),1)*Inputs!I$91</f>
        <v>0.05</v>
      </c>
      <c r="H22" s="16">
        <f>MIN(MAX($A22-Inputs!$I$86-Inputs!I$7,0),1)*Inputs!I$92</f>
        <v>0</v>
      </c>
      <c r="I22" s="16">
        <f>MIN(MAX($A22-Inputs!$I$86-Inputs!I$7,0),1)*Inputs!J$93</f>
        <v>0</v>
      </c>
      <c r="J22" s="16">
        <f>MIN(MAX($A22-Inputs!$I$86-Inputs!I$7,0),1)*Inputs!K$94</f>
        <v>0</v>
      </c>
      <c r="K22" s="125">
        <f t="shared" si="0"/>
        <v>0.12925</v>
      </c>
      <c r="L22" s="13">
        <f t="shared" si="1"/>
        <v>0.67500000000000004</v>
      </c>
      <c r="M22" s="13">
        <f t="shared" si="2"/>
        <v>0.24</v>
      </c>
      <c r="N22" s="13">
        <f t="shared" si="3"/>
        <v>1.7499999999999998E-2</v>
      </c>
      <c r="O22" s="13">
        <f t="shared" si="4"/>
        <v>0</v>
      </c>
      <c r="P22" s="13">
        <f t="shared" si="5"/>
        <v>0</v>
      </c>
    </row>
    <row r="23" spans="1:16" x14ac:dyDescent="0.25">
      <c r="A23">
        <f t="shared" ref="A23:B38" si="7">A22+1</f>
        <v>19</v>
      </c>
      <c r="B23">
        <f t="shared" si="7"/>
        <v>2036</v>
      </c>
      <c r="C23" s="16">
        <f>MIN(MAX($A23-Inputs!$I$86-Inputs!I$7,0),1)*Inputs!I$87</f>
        <v>1</v>
      </c>
      <c r="D23" s="16">
        <f>MIN(MAX($A23-Inputs!$I$86-Inputs!I$7,0),1)*Inputs!I$88</f>
        <v>0.5</v>
      </c>
      <c r="E23" s="16">
        <f>MIN(MAX($A23-Inputs!$I$86-Inputs!I$7,0),1)*Inputs!I$89</f>
        <v>0.5</v>
      </c>
      <c r="F23" s="16">
        <f>MIN(MAX($A23-Inputs!$I$86-Inputs!I$7,0),1)*Inputs!I$90</f>
        <v>0.1</v>
      </c>
      <c r="G23" s="16">
        <f>MIN(MAX($A23-Inputs!$I$86-Inputs!I$7,0),1)*Inputs!I$91</f>
        <v>0.05</v>
      </c>
      <c r="H23" s="16">
        <f>MIN(MAX($A23-Inputs!$I$86-Inputs!I$7,0),1)*Inputs!I$92</f>
        <v>0</v>
      </c>
      <c r="I23" s="16">
        <f>MIN(MAX($A23-Inputs!$I$86-Inputs!I$7,0),1)*Inputs!J$93</f>
        <v>0</v>
      </c>
      <c r="J23" s="16">
        <f>MIN(MAX($A23-Inputs!$I$86-Inputs!I$7,0),1)*Inputs!K$94</f>
        <v>0</v>
      </c>
      <c r="K23" s="125">
        <f t="shared" si="0"/>
        <v>0.12925</v>
      </c>
      <c r="L23" s="13">
        <f t="shared" si="1"/>
        <v>0.67500000000000004</v>
      </c>
      <c r="M23" s="13">
        <f t="shared" si="2"/>
        <v>0.24</v>
      </c>
      <c r="N23" s="13">
        <f t="shared" si="3"/>
        <v>1.7499999999999998E-2</v>
      </c>
      <c r="O23" s="13">
        <f t="shared" si="4"/>
        <v>0</v>
      </c>
      <c r="P23" s="13">
        <f t="shared" si="5"/>
        <v>0</v>
      </c>
    </row>
    <row r="24" spans="1:16" x14ac:dyDescent="0.25">
      <c r="A24">
        <f t="shared" si="7"/>
        <v>20</v>
      </c>
      <c r="B24">
        <f t="shared" si="7"/>
        <v>2037</v>
      </c>
      <c r="C24" s="16">
        <f>MIN(MAX($A24-Inputs!$I$86-Inputs!I$7,0),1)*Inputs!I$87</f>
        <v>1</v>
      </c>
      <c r="D24" s="16">
        <f>MIN(MAX($A24-Inputs!$I$86-Inputs!I$7,0),1)*Inputs!I$88</f>
        <v>0.5</v>
      </c>
      <c r="E24" s="16">
        <f>MIN(MAX($A24-Inputs!$I$86-Inputs!I$7,0),1)*Inputs!I$89</f>
        <v>0.5</v>
      </c>
      <c r="F24" s="16">
        <f>MIN(MAX($A24-Inputs!$I$86-Inputs!I$7,0),1)*Inputs!I$90</f>
        <v>0.1</v>
      </c>
      <c r="G24" s="16">
        <f>MIN(MAX($A24-Inputs!$I$86-Inputs!I$7,0),1)*Inputs!I$91</f>
        <v>0.05</v>
      </c>
      <c r="H24" s="16">
        <f>MIN(MAX($A24-Inputs!$I$86-Inputs!I$7,0),1)*Inputs!I$92</f>
        <v>0</v>
      </c>
      <c r="I24" s="16">
        <f>MIN(MAX($A24-Inputs!$I$86-Inputs!I$7,0),1)*Inputs!J$93</f>
        <v>0</v>
      </c>
      <c r="J24" s="16">
        <f>MIN(MAX($A24-Inputs!$I$86-Inputs!I$7,0),1)*Inputs!K$94</f>
        <v>0</v>
      </c>
      <c r="K24" s="125">
        <f t="shared" si="0"/>
        <v>0.12925</v>
      </c>
      <c r="L24" s="13">
        <f t="shared" si="1"/>
        <v>0.67500000000000004</v>
      </c>
      <c r="M24" s="13">
        <f t="shared" si="2"/>
        <v>0.24</v>
      </c>
      <c r="N24" s="13">
        <f t="shared" si="3"/>
        <v>1.7499999999999998E-2</v>
      </c>
      <c r="O24" s="13">
        <f t="shared" si="4"/>
        <v>0</v>
      </c>
      <c r="P24" s="13">
        <f t="shared" si="5"/>
        <v>0</v>
      </c>
    </row>
    <row r="25" spans="1:16" x14ac:dyDescent="0.25">
      <c r="A25">
        <f t="shared" si="7"/>
        <v>21</v>
      </c>
      <c r="B25">
        <f t="shared" si="7"/>
        <v>2038</v>
      </c>
      <c r="C25" s="16">
        <f>MIN(MAX($A25-Inputs!$I$86-Inputs!I$7,0),1)*Inputs!I$87</f>
        <v>1</v>
      </c>
      <c r="D25" s="16">
        <f>MIN(MAX($A25-Inputs!$I$86-Inputs!I$7,0),1)*Inputs!I$88</f>
        <v>0.5</v>
      </c>
      <c r="E25" s="16">
        <f>MIN(MAX($A25-Inputs!$I$86-Inputs!I$7,0),1)*Inputs!I$89</f>
        <v>0.5</v>
      </c>
      <c r="F25" s="16">
        <f>MIN(MAX($A25-Inputs!$I$86-Inputs!I$7,0),1)*Inputs!I$90</f>
        <v>0.1</v>
      </c>
      <c r="G25" s="16">
        <f>MIN(MAX($A25-Inputs!$I$86-Inputs!I$7,0),1)*Inputs!I$91</f>
        <v>0.05</v>
      </c>
      <c r="H25" s="16">
        <f>MIN(MAX($A25-Inputs!$I$86-Inputs!I$7,0),1)*Inputs!I$92</f>
        <v>0</v>
      </c>
      <c r="I25" s="16">
        <f>MIN(MAX($A25-Inputs!$I$86-Inputs!I$7,0),1)*Inputs!J$93</f>
        <v>0</v>
      </c>
      <c r="J25" s="16">
        <f>MIN(MAX($A25-Inputs!$I$86-Inputs!I$7,0),1)*Inputs!K$94</f>
        <v>0</v>
      </c>
      <c r="K25" s="125">
        <f t="shared" si="0"/>
        <v>0.12925</v>
      </c>
      <c r="L25" s="13">
        <f t="shared" si="1"/>
        <v>0.67500000000000004</v>
      </c>
      <c r="M25" s="13">
        <f t="shared" si="2"/>
        <v>0.24</v>
      </c>
      <c r="N25" s="13">
        <f t="shared" si="3"/>
        <v>1.7499999999999998E-2</v>
      </c>
      <c r="O25" s="13">
        <f t="shared" si="4"/>
        <v>0</v>
      </c>
      <c r="P25" s="13">
        <f t="shared" si="5"/>
        <v>0</v>
      </c>
    </row>
    <row r="26" spans="1:16" x14ac:dyDescent="0.25">
      <c r="A26">
        <f t="shared" si="7"/>
        <v>22</v>
      </c>
      <c r="B26">
        <f t="shared" si="7"/>
        <v>2039</v>
      </c>
      <c r="C26" s="16">
        <f>MIN(MAX($A26-Inputs!$I$86-Inputs!I$7,0),1)*Inputs!I$87</f>
        <v>1</v>
      </c>
      <c r="D26" s="16">
        <f>MIN(MAX($A26-Inputs!$I$86-Inputs!I$7,0),1)*Inputs!I$88</f>
        <v>0.5</v>
      </c>
      <c r="E26" s="16">
        <f>MIN(MAX($A26-Inputs!$I$86-Inputs!I$7,0),1)*Inputs!I$89</f>
        <v>0.5</v>
      </c>
      <c r="F26" s="16">
        <f>MIN(MAX($A26-Inputs!$I$86-Inputs!I$7,0),1)*Inputs!I$90</f>
        <v>0.1</v>
      </c>
      <c r="G26" s="16">
        <f>MIN(MAX($A26-Inputs!$I$86-Inputs!I$7,0),1)*Inputs!I$91</f>
        <v>0.05</v>
      </c>
      <c r="H26" s="16">
        <f>MIN(MAX($A26-Inputs!$I$86-Inputs!I$7,0),1)*Inputs!I$92</f>
        <v>0</v>
      </c>
      <c r="I26" s="16">
        <f>MIN(MAX($A26-Inputs!$I$86-Inputs!I$7,0),1)*Inputs!J$93</f>
        <v>0</v>
      </c>
      <c r="J26" s="16">
        <f>MIN(MAX($A26-Inputs!$I$86-Inputs!I$7,0),1)*Inputs!K$94</f>
        <v>0</v>
      </c>
      <c r="K26" s="125">
        <f t="shared" si="0"/>
        <v>0.12925</v>
      </c>
      <c r="L26" s="13">
        <f t="shared" si="1"/>
        <v>0.67500000000000004</v>
      </c>
      <c r="M26" s="13">
        <f t="shared" si="2"/>
        <v>0.24</v>
      </c>
      <c r="N26" s="13">
        <f t="shared" si="3"/>
        <v>1.7499999999999998E-2</v>
      </c>
      <c r="O26" s="13">
        <f t="shared" si="4"/>
        <v>0</v>
      </c>
      <c r="P26" s="13">
        <f t="shared" si="5"/>
        <v>0</v>
      </c>
    </row>
    <row r="27" spans="1:16" x14ac:dyDescent="0.25">
      <c r="A27">
        <f t="shared" si="7"/>
        <v>23</v>
      </c>
      <c r="B27">
        <f t="shared" si="7"/>
        <v>2040</v>
      </c>
      <c r="C27" s="16">
        <f>MIN(MAX($A27-Inputs!$I$86-Inputs!I$7,0),1)*Inputs!I$87</f>
        <v>1</v>
      </c>
      <c r="D27" s="16">
        <f>MIN(MAX($A27-Inputs!$I$86-Inputs!I$7,0),1)*Inputs!I$88</f>
        <v>0.5</v>
      </c>
      <c r="E27" s="16">
        <f>MIN(MAX($A27-Inputs!$I$86-Inputs!I$7,0),1)*Inputs!I$89</f>
        <v>0.5</v>
      </c>
      <c r="F27" s="16">
        <f>MIN(MAX($A27-Inputs!$I$86-Inputs!I$7,0),1)*Inputs!I$90</f>
        <v>0.1</v>
      </c>
      <c r="G27" s="16">
        <f>MIN(MAX($A27-Inputs!$I$86-Inputs!I$7,0),1)*Inputs!I$91</f>
        <v>0.05</v>
      </c>
      <c r="H27" s="16">
        <f>MIN(MAX($A27-Inputs!$I$86-Inputs!I$7,0),1)*Inputs!I$92</f>
        <v>0</v>
      </c>
      <c r="I27" s="16">
        <f>MIN(MAX($A27-Inputs!$I$86-Inputs!I$7,0),1)*Inputs!J$93</f>
        <v>0</v>
      </c>
      <c r="J27" s="16">
        <f>MIN(MAX($A27-Inputs!$I$86-Inputs!I$7,0),1)*Inputs!K$94</f>
        <v>0</v>
      </c>
      <c r="K27" s="125">
        <f t="shared" si="0"/>
        <v>0.12925</v>
      </c>
      <c r="L27" s="13">
        <f t="shared" si="1"/>
        <v>0.67500000000000004</v>
      </c>
      <c r="M27" s="13">
        <f t="shared" si="2"/>
        <v>0.24</v>
      </c>
      <c r="N27" s="13">
        <f t="shared" si="3"/>
        <v>1.7499999999999998E-2</v>
      </c>
      <c r="O27" s="13">
        <f t="shared" si="4"/>
        <v>0</v>
      </c>
      <c r="P27" s="13">
        <f t="shared" si="5"/>
        <v>0</v>
      </c>
    </row>
    <row r="28" spans="1:16" x14ac:dyDescent="0.25">
      <c r="A28">
        <f t="shared" si="7"/>
        <v>24</v>
      </c>
      <c r="B28">
        <f t="shared" si="7"/>
        <v>2041</v>
      </c>
      <c r="C28" s="16">
        <f>MIN(MAX($A28-Inputs!$I$86-Inputs!I$7,0),1)*Inputs!I$87</f>
        <v>1</v>
      </c>
      <c r="D28" s="16">
        <f>MIN(MAX($A28-Inputs!$I$86-Inputs!I$7,0),1)*Inputs!I$88</f>
        <v>0.5</v>
      </c>
      <c r="E28" s="16">
        <f>MIN(MAX($A28-Inputs!$I$86-Inputs!I$7,0),1)*Inputs!I$89</f>
        <v>0.5</v>
      </c>
      <c r="F28" s="16">
        <f>MIN(MAX($A28-Inputs!$I$86-Inputs!I$7,0),1)*Inputs!I$90</f>
        <v>0.1</v>
      </c>
      <c r="G28" s="16">
        <f>MIN(MAX($A28-Inputs!$I$86-Inputs!I$7,0),1)*Inputs!I$91</f>
        <v>0.05</v>
      </c>
      <c r="H28" s="16">
        <f>MIN(MAX($A28-Inputs!$I$86-Inputs!I$7,0),1)*Inputs!I$92</f>
        <v>0</v>
      </c>
      <c r="I28" s="16">
        <f>MIN(MAX($A28-Inputs!$I$86-Inputs!I$7,0),1)*Inputs!J$93</f>
        <v>0</v>
      </c>
      <c r="J28" s="16">
        <f>MIN(MAX($A28-Inputs!$I$86-Inputs!I$7,0),1)*Inputs!K$94</f>
        <v>0</v>
      </c>
      <c r="K28" s="125">
        <f t="shared" si="0"/>
        <v>0.12925</v>
      </c>
      <c r="L28" s="13">
        <f t="shared" si="1"/>
        <v>0.67500000000000004</v>
      </c>
      <c r="M28" s="13">
        <f t="shared" si="2"/>
        <v>0.24</v>
      </c>
      <c r="N28" s="13">
        <f t="shared" si="3"/>
        <v>1.7499999999999998E-2</v>
      </c>
      <c r="O28" s="13">
        <f t="shared" si="4"/>
        <v>0</v>
      </c>
      <c r="P28" s="13">
        <f t="shared" si="5"/>
        <v>0</v>
      </c>
    </row>
    <row r="29" spans="1:16" x14ac:dyDescent="0.25">
      <c r="A29">
        <f t="shared" si="7"/>
        <v>25</v>
      </c>
      <c r="B29">
        <f t="shared" si="7"/>
        <v>2042</v>
      </c>
      <c r="C29" s="16">
        <f>MIN(MAX($A29-Inputs!$I$86-Inputs!I$7,0),1)*Inputs!I$87</f>
        <v>1</v>
      </c>
      <c r="D29" s="16">
        <f>MIN(MAX($A29-Inputs!$I$86-Inputs!I$7,0),1)*Inputs!I$88</f>
        <v>0.5</v>
      </c>
      <c r="E29" s="16">
        <f>MIN(MAX($A29-Inputs!$I$86-Inputs!I$7,0),1)*Inputs!I$89</f>
        <v>0.5</v>
      </c>
      <c r="F29" s="16">
        <f>MIN(MAX($A29-Inputs!$I$86-Inputs!I$7,0),1)*Inputs!I$90</f>
        <v>0.1</v>
      </c>
      <c r="G29" s="16">
        <f>MIN(MAX($A29-Inputs!$I$86-Inputs!I$7,0),1)*Inputs!I$91</f>
        <v>0.05</v>
      </c>
      <c r="H29" s="16">
        <f>MIN(MAX($A29-Inputs!$I$86-Inputs!I$7,0),1)*Inputs!I$92</f>
        <v>0</v>
      </c>
      <c r="I29" s="16">
        <f>MIN(MAX($A29-Inputs!$I$86-Inputs!I$7,0),1)*Inputs!J$93</f>
        <v>0</v>
      </c>
      <c r="J29" s="16">
        <f>MIN(MAX($A29-Inputs!$I$86-Inputs!I$7,0),1)*Inputs!K$94</f>
        <v>0</v>
      </c>
      <c r="K29" s="125">
        <f t="shared" si="0"/>
        <v>0.12925</v>
      </c>
      <c r="L29" s="13">
        <f t="shared" si="1"/>
        <v>0.67500000000000004</v>
      </c>
      <c r="M29" s="13">
        <f t="shared" si="2"/>
        <v>0.24</v>
      </c>
      <c r="N29" s="13">
        <f t="shared" si="3"/>
        <v>1.7499999999999998E-2</v>
      </c>
      <c r="O29" s="13">
        <f t="shared" si="4"/>
        <v>0</v>
      </c>
      <c r="P29" s="13">
        <f t="shared" si="5"/>
        <v>0</v>
      </c>
    </row>
    <row r="30" spans="1:16" x14ac:dyDescent="0.25">
      <c r="A30">
        <f t="shared" si="7"/>
        <v>26</v>
      </c>
      <c r="B30">
        <f t="shared" si="7"/>
        <v>2043</v>
      </c>
      <c r="C30" s="16">
        <f>MIN(MAX($A30-Inputs!$I$86-Inputs!I$7,0),1)*Inputs!I$87</f>
        <v>1</v>
      </c>
      <c r="D30" s="16">
        <f>MIN(MAX($A30-Inputs!$I$86-Inputs!I$7,0),1)*Inputs!I$88</f>
        <v>0.5</v>
      </c>
      <c r="E30" s="16">
        <f>MIN(MAX($A30-Inputs!$I$86-Inputs!I$7,0),1)*Inputs!I$89</f>
        <v>0.5</v>
      </c>
      <c r="F30" s="16">
        <f>MIN(MAX($A30-Inputs!$I$86-Inputs!I$7,0),1)*Inputs!I$90</f>
        <v>0.1</v>
      </c>
      <c r="G30" s="16">
        <f>MIN(MAX($A30-Inputs!$I$86-Inputs!I$7,0),1)*Inputs!I$91</f>
        <v>0.05</v>
      </c>
      <c r="H30" s="16">
        <f>MIN(MAX($A30-Inputs!$I$86-Inputs!I$7,0),1)*Inputs!I$92</f>
        <v>0</v>
      </c>
      <c r="I30" s="16">
        <f>MIN(MAX($A30-Inputs!$I$86-Inputs!I$7,0),1)*Inputs!J$93</f>
        <v>0</v>
      </c>
      <c r="J30" s="16">
        <f>MIN(MAX($A30-Inputs!$I$86-Inputs!I$7,0),1)*Inputs!K$94</f>
        <v>0</v>
      </c>
      <c r="K30" s="125">
        <f t="shared" si="0"/>
        <v>0.12925</v>
      </c>
      <c r="L30" s="13">
        <f t="shared" si="1"/>
        <v>0.67500000000000004</v>
      </c>
      <c r="M30" s="13">
        <f t="shared" si="2"/>
        <v>0.24</v>
      </c>
      <c r="N30" s="13">
        <f t="shared" si="3"/>
        <v>1.7499999999999998E-2</v>
      </c>
      <c r="O30" s="13">
        <f t="shared" si="4"/>
        <v>0</v>
      </c>
      <c r="P30" s="13">
        <f t="shared" si="5"/>
        <v>0</v>
      </c>
    </row>
    <row r="31" spans="1:16" x14ac:dyDescent="0.25">
      <c r="A31">
        <f t="shared" si="7"/>
        <v>27</v>
      </c>
      <c r="B31">
        <f t="shared" si="7"/>
        <v>2044</v>
      </c>
      <c r="C31" s="16">
        <f>MIN(MAX($A31-Inputs!$I$86-Inputs!I$7,0),1)*Inputs!I$87</f>
        <v>1</v>
      </c>
      <c r="D31" s="16">
        <f>MIN(MAX($A31-Inputs!$I$86-Inputs!I$7,0),1)*Inputs!I$88</f>
        <v>0.5</v>
      </c>
      <c r="E31" s="16">
        <f>MIN(MAX($A31-Inputs!$I$86-Inputs!I$7,0),1)*Inputs!I$89</f>
        <v>0.5</v>
      </c>
      <c r="F31" s="16">
        <f>MIN(MAX($A31-Inputs!$I$86-Inputs!I$7,0),1)*Inputs!I$90</f>
        <v>0.1</v>
      </c>
      <c r="G31" s="16">
        <f>MIN(MAX($A31-Inputs!$I$86-Inputs!I$7,0),1)*Inputs!I$91</f>
        <v>0.05</v>
      </c>
      <c r="H31" s="16">
        <f>MIN(MAX($A31-Inputs!$I$86-Inputs!I$7,0),1)*Inputs!I$92</f>
        <v>0</v>
      </c>
      <c r="I31" s="16">
        <f>MIN(MAX($A31-Inputs!$I$86-Inputs!I$7,0),1)*Inputs!J$93</f>
        <v>0</v>
      </c>
      <c r="J31" s="16">
        <f>MIN(MAX($A31-Inputs!$I$86-Inputs!I$7,0),1)*Inputs!K$94</f>
        <v>0</v>
      </c>
      <c r="K31" s="125">
        <f t="shared" si="0"/>
        <v>0.12925</v>
      </c>
      <c r="L31" s="13">
        <f t="shared" si="1"/>
        <v>0.67500000000000004</v>
      </c>
      <c r="M31" s="13">
        <f t="shared" si="2"/>
        <v>0.24</v>
      </c>
      <c r="N31" s="13">
        <f t="shared" si="3"/>
        <v>1.7499999999999998E-2</v>
      </c>
      <c r="O31" s="13">
        <f t="shared" si="4"/>
        <v>0</v>
      </c>
      <c r="P31" s="13">
        <f t="shared" si="5"/>
        <v>0</v>
      </c>
    </row>
    <row r="32" spans="1:16" x14ac:dyDescent="0.25">
      <c r="A32">
        <f t="shared" si="7"/>
        <v>28</v>
      </c>
      <c r="B32">
        <f t="shared" si="7"/>
        <v>2045</v>
      </c>
      <c r="C32" s="16">
        <f>MIN(MAX($A32-Inputs!$I$86-Inputs!I$7,0),1)*Inputs!I$87</f>
        <v>1</v>
      </c>
      <c r="D32" s="16">
        <f>MIN(MAX($A32-Inputs!$I$86-Inputs!I$7,0),1)*Inputs!I$88</f>
        <v>0.5</v>
      </c>
      <c r="E32" s="16">
        <f>MIN(MAX($A32-Inputs!$I$86-Inputs!I$7,0),1)*Inputs!I$89</f>
        <v>0.5</v>
      </c>
      <c r="F32" s="16">
        <f>MIN(MAX($A32-Inputs!$I$86-Inputs!I$7,0),1)*Inputs!I$90</f>
        <v>0.1</v>
      </c>
      <c r="G32" s="16">
        <f>MIN(MAX($A32-Inputs!$I$86-Inputs!I$7,0),1)*Inputs!I$91</f>
        <v>0.05</v>
      </c>
      <c r="H32" s="16">
        <f>MIN(MAX($A32-Inputs!$I$86-Inputs!I$7,0),1)*Inputs!I$92</f>
        <v>0</v>
      </c>
      <c r="I32" s="16">
        <f>MIN(MAX($A32-Inputs!$I$86-Inputs!I$7,0),1)*Inputs!J$93</f>
        <v>0</v>
      </c>
      <c r="J32" s="16">
        <f>MIN(MAX($A32-Inputs!$I$86-Inputs!I$7,0),1)*Inputs!K$94</f>
        <v>0</v>
      </c>
      <c r="K32" s="125">
        <f t="shared" si="0"/>
        <v>0.12925</v>
      </c>
      <c r="L32" s="13">
        <f t="shared" si="1"/>
        <v>0.67500000000000004</v>
      </c>
      <c r="M32" s="13">
        <f t="shared" si="2"/>
        <v>0.24</v>
      </c>
      <c r="N32" s="13">
        <f t="shared" si="3"/>
        <v>1.7499999999999998E-2</v>
      </c>
      <c r="O32" s="13">
        <f t="shared" si="4"/>
        <v>0</v>
      </c>
      <c r="P32" s="13">
        <f t="shared" si="5"/>
        <v>0</v>
      </c>
    </row>
    <row r="33" spans="1:16" x14ac:dyDescent="0.25">
      <c r="A33">
        <f t="shared" si="7"/>
        <v>29</v>
      </c>
      <c r="B33">
        <f t="shared" si="7"/>
        <v>2046</v>
      </c>
      <c r="C33" s="16">
        <f>MIN(MAX($A33-Inputs!$I$86-Inputs!I$7,0),1)*Inputs!I$87</f>
        <v>1</v>
      </c>
      <c r="D33" s="16">
        <f>MIN(MAX($A33-Inputs!$I$86-Inputs!I$7,0),1)*Inputs!I$88</f>
        <v>0.5</v>
      </c>
      <c r="E33" s="16">
        <f>MIN(MAX($A33-Inputs!$I$86-Inputs!I$7,0),1)*Inputs!I$89</f>
        <v>0.5</v>
      </c>
      <c r="F33" s="16">
        <f>MIN(MAX($A33-Inputs!$I$86-Inputs!I$7,0),1)*Inputs!I$90</f>
        <v>0.1</v>
      </c>
      <c r="G33" s="16">
        <f>MIN(MAX($A33-Inputs!$I$86-Inputs!I$7,0),1)*Inputs!I$91</f>
        <v>0.05</v>
      </c>
      <c r="H33" s="16">
        <f>MIN(MAX($A33-Inputs!$I$86-Inputs!I$7,0),1)*Inputs!I$92</f>
        <v>0</v>
      </c>
      <c r="I33" s="16">
        <f>MIN(MAX($A33-Inputs!$I$86-Inputs!I$7,0),1)*Inputs!J$93</f>
        <v>0</v>
      </c>
      <c r="J33" s="16">
        <f>MIN(MAX($A33-Inputs!$I$86-Inputs!I$7,0),1)*Inputs!K$94</f>
        <v>0</v>
      </c>
      <c r="K33" s="125">
        <f t="shared" si="0"/>
        <v>0.12925</v>
      </c>
      <c r="L33" s="13">
        <f t="shared" si="1"/>
        <v>0.67500000000000004</v>
      </c>
      <c r="M33" s="13">
        <f t="shared" si="2"/>
        <v>0.24</v>
      </c>
      <c r="N33" s="13">
        <f t="shared" si="3"/>
        <v>1.7499999999999998E-2</v>
      </c>
      <c r="O33" s="13">
        <f t="shared" si="4"/>
        <v>0</v>
      </c>
      <c r="P33" s="13">
        <f t="shared" si="5"/>
        <v>0</v>
      </c>
    </row>
    <row r="34" spans="1:16" x14ac:dyDescent="0.25">
      <c r="A34">
        <f t="shared" si="7"/>
        <v>30</v>
      </c>
      <c r="B34">
        <f t="shared" si="7"/>
        <v>2047</v>
      </c>
      <c r="C34" s="16">
        <f>MIN(MAX($A34-Inputs!$I$86-Inputs!I$7,0),1)*Inputs!I$87</f>
        <v>1</v>
      </c>
      <c r="D34" s="16">
        <f>MIN(MAX($A34-Inputs!$I$86-Inputs!I$7,0),1)*Inputs!I$88</f>
        <v>0.5</v>
      </c>
      <c r="E34" s="16">
        <f>MIN(MAX($A34-Inputs!$I$86-Inputs!I$7,0),1)*Inputs!I$89</f>
        <v>0.5</v>
      </c>
      <c r="F34" s="16">
        <f>MIN(MAX($A34-Inputs!$I$86-Inputs!I$7,0),1)*Inputs!I$90</f>
        <v>0.1</v>
      </c>
      <c r="G34" s="16">
        <f>MIN(MAX($A34-Inputs!$I$86-Inputs!I$7,0),1)*Inputs!I$91</f>
        <v>0.05</v>
      </c>
      <c r="H34" s="16">
        <f>MIN(MAX($A34-Inputs!$I$86-Inputs!I$7,0),1)*Inputs!I$92</f>
        <v>0</v>
      </c>
      <c r="I34" s="16">
        <f>MIN(MAX($A34-Inputs!$I$86-Inputs!I$7,0),1)*Inputs!J$93</f>
        <v>0</v>
      </c>
      <c r="J34" s="16">
        <f>MIN(MAX($A34-Inputs!$I$86-Inputs!I$7,0),1)*Inputs!K$94</f>
        <v>0</v>
      </c>
      <c r="K34" s="125">
        <f t="shared" si="0"/>
        <v>0.12925</v>
      </c>
      <c r="L34" s="13">
        <f t="shared" si="1"/>
        <v>0.67500000000000004</v>
      </c>
      <c r="M34" s="13">
        <f t="shared" si="2"/>
        <v>0.24</v>
      </c>
      <c r="N34" s="13">
        <f t="shared" si="3"/>
        <v>1.7499999999999998E-2</v>
      </c>
      <c r="O34" s="13">
        <f t="shared" si="4"/>
        <v>0</v>
      </c>
      <c r="P34" s="13">
        <f t="shared" si="5"/>
        <v>0</v>
      </c>
    </row>
    <row r="35" spans="1:16" x14ac:dyDescent="0.25">
      <c r="A35">
        <f t="shared" si="7"/>
        <v>31</v>
      </c>
      <c r="B35">
        <f t="shared" si="7"/>
        <v>2048</v>
      </c>
      <c r="C35" s="16">
        <f>MIN(MAX($A35-Inputs!$I$86-Inputs!I$7,0),1)*Inputs!I$87</f>
        <v>1</v>
      </c>
      <c r="D35" s="16">
        <f>MIN(MAX($A35-Inputs!$I$86-Inputs!I$7,0),1)*Inputs!I$88</f>
        <v>0.5</v>
      </c>
      <c r="E35" s="16">
        <f>MIN(MAX($A35-Inputs!$I$86-Inputs!I$7,0),1)*Inputs!I$89</f>
        <v>0.5</v>
      </c>
      <c r="F35" s="16">
        <f>MIN(MAX($A35-Inputs!$I$86-Inputs!I$7,0),1)*Inputs!I$90</f>
        <v>0.1</v>
      </c>
      <c r="G35" s="16">
        <f>MIN(MAX($A35-Inputs!$I$86-Inputs!I$7,0),1)*Inputs!I$91</f>
        <v>0.05</v>
      </c>
      <c r="H35" s="16">
        <f>MIN(MAX($A35-Inputs!$I$86-Inputs!I$7,0),1)*Inputs!I$92</f>
        <v>0</v>
      </c>
      <c r="I35" s="16">
        <f>MIN(MAX($A35-Inputs!$I$86-Inputs!I$7,0),1)*Inputs!J$93</f>
        <v>0</v>
      </c>
      <c r="J35" s="16">
        <f>MIN(MAX($A35-Inputs!$I$86-Inputs!I$7,0),1)*Inputs!K$94</f>
        <v>0</v>
      </c>
      <c r="K35" s="125">
        <f t="shared" si="0"/>
        <v>0.12925</v>
      </c>
      <c r="L35" s="13">
        <f t="shared" si="1"/>
        <v>0.67500000000000004</v>
      </c>
      <c r="M35" s="13">
        <f t="shared" si="2"/>
        <v>0.24</v>
      </c>
      <c r="N35" s="13">
        <f t="shared" si="3"/>
        <v>1.7499999999999998E-2</v>
      </c>
      <c r="O35" s="13">
        <f t="shared" si="4"/>
        <v>0</v>
      </c>
      <c r="P35" s="13">
        <f t="shared" si="5"/>
        <v>0</v>
      </c>
    </row>
    <row r="36" spans="1:16" x14ac:dyDescent="0.25">
      <c r="A36">
        <f t="shared" si="7"/>
        <v>32</v>
      </c>
      <c r="B36">
        <f t="shared" si="7"/>
        <v>2049</v>
      </c>
      <c r="C36" s="16">
        <f>MIN(MAX($A36-Inputs!$I$86-Inputs!I$7,0),1)*Inputs!I$87</f>
        <v>1</v>
      </c>
      <c r="D36" s="16">
        <f>MIN(MAX($A36-Inputs!$I$86-Inputs!I$7,0),1)*Inputs!I$88</f>
        <v>0.5</v>
      </c>
      <c r="E36" s="16">
        <f>MIN(MAX($A36-Inputs!$I$86-Inputs!I$7,0),1)*Inputs!I$89</f>
        <v>0.5</v>
      </c>
      <c r="F36" s="16">
        <f>MIN(MAX($A36-Inputs!$I$86-Inputs!I$7,0),1)*Inputs!I$90</f>
        <v>0.1</v>
      </c>
      <c r="G36" s="16">
        <f>MIN(MAX($A36-Inputs!$I$86-Inputs!I$7,0),1)*Inputs!I$91</f>
        <v>0.05</v>
      </c>
      <c r="H36" s="16">
        <f>MIN(MAX($A36-Inputs!$I$86-Inputs!I$7,0),1)*Inputs!I$92</f>
        <v>0</v>
      </c>
      <c r="I36" s="16">
        <f>MIN(MAX($A36-Inputs!$I$86-Inputs!I$7,0),1)*Inputs!J$93</f>
        <v>0</v>
      </c>
      <c r="J36" s="16">
        <f>MIN(MAX($A36-Inputs!$I$86-Inputs!I$7,0),1)*Inputs!K$94</f>
        <v>0</v>
      </c>
      <c r="K36" s="125">
        <f t="shared" si="0"/>
        <v>0.12925</v>
      </c>
      <c r="L36" s="13">
        <f t="shared" si="1"/>
        <v>0.67500000000000004</v>
      </c>
      <c r="M36" s="13">
        <f t="shared" si="2"/>
        <v>0.24</v>
      </c>
      <c r="N36" s="13">
        <f t="shared" si="3"/>
        <v>1.7499999999999998E-2</v>
      </c>
      <c r="O36" s="13">
        <f t="shared" si="4"/>
        <v>0</v>
      </c>
      <c r="P36" s="13">
        <f t="shared" si="5"/>
        <v>0</v>
      </c>
    </row>
    <row r="37" spans="1:16" x14ac:dyDescent="0.25">
      <c r="A37">
        <f t="shared" si="7"/>
        <v>33</v>
      </c>
      <c r="B37">
        <f t="shared" si="7"/>
        <v>2050</v>
      </c>
      <c r="C37" s="16">
        <f>MIN(MAX($A37-Inputs!$I$86-Inputs!I$7,0),1)*Inputs!I$87</f>
        <v>1</v>
      </c>
      <c r="D37" s="16">
        <f>MIN(MAX($A37-Inputs!$I$86-Inputs!I$7,0),1)*Inputs!I$88</f>
        <v>0.5</v>
      </c>
      <c r="E37" s="16">
        <f>MIN(MAX($A37-Inputs!$I$86-Inputs!I$7,0),1)*Inputs!I$89</f>
        <v>0.5</v>
      </c>
      <c r="F37" s="16">
        <f>MIN(MAX($A37-Inputs!$I$86-Inputs!I$7,0),1)*Inputs!I$90</f>
        <v>0.1</v>
      </c>
      <c r="G37" s="16">
        <f>MIN(MAX($A37-Inputs!$I$86-Inputs!I$7,0),1)*Inputs!I$91</f>
        <v>0.05</v>
      </c>
      <c r="H37" s="16">
        <f>MIN(MAX($A37-Inputs!$I$86-Inputs!I$7,0),1)*Inputs!I$92</f>
        <v>0</v>
      </c>
      <c r="I37" s="16">
        <f>MIN(MAX($A37-Inputs!$I$86-Inputs!I$7,0),1)*Inputs!J$93</f>
        <v>0</v>
      </c>
      <c r="J37" s="16">
        <f>MIN(MAX($A37-Inputs!$I$86-Inputs!I$7,0),1)*Inputs!K$94</f>
        <v>0</v>
      </c>
      <c r="K37" s="125">
        <f t="shared" si="0"/>
        <v>0.12925</v>
      </c>
      <c r="L37" s="13">
        <f t="shared" si="1"/>
        <v>0.67500000000000004</v>
      </c>
      <c r="M37" s="13">
        <f t="shared" si="2"/>
        <v>0.24</v>
      </c>
      <c r="N37" s="13">
        <f t="shared" si="3"/>
        <v>1.7499999999999998E-2</v>
      </c>
      <c r="O37" s="13">
        <f t="shared" si="4"/>
        <v>0</v>
      </c>
      <c r="P37" s="13">
        <f t="shared" si="5"/>
        <v>0</v>
      </c>
    </row>
    <row r="38" spans="1:16" x14ac:dyDescent="0.25">
      <c r="A38">
        <f t="shared" si="7"/>
        <v>34</v>
      </c>
      <c r="B38">
        <f t="shared" si="7"/>
        <v>2051</v>
      </c>
      <c r="C38" s="16">
        <f>MIN(MAX($A38-Inputs!$I$86-Inputs!I$7,0),1)*Inputs!I$87</f>
        <v>1</v>
      </c>
      <c r="D38" s="16">
        <f>MIN(MAX($A38-Inputs!$I$86-Inputs!I$7,0),1)*Inputs!I$88</f>
        <v>0.5</v>
      </c>
      <c r="E38" s="16">
        <f>MIN(MAX($A38-Inputs!$I$86-Inputs!I$7,0),1)*Inputs!I$89</f>
        <v>0.5</v>
      </c>
      <c r="F38" s="16">
        <f>MIN(MAX($A38-Inputs!$I$86-Inputs!I$7,0),1)*Inputs!I$90</f>
        <v>0.1</v>
      </c>
      <c r="G38" s="16">
        <f>MIN(MAX($A38-Inputs!$I$86-Inputs!I$7,0),1)*Inputs!I$91</f>
        <v>0.05</v>
      </c>
      <c r="H38" s="16">
        <f>MIN(MAX($A38-Inputs!$I$86-Inputs!I$7,0),1)*Inputs!I$92</f>
        <v>0</v>
      </c>
      <c r="I38" s="16">
        <f>MIN(MAX($A38-Inputs!$I$86-Inputs!I$7,0),1)*Inputs!J$93</f>
        <v>0</v>
      </c>
      <c r="J38" s="16">
        <f>MIN(MAX($A38-Inputs!$I$86-Inputs!I$7,0),1)*Inputs!K$94</f>
        <v>0</v>
      </c>
      <c r="K38" s="125">
        <f t="shared" si="0"/>
        <v>0.12925</v>
      </c>
      <c r="L38" s="13">
        <f t="shared" si="1"/>
        <v>0.67500000000000004</v>
      </c>
      <c r="M38" s="13">
        <f t="shared" si="2"/>
        <v>0.24</v>
      </c>
      <c r="N38" s="13">
        <f t="shared" si="3"/>
        <v>1.7499999999999998E-2</v>
      </c>
      <c r="O38" s="13">
        <f t="shared" si="4"/>
        <v>0</v>
      </c>
      <c r="P38" s="13">
        <f t="shared" si="5"/>
        <v>0</v>
      </c>
    </row>
    <row r="39" spans="1:16" x14ac:dyDescent="0.25">
      <c r="A39">
        <f t="shared" ref="A39:B54" si="8">A38+1</f>
        <v>35</v>
      </c>
      <c r="B39">
        <f t="shared" si="8"/>
        <v>2052</v>
      </c>
      <c r="C39" s="16">
        <f>MIN(MAX($A39-Inputs!$I$86-Inputs!I$7,0),1)*Inputs!I$87</f>
        <v>1</v>
      </c>
      <c r="D39" s="16">
        <f>MIN(MAX($A39-Inputs!$I$86-Inputs!I$7,0),1)*Inputs!I$88</f>
        <v>0.5</v>
      </c>
      <c r="E39" s="16">
        <f>MIN(MAX($A39-Inputs!$I$86-Inputs!I$7,0),1)*Inputs!I$89</f>
        <v>0.5</v>
      </c>
      <c r="F39" s="16">
        <f>MIN(MAX($A39-Inputs!$I$86-Inputs!I$7,0),1)*Inputs!I$90</f>
        <v>0.1</v>
      </c>
      <c r="G39" s="16">
        <f>MIN(MAX($A39-Inputs!$I$86-Inputs!I$7,0),1)*Inputs!I$91</f>
        <v>0.05</v>
      </c>
      <c r="H39" s="16">
        <f>MIN(MAX($A39-Inputs!$I$86-Inputs!I$7,0),1)*Inputs!I$92</f>
        <v>0</v>
      </c>
      <c r="I39" s="16">
        <f>MIN(MAX($A39-Inputs!$I$86-Inputs!I$7,0),1)*Inputs!J$93</f>
        <v>0</v>
      </c>
      <c r="J39" s="16">
        <f>MIN(MAX($A39-Inputs!$I$86-Inputs!I$7,0),1)*Inputs!K$94</f>
        <v>0</v>
      </c>
      <c r="K39" s="125">
        <f t="shared" si="0"/>
        <v>0.12925</v>
      </c>
      <c r="L39" s="13">
        <f t="shared" si="1"/>
        <v>0.67500000000000004</v>
      </c>
      <c r="M39" s="13">
        <f t="shared" si="2"/>
        <v>0.24</v>
      </c>
      <c r="N39" s="13">
        <f t="shared" si="3"/>
        <v>1.7499999999999998E-2</v>
      </c>
      <c r="O39" s="13">
        <f t="shared" si="4"/>
        <v>0</v>
      </c>
      <c r="P39" s="13">
        <f t="shared" si="5"/>
        <v>0</v>
      </c>
    </row>
    <row r="40" spans="1:16" x14ac:dyDescent="0.25">
      <c r="A40">
        <f t="shared" si="8"/>
        <v>36</v>
      </c>
      <c r="B40">
        <f t="shared" si="8"/>
        <v>2053</v>
      </c>
      <c r="C40" s="16">
        <f>MIN(MAX($A40-Inputs!$I$86-Inputs!I$7,0),1)*Inputs!I$87</f>
        <v>1</v>
      </c>
      <c r="D40" s="16">
        <f>MIN(MAX($A40-Inputs!$I$86-Inputs!I$7,0),1)*Inputs!I$88</f>
        <v>0.5</v>
      </c>
      <c r="E40" s="16">
        <f>MIN(MAX($A40-Inputs!$I$86-Inputs!I$7,0),1)*Inputs!I$89</f>
        <v>0.5</v>
      </c>
      <c r="F40" s="16">
        <f>MIN(MAX($A40-Inputs!$I$86-Inputs!I$7,0),1)*Inputs!I$90</f>
        <v>0.1</v>
      </c>
      <c r="G40" s="16">
        <f>MIN(MAX($A40-Inputs!$I$86-Inputs!I$7,0),1)*Inputs!I$91</f>
        <v>0.05</v>
      </c>
      <c r="H40" s="16">
        <f>MIN(MAX($A40-Inputs!$I$86-Inputs!I$7,0),1)*Inputs!I$92</f>
        <v>0</v>
      </c>
      <c r="I40" s="16">
        <f>MIN(MAX($A40-Inputs!$I$86-Inputs!I$7,0),1)*Inputs!J$93</f>
        <v>0</v>
      </c>
      <c r="J40" s="16">
        <f>MIN(MAX($A40-Inputs!$I$86-Inputs!I$7,0),1)*Inputs!K$94</f>
        <v>0</v>
      </c>
      <c r="K40" s="125">
        <f t="shared" si="0"/>
        <v>0.12925</v>
      </c>
      <c r="L40" s="13">
        <f t="shared" si="1"/>
        <v>0.67500000000000004</v>
      </c>
      <c r="M40" s="13">
        <f t="shared" si="2"/>
        <v>0.24</v>
      </c>
      <c r="N40" s="13">
        <f t="shared" si="3"/>
        <v>1.7499999999999998E-2</v>
      </c>
      <c r="O40" s="13">
        <f t="shared" si="4"/>
        <v>0</v>
      </c>
      <c r="P40" s="13">
        <f t="shared" si="5"/>
        <v>0</v>
      </c>
    </row>
    <row r="41" spans="1:16" x14ac:dyDescent="0.25">
      <c r="A41">
        <f t="shared" si="8"/>
        <v>37</v>
      </c>
      <c r="B41">
        <f t="shared" si="8"/>
        <v>2054</v>
      </c>
      <c r="C41" s="16">
        <f>MIN(MAX($A41-Inputs!$I$86-Inputs!I$7,0),1)*Inputs!I$87</f>
        <v>1</v>
      </c>
      <c r="D41" s="16">
        <f>MIN(MAX($A41-Inputs!$I$86-Inputs!I$7,0),1)*Inputs!I$88</f>
        <v>0.5</v>
      </c>
      <c r="E41" s="16">
        <f>MIN(MAX($A41-Inputs!$I$86-Inputs!I$7,0),1)*Inputs!I$89</f>
        <v>0.5</v>
      </c>
      <c r="F41" s="16">
        <f>MIN(MAX($A41-Inputs!$I$86-Inputs!I$7,0),1)*Inputs!I$90</f>
        <v>0.1</v>
      </c>
      <c r="G41" s="16">
        <f>MIN(MAX($A41-Inputs!$I$86-Inputs!I$7,0),1)*Inputs!I$91</f>
        <v>0.05</v>
      </c>
      <c r="H41" s="16">
        <f>MIN(MAX($A41-Inputs!$I$86-Inputs!I$7,0),1)*Inputs!I$92</f>
        <v>0</v>
      </c>
      <c r="I41" s="16">
        <f>MIN(MAX($A41-Inputs!$I$86-Inputs!I$7,0),1)*Inputs!J$93</f>
        <v>0</v>
      </c>
      <c r="J41" s="16">
        <f>MIN(MAX($A41-Inputs!$I$86-Inputs!I$7,0),1)*Inputs!K$94</f>
        <v>0</v>
      </c>
      <c r="K41" s="125">
        <f t="shared" si="0"/>
        <v>0.12925</v>
      </c>
      <c r="L41" s="13">
        <f t="shared" si="1"/>
        <v>0.67500000000000004</v>
      </c>
      <c r="M41" s="13">
        <f t="shared" si="2"/>
        <v>0.24</v>
      </c>
      <c r="N41" s="13">
        <f t="shared" si="3"/>
        <v>1.7499999999999998E-2</v>
      </c>
      <c r="O41" s="13">
        <f t="shared" si="4"/>
        <v>0</v>
      </c>
      <c r="P41" s="13">
        <f t="shared" si="5"/>
        <v>0</v>
      </c>
    </row>
    <row r="42" spans="1:16" x14ac:dyDescent="0.25">
      <c r="A42">
        <f t="shared" si="8"/>
        <v>38</v>
      </c>
      <c r="B42">
        <f t="shared" si="8"/>
        <v>2055</v>
      </c>
      <c r="C42" s="16">
        <f>MIN(MAX($A42-Inputs!$I$86-Inputs!I$7,0),1)*Inputs!I$87</f>
        <v>1</v>
      </c>
      <c r="D42" s="16">
        <f>MIN(MAX($A42-Inputs!$I$86-Inputs!I$7,0),1)*Inputs!I$88</f>
        <v>0.5</v>
      </c>
      <c r="E42" s="16">
        <f>MIN(MAX($A42-Inputs!$I$86-Inputs!I$7,0),1)*Inputs!I$89</f>
        <v>0.5</v>
      </c>
      <c r="F42" s="16">
        <f>MIN(MAX($A42-Inputs!$I$86-Inputs!I$7,0),1)*Inputs!I$90</f>
        <v>0.1</v>
      </c>
      <c r="G42" s="16">
        <f>MIN(MAX($A42-Inputs!$I$86-Inputs!I$7,0),1)*Inputs!I$91</f>
        <v>0.05</v>
      </c>
      <c r="H42" s="16">
        <f>MIN(MAX($A42-Inputs!$I$86-Inputs!I$7,0),1)*Inputs!I$92</f>
        <v>0</v>
      </c>
      <c r="I42" s="16">
        <f>MIN(MAX($A42-Inputs!$I$86-Inputs!I$7,0),1)*Inputs!J$93</f>
        <v>0</v>
      </c>
      <c r="J42" s="16">
        <f>MIN(MAX($A42-Inputs!$I$86-Inputs!I$7,0),1)*Inputs!K$94</f>
        <v>0</v>
      </c>
      <c r="K42" s="125">
        <f t="shared" si="0"/>
        <v>0.12925</v>
      </c>
      <c r="L42" s="13">
        <f t="shared" si="1"/>
        <v>0.67500000000000004</v>
      </c>
      <c r="M42" s="13">
        <f t="shared" si="2"/>
        <v>0.24</v>
      </c>
      <c r="N42" s="13">
        <f t="shared" si="3"/>
        <v>1.7499999999999998E-2</v>
      </c>
      <c r="O42" s="13">
        <f t="shared" si="4"/>
        <v>0</v>
      </c>
      <c r="P42" s="13">
        <f t="shared" si="5"/>
        <v>0</v>
      </c>
    </row>
    <row r="43" spans="1:16" x14ac:dyDescent="0.25">
      <c r="A43">
        <f t="shared" si="8"/>
        <v>39</v>
      </c>
      <c r="B43">
        <f t="shared" si="8"/>
        <v>2056</v>
      </c>
      <c r="C43" s="16">
        <f>MIN(MAX($A43-Inputs!$I$86-Inputs!I$7,0),1)*Inputs!I$87</f>
        <v>1</v>
      </c>
      <c r="D43" s="16">
        <f>MIN(MAX($A43-Inputs!$I$86-Inputs!I$7,0),1)*Inputs!I$88</f>
        <v>0.5</v>
      </c>
      <c r="E43" s="16">
        <f>MIN(MAX($A43-Inputs!$I$86-Inputs!I$7,0),1)*Inputs!I$89</f>
        <v>0.5</v>
      </c>
      <c r="F43" s="16">
        <f>MIN(MAX($A43-Inputs!$I$86-Inputs!I$7,0),1)*Inputs!I$90</f>
        <v>0.1</v>
      </c>
      <c r="G43" s="16">
        <f>MIN(MAX($A43-Inputs!$I$86-Inputs!I$7,0),1)*Inputs!I$91</f>
        <v>0.05</v>
      </c>
      <c r="H43" s="16">
        <f>MIN(MAX($A43-Inputs!$I$86-Inputs!I$7,0),1)*Inputs!I$92</f>
        <v>0</v>
      </c>
      <c r="I43" s="16">
        <f>MIN(MAX($A43-Inputs!$I$86-Inputs!I$7,0),1)*Inputs!J$93</f>
        <v>0</v>
      </c>
      <c r="J43" s="16">
        <f>MIN(MAX($A43-Inputs!$I$86-Inputs!I$7,0),1)*Inputs!K$94</f>
        <v>0</v>
      </c>
      <c r="K43" s="125">
        <f t="shared" si="0"/>
        <v>0.12925</v>
      </c>
      <c r="L43" s="13">
        <f t="shared" si="1"/>
        <v>0.67500000000000004</v>
      </c>
      <c r="M43" s="13">
        <f t="shared" si="2"/>
        <v>0.24</v>
      </c>
      <c r="N43" s="13">
        <f t="shared" si="3"/>
        <v>1.7499999999999998E-2</v>
      </c>
      <c r="O43" s="13">
        <f t="shared" si="4"/>
        <v>0</v>
      </c>
      <c r="P43" s="13">
        <f t="shared" si="5"/>
        <v>0</v>
      </c>
    </row>
    <row r="44" spans="1:16" x14ac:dyDescent="0.25">
      <c r="A44">
        <f t="shared" si="8"/>
        <v>40</v>
      </c>
      <c r="B44">
        <f t="shared" si="8"/>
        <v>2057</v>
      </c>
      <c r="C44" s="16">
        <f>MIN(MAX($A44-Inputs!$I$86-Inputs!I$7,0),1)*Inputs!I$87</f>
        <v>1</v>
      </c>
      <c r="D44" s="16">
        <f>MIN(MAX($A44-Inputs!$I$86-Inputs!I$7,0),1)*Inputs!I$88</f>
        <v>0.5</v>
      </c>
      <c r="E44" s="16">
        <f>MIN(MAX($A44-Inputs!$I$86-Inputs!I$7,0),1)*Inputs!I$89</f>
        <v>0.5</v>
      </c>
      <c r="F44" s="16">
        <f>MIN(MAX($A44-Inputs!$I$86-Inputs!I$7,0),1)*Inputs!I$90</f>
        <v>0.1</v>
      </c>
      <c r="G44" s="16">
        <f>MIN(MAX($A44-Inputs!$I$86-Inputs!I$7,0),1)*Inputs!I$91</f>
        <v>0.05</v>
      </c>
      <c r="H44" s="16">
        <f>MIN(MAX($A44-Inputs!$I$86-Inputs!I$7,0),1)*Inputs!I$92</f>
        <v>0</v>
      </c>
      <c r="I44" s="16">
        <f>MIN(MAX($A44-Inputs!$I$86-Inputs!I$7,0),1)*Inputs!J$93</f>
        <v>0</v>
      </c>
      <c r="J44" s="16">
        <f>MIN(MAX($A44-Inputs!$I$86-Inputs!I$7,0),1)*Inputs!K$94</f>
        <v>0</v>
      </c>
      <c r="K44" s="125">
        <f t="shared" si="0"/>
        <v>0.12925</v>
      </c>
      <c r="L44" s="13">
        <f t="shared" si="1"/>
        <v>0.67500000000000004</v>
      </c>
      <c r="M44" s="13">
        <f t="shared" si="2"/>
        <v>0.24</v>
      </c>
      <c r="N44" s="13">
        <f t="shared" si="3"/>
        <v>1.7499999999999998E-2</v>
      </c>
      <c r="O44" s="13">
        <f t="shared" si="4"/>
        <v>0</v>
      </c>
      <c r="P44" s="13">
        <f t="shared" si="5"/>
        <v>0</v>
      </c>
    </row>
    <row r="45" spans="1:16" x14ac:dyDescent="0.25">
      <c r="A45">
        <f t="shared" si="8"/>
        <v>41</v>
      </c>
      <c r="B45">
        <f t="shared" si="8"/>
        <v>2058</v>
      </c>
      <c r="C45" s="16">
        <f>MIN(MAX($A45-Inputs!$I$86-Inputs!I$7,0),1)*Inputs!I$87</f>
        <v>1</v>
      </c>
      <c r="D45" s="16">
        <f>MIN(MAX($A45-Inputs!$I$86-Inputs!I$7,0),1)*Inputs!I$88</f>
        <v>0.5</v>
      </c>
      <c r="E45" s="16">
        <f>MIN(MAX($A45-Inputs!$I$86-Inputs!I$7,0),1)*Inputs!I$89</f>
        <v>0.5</v>
      </c>
      <c r="F45" s="16">
        <f>MIN(MAX($A45-Inputs!$I$86-Inputs!I$7,0),1)*Inputs!I$90</f>
        <v>0.1</v>
      </c>
      <c r="G45" s="16">
        <f>MIN(MAX($A45-Inputs!$I$86-Inputs!I$7,0),1)*Inputs!I$91</f>
        <v>0.05</v>
      </c>
      <c r="H45" s="16">
        <f>MIN(MAX($A45-Inputs!$I$86-Inputs!I$7,0),1)*Inputs!I$92</f>
        <v>0</v>
      </c>
      <c r="I45" s="16">
        <f>MIN(MAX($A45-Inputs!$I$86-Inputs!I$7,0),1)*Inputs!J$93</f>
        <v>0</v>
      </c>
      <c r="J45" s="16">
        <f>MIN(MAX($A45-Inputs!$I$86-Inputs!I$7,0),1)*Inputs!K$94</f>
        <v>0</v>
      </c>
      <c r="K45" s="125">
        <f t="shared" si="0"/>
        <v>0.12925</v>
      </c>
      <c r="L45" s="13">
        <f t="shared" si="1"/>
        <v>0.67500000000000004</v>
      </c>
      <c r="M45" s="13">
        <f t="shared" si="2"/>
        <v>0.24</v>
      </c>
      <c r="N45" s="13">
        <f t="shared" si="3"/>
        <v>1.7499999999999998E-2</v>
      </c>
      <c r="O45" s="13">
        <f t="shared" si="4"/>
        <v>0</v>
      </c>
      <c r="P45" s="13">
        <f t="shared" si="5"/>
        <v>0</v>
      </c>
    </row>
    <row r="46" spans="1:16" x14ac:dyDescent="0.25">
      <c r="A46">
        <f t="shared" si="8"/>
        <v>42</v>
      </c>
      <c r="B46">
        <f t="shared" si="8"/>
        <v>2059</v>
      </c>
      <c r="C46" s="16">
        <f>MIN(MAX($A46-Inputs!$I$86-Inputs!I$7,0),1)*Inputs!I$87</f>
        <v>1</v>
      </c>
      <c r="D46" s="16">
        <f>MIN(MAX($A46-Inputs!$I$86-Inputs!I$7,0),1)*Inputs!I$88</f>
        <v>0.5</v>
      </c>
      <c r="E46" s="16">
        <f>MIN(MAX($A46-Inputs!$I$86-Inputs!I$7,0),1)*Inputs!I$89</f>
        <v>0.5</v>
      </c>
      <c r="F46" s="16">
        <f>MIN(MAX($A46-Inputs!$I$86-Inputs!I$7,0),1)*Inputs!I$90</f>
        <v>0.1</v>
      </c>
      <c r="G46" s="16">
        <f>MIN(MAX($A46-Inputs!$I$86-Inputs!I$7,0),1)*Inputs!I$91</f>
        <v>0.05</v>
      </c>
      <c r="H46" s="16">
        <f>MIN(MAX($A46-Inputs!$I$86-Inputs!I$7,0),1)*Inputs!I$92</f>
        <v>0</v>
      </c>
      <c r="I46" s="16">
        <f>MIN(MAX($A46-Inputs!$I$86-Inputs!I$7,0),1)*Inputs!J$93</f>
        <v>0</v>
      </c>
      <c r="J46" s="16">
        <f>MIN(MAX($A46-Inputs!$I$86-Inputs!I$7,0),1)*Inputs!K$94</f>
        <v>0</v>
      </c>
      <c r="K46" s="125">
        <f t="shared" si="0"/>
        <v>0.12925</v>
      </c>
      <c r="L46" s="13">
        <f t="shared" si="1"/>
        <v>0.67500000000000004</v>
      </c>
      <c r="M46" s="13">
        <f t="shared" si="2"/>
        <v>0.24</v>
      </c>
      <c r="N46" s="13">
        <f t="shared" si="3"/>
        <v>1.7499999999999998E-2</v>
      </c>
      <c r="O46" s="13">
        <f t="shared" si="4"/>
        <v>0</v>
      </c>
      <c r="P46" s="13">
        <f t="shared" si="5"/>
        <v>0</v>
      </c>
    </row>
    <row r="47" spans="1:16" x14ac:dyDescent="0.25">
      <c r="A47">
        <f t="shared" si="8"/>
        <v>43</v>
      </c>
      <c r="B47">
        <f t="shared" si="8"/>
        <v>2060</v>
      </c>
      <c r="C47" s="16">
        <f>MIN(MAX($A47-Inputs!$I$86-Inputs!I$7,0),1)*Inputs!I$87</f>
        <v>1</v>
      </c>
      <c r="D47" s="16">
        <f>MIN(MAX($A47-Inputs!$I$86-Inputs!I$7,0),1)*Inputs!I$88</f>
        <v>0.5</v>
      </c>
      <c r="E47" s="16">
        <f>MIN(MAX($A47-Inputs!$I$86-Inputs!I$7,0),1)*Inputs!I$89</f>
        <v>0.5</v>
      </c>
      <c r="F47" s="16">
        <f>MIN(MAX($A47-Inputs!$I$86-Inputs!I$7,0),1)*Inputs!I$90</f>
        <v>0.1</v>
      </c>
      <c r="G47" s="16">
        <f>MIN(MAX($A47-Inputs!$I$86-Inputs!I$7,0),1)*Inputs!I$91</f>
        <v>0.05</v>
      </c>
      <c r="H47" s="16">
        <f>MIN(MAX($A47-Inputs!$I$86-Inputs!I$7,0),1)*Inputs!I$92</f>
        <v>0</v>
      </c>
      <c r="I47" s="16">
        <f>MIN(MAX($A47-Inputs!$I$86-Inputs!I$7,0),1)*Inputs!J$93</f>
        <v>0</v>
      </c>
      <c r="J47" s="16">
        <f>MIN(MAX($A47-Inputs!$I$86-Inputs!I$7,0),1)*Inputs!K$94</f>
        <v>0</v>
      </c>
      <c r="K47" s="125">
        <f t="shared" si="0"/>
        <v>0.12925</v>
      </c>
      <c r="L47" s="13">
        <f t="shared" si="1"/>
        <v>0.67500000000000004</v>
      </c>
      <c r="M47" s="13">
        <f t="shared" si="2"/>
        <v>0.24</v>
      </c>
      <c r="N47" s="13">
        <f t="shared" si="3"/>
        <v>1.7499999999999998E-2</v>
      </c>
      <c r="O47" s="13">
        <f t="shared" si="4"/>
        <v>0</v>
      </c>
      <c r="P47" s="13">
        <f t="shared" si="5"/>
        <v>0</v>
      </c>
    </row>
    <row r="48" spans="1:16" x14ac:dyDescent="0.25">
      <c r="A48">
        <f t="shared" si="8"/>
        <v>44</v>
      </c>
      <c r="B48">
        <f t="shared" si="8"/>
        <v>2061</v>
      </c>
      <c r="C48" s="16">
        <f>MIN(MAX($A48-Inputs!$I$86-Inputs!I$7,0),1)*Inputs!I$87</f>
        <v>1</v>
      </c>
      <c r="D48" s="16">
        <f>MIN(MAX($A48-Inputs!$I$86-Inputs!I$7,0),1)*Inputs!I$88</f>
        <v>0.5</v>
      </c>
      <c r="E48" s="16">
        <f>MIN(MAX($A48-Inputs!$I$86-Inputs!I$7,0),1)*Inputs!I$89</f>
        <v>0.5</v>
      </c>
      <c r="F48" s="16">
        <f>MIN(MAX($A48-Inputs!$I$86-Inputs!I$7,0),1)*Inputs!I$90</f>
        <v>0.1</v>
      </c>
      <c r="G48" s="16">
        <f>MIN(MAX($A48-Inputs!$I$86-Inputs!I$7,0),1)*Inputs!I$91</f>
        <v>0.05</v>
      </c>
      <c r="H48" s="16">
        <f>MIN(MAX($A48-Inputs!$I$86-Inputs!I$7,0),1)*Inputs!I$92</f>
        <v>0</v>
      </c>
      <c r="I48" s="16">
        <f>MIN(MAX($A48-Inputs!$I$86-Inputs!I$7,0),1)*Inputs!J$93</f>
        <v>0</v>
      </c>
      <c r="J48" s="16">
        <f>MIN(MAX($A48-Inputs!$I$86-Inputs!I$7,0),1)*Inputs!K$94</f>
        <v>0</v>
      </c>
      <c r="K48" s="125">
        <f t="shared" si="0"/>
        <v>0.12925</v>
      </c>
      <c r="L48" s="13">
        <f t="shared" si="1"/>
        <v>0.67500000000000004</v>
      </c>
      <c r="M48" s="13">
        <f t="shared" si="2"/>
        <v>0.24</v>
      </c>
      <c r="N48" s="13">
        <f t="shared" si="3"/>
        <v>1.7499999999999998E-2</v>
      </c>
      <c r="O48" s="13">
        <f t="shared" si="4"/>
        <v>0</v>
      </c>
      <c r="P48" s="13">
        <f t="shared" si="5"/>
        <v>0</v>
      </c>
    </row>
    <row r="49" spans="1:16" x14ac:dyDescent="0.25">
      <c r="A49">
        <f t="shared" si="8"/>
        <v>45</v>
      </c>
      <c r="B49">
        <f t="shared" si="8"/>
        <v>2062</v>
      </c>
      <c r="C49" s="16">
        <f>MIN(MAX($A49-Inputs!$I$86-Inputs!I$7,0),1)*Inputs!I$87</f>
        <v>1</v>
      </c>
      <c r="D49" s="16">
        <f>MIN(MAX($A49-Inputs!$I$86-Inputs!I$7,0),1)*Inputs!I$88</f>
        <v>0.5</v>
      </c>
      <c r="E49" s="16">
        <f>MIN(MAX($A49-Inputs!$I$86-Inputs!I$7,0),1)*Inputs!I$89</f>
        <v>0.5</v>
      </c>
      <c r="F49" s="16">
        <f>MIN(MAX($A49-Inputs!$I$86-Inputs!I$7,0),1)*Inputs!I$90</f>
        <v>0.1</v>
      </c>
      <c r="G49" s="16">
        <f>MIN(MAX($A49-Inputs!$I$86-Inputs!I$7,0),1)*Inputs!I$91</f>
        <v>0.05</v>
      </c>
      <c r="H49" s="16">
        <f>MIN(MAX($A49-Inputs!$I$86-Inputs!I$7,0),1)*Inputs!I$92</f>
        <v>0</v>
      </c>
      <c r="I49" s="16">
        <f>MIN(MAX($A49-Inputs!$I$86-Inputs!I$7,0),1)*Inputs!J$93</f>
        <v>0</v>
      </c>
      <c r="J49" s="16">
        <f>MIN(MAX($A49-Inputs!$I$86-Inputs!I$7,0),1)*Inputs!K$94</f>
        <v>0</v>
      </c>
      <c r="K49" s="125">
        <f t="shared" si="0"/>
        <v>0.12925</v>
      </c>
      <c r="L49" s="13">
        <f t="shared" si="1"/>
        <v>0.67500000000000004</v>
      </c>
      <c r="M49" s="13">
        <f t="shared" si="2"/>
        <v>0.24</v>
      </c>
      <c r="N49" s="13">
        <f t="shared" si="3"/>
        <v>1.7499999999999998E-2</v>
      </c>
      <c r="O49" s="13">
        <f t="shared" si="4"/>
        <v>0</v>
      </c>
      <c r="P49" s="13">
        <f t="shared" si="5"/>
        <v>0</v>
      </c>
    </row>
    <row r="50" spans="1:16" x14ac:dyDescent="0.25">
      <c r="A50">
        <f t="shared" si="8"/>
        <v>46</v>
      </c>
      <c r="B50">
        <f t="shared" si="8"/>
        <v>2063</v>
      </c>
      <c r="C50" s="16">
        <f>MIN(MAX($A50-Inputs!$I$86-Inputs!I$7,0),1)*Inputs!I$87</f>
        <v>1</v>
      </c>
      <c r="D50" s="16">
        <f>MIN(MAX($A50-Inputs!$I$86-Inputs!I$7,0),1)*Inputs!I$88</f>
        <v>0.5</v>
      </c>
      <c r="E50" s="16">
        <f>MIN(MAX($A50-Inputs!$I$86-Inputs!I$7,0),1)*Inputs!I$89</f>
        <v>0.5</v>
      </c>
      <c r="F50" s="16">
        <f>MIN(MAX($A50-Inputs!$I$86-Inputs!I$7,0),1)*Inputs!I$90</f>
        <v>0.1</v>
      </c>
      <c r="G50" s="16">
        <f>MIN(MAX($A50-Inputs!$I$86-Inputs!I$7,0),1)*Inputs!I$91</f>
        <v>0.05</v>
      </c>
      <c r="H50" s="16">
        <f>MIN(MAX($A50-Inputs!$I$86-Inputs!I$7,0),1)*Inputs!I$92</f>
        <v>0</v>
      </c>
      <c r="I50" s="16">
        <f>MIN(MAX($A50-Inputs!$I$86-Inputs!I$7,0),1)*Inputs!J$93</f>
        <v>0</v>
      </c>
      <c r="J50" s="16">
        <f>MIN(MAX($A50-Inputs!$I$86-Inputs!I$7,0),1)*Inputs!K$94</f>
        <v>0</v>
      </c>
      <c r="K50" s="125">
        <f t="shared" si="0"/>
        <v>0.12925</v>
      </c>
      <c r="L50" s="13">
        <f t="shared" si="1"/>
        <v>0.67500000000000004</v>
      </c>
      <c r="M50" s="13">
        <f t="shared" si="2"/>
        <v>0.24</v>
      </c>
      <c r="N50" s="13">
        <f t="shared" si="3"/>
        <v>1.7499999999999998E-2</v>
      </c>
      <c r="O50" s="13">
        <f t="shared" si="4"/>
        <v>0</v>
      </c>
      <c r="P50" s="13">
        <f t="shared" si="5"/>
        <v>0</v>
      </c>
    </row>
    <row r="51" spans="1:16" x14ac:dyDescent="0.25">
      <c r="A51">
        <f t="shared" si="8"/>
        <v>47</v>
      </c>
      <c r="B51">
        <f t="shared" si="8"/>
        <v>2064</v>
      </c>
      <c r="C51" s="16">
        <f>MIN(MAX($A51-Inputs!$I$86-Inputs!I$7,0),1)*Inputs!I$87</f>
        <v>1</v>
      </c>
      <c r="D51" s="16">
        <f>MIN(MAX($A51-Inputs!$I$86-Inputs!I$7,0),1)*Inputs!I$88</f>
        <v>0.5</v>
      </c>
      <c r="E51" s="16">
        <f>MIN(MAX($A51-Inputs!$I$86-Inputs!I$7,0),1)*Inputs!I$89</f>
        <v>0.5</v>
      </c>
      <c r="F51" s="16">
        <f>MIN(MAX($A51-Inputs!$I$86-Inputs!I$7,0),1)*Inputs!I$90</f>
        <v>0.1</v>
      </c>
      <c r="G51" s="16">
        <f>MIN(MAX($A51-Inputs!$I$86-Inputs!I$7,0),1)*Inputs!I$91</f>
        <v>0.05</v>
      </c>
      <c r="H51" s="16">
        <f>MIN(MAX($A51-Inputs!$I$86-Inputs!I$7,0),1)*Inputs!I$92</f>
        <v>0</v>
      </c>
      <c r="I51" s="16">
        <f>MIN(MAX($A51-Inputs!$I$86-Inputs!I$7,0),1)*Inputs!J$93</f>
        <v>0</v>
      </c>
      <c r="J51" s="16">
        <f>MIN(MAX($A51-Inputs!$I$86-Inputs!I$7,0),1)*Inputs!K$94</f>
        <v>0</v>
      </c>
      <c r="K51" s="125">
        <f t="shared" si="0"/>
        <v>0.12925</v>
      </c>
      <c r="L51" s="13">
        <f t="shared" si="1"/>
        <v>0.67500000000000004</v>
      </c>
      <c r="M51" s="13">
        <f t="shared" si="2"/>
        <v>0.24</v>
      </c>
      <c r="N51" s="13">
        <f t="shared" si="3"/>
        <v>1.7499999999999998E-2</v>
      </c>
      <c r="O51" s="13">
        <f t="shared" si="4"/>
        <v>0</v>
      </c>
      <c r="P51" s="13">
        <f t="shared" si="5"/>
        <v>0</v>
      </c>
    </row>
    <row r="52" spans="1:16" x14ac:dyDescent="0.25">
      <c r="A52">
        <f t="shared" si="8"/>
        <v>48</v>
      </c>
      <c r="B52">
        <f t="shared" si="8"/>
        <v>2065</v>
      </c>
      <c r="C52" s="16">
        <f>MIN(MAX($A52-Inputs!$I$86-Inputs!I$7,0),1)*Inputs!I$87</f>
        <v>1</v>
      </c>
      <c r="D52" s="16">
        <f>MIN(MAX($A52-Inputs!$I$86-Inputs!I$7,0),1)*Inputs!I$88</f>
        <v>0.5</v>
      </c>
      <c r="E52" s="16">
        <f>MIN(MAX($A52-Inputs!$I$86-Inputs!I$7,0),1)*Inputs!I$89</f>
        <v>0.5</v>
      </c>
      <c r="F52" s="16">
        <f>MIN(MAX($A52-Inputs!$I$86-Inputs!I$7,0),1)*Inputs!I$90</f>
        <v>0.1</v>
      </c>
      <c r="G52" s="16">
        <f>MIN(MAX($A52-Inputs!$I$86-Inputs!I$7,0),1)*Inputs!I$91</f>
        <v>0.05</v>
      </c>
      <c r="H52" s="16">
        <f>MIN(MAX($A52-Inputs!$I$86-Inputs!I$7,0),1)*Inputs!I$92</f>
        <v>0</v>
      </c>
      <c r="I52" s="16">
        <f>MIN(MAX($A52-Inputs!$I$86-Inputs!I$7,0),1)*Inputs!J$93</f>
        <v>0</v>
      </c>
      <c r="J52" s="16">
        <f>MIN(MAX($A52-Inputs!$I$86-Inputs!I$7,0),1)*Inputs!K$94</f>
        <v>0</v>
      </c>
      <c r="K52" s="125">
        <f t="shared" si="0"/>
        <v>0.12925</v>
      </c>
      <c r="L52" s="13">
        <f t="shared" si="1"/>
        <v>0.67500000000000004</v>
      </c>
      <c r="M52" s="13">
        <f t="shared" si="2"/>
        <v>0.24</v>
      </c>
      <c r="N52" s="13">
        <f t="shared" si="3"/>
        <v>1.7499999999999998E-2</v>
      </c>
      <c r="O52" s="13">
        <f t="shared" si="4"/>
        <v>0</v>
      </c>
      <c r="P52" s="13">
        <f t="shared" si="5"/>
        <v>0</v>
      </c>
    </row>
    <row r="53" spans="1:16" x14ac:dyDescent="0.25">
      <c r="A53">
        <f t="shared" si="8"/>
        <v>49</v>
      </c>
      <c r="B53">
        <f t="shared" si="8"/>
        <v>2066</v>
      </c>
      <c r="C53" s="16">
        <f>MIN(MAX($A53-Inputs!$I$86-Inputs!I$7,0),1)*Inputs!I$87</f>
        <v>1</v>
      </c>
      <c r="D53" s="16">
        <f>MIN(MAX($A53-Inputs!$I$86-Inputs!I$7,0),1)*Inputs!I$88</f>
        <v>0.5</v>
      </c>
      <c r="E53" s="16">
        <f>MIN(MAX($A53-Inputs!$I$86-Inputs!I$7,0),1)*Inputs!I$89</f>
        <v>0.5</v>
      </c>
      <c r="F53" s="16">
        <f>MIN(MAX($A53-Inputs!$I$86-Inputs!I$7,0),1)*Inputs!I$90</f>
        <v>0.1</v>
      </c>
      <c r="G53" s="16">
        <f>MIN(MAX($A53-Inputs!$I$86-Inputs!I$7,0),1)*Inputs!I$91</f>
        <v>0.05</v>
      </c>
      <c r="H53" s="16">
        <f>MIN(MAX($A53-Inputs!$I$86-Inputs!I$7,0),1)*Inputs!I$92</f>
        <v>0</v>
      </c>
      <c r="I53" s="16">
        <f>MIN(MAX($A53-Inputs!$I$86-Inputs!I$7,0),1)*Inputs!J$93</f>
        <v>0</v>
      </c>
      <c r="J53" s="16">
        <f>MIN(MAX($A53-Inputs!$I$86-Inputs!I$7,0),1)*Inputs!K$94</f>
        <v>0</v>
      </c>
      <c r="K53" s="125">
        <f t="shared" si="0"/>
        <v>0.12925</v>
      </c>
      <c r="L53" s="13">
        <f t="shared" si="1"/>
        <v>0.67500000000000004</v>
      </c>
      <c r="M53" s="13">
        <f t="shared" si="2"/>
        <v>0.24</v>
      </c>
      <c r="N53" s="13">
        <f t="shared" si="3"/>
        <v>1.7499999999999998E-2</v>
      </c>
      <c r="O53" s="13">
        <f t="shared" si="4"/>
        <v>0</v>
      </c>
      <c r="P53" s="13">
        <f t="shared" si="5"/>
        <v>0</v>
      </c>
    </row>
    <row r="54" spans="1:16" x14ac:dyDescent="0.25">
      <c r="A54">
        <f t="shared" si="8"/>
        <v>50</v>
      </c>
      <c r="B54">
        <f t="shared" si="8"/>
        <v>2067</v>
      </c>
      <c r="C54" s="16">
        <f>MIN(MAX($A54-Inputs!$I$86-Inputs!I$7,0),1)*Inputs!I$87</f>
        <v>1</v>
      </c>
      <c r="D54" s="16">
        <f>MIN(MAX($A54-Inputs!$I$86-Inputs!I$7,0),1)*Inputs!I$88</f>
        <v>0.5</v>
      </c>
      <c r="E54" s="16">
        <f>MIN(MAX($A54-Inputs!$I$86-Inputs!I$7,0),1)*Inputs!I$89</f>
        <v>0.5</v>
      </c>
      <c r="F54" s="16">
        <f>MIN(MAX($A54-Inputs!$I$86-Inputs!I$7,0),1)*Inputs!I$90</f>
        <v>0.1</v>
      </c>
      <c r="G54" s="16">
        <f>MIN(MAX($A54-Inputs!$I$86-Inputs!I$7,0),1)*Inputs!I$91</f>
        <v>0.05</v>
      </c>
      <c r="H54" s="16">
        <f>MIN(MAX($A54-Inputs!$I$86-Inputs!I$7,0),1)*Inputs!I$92</f>
        <v>0</v>
      </c>
      <c r="I54" s="16">
        <f>MIN(MAX($A54-Inputs!$I$86-Inputs!I$7,0),1)*Inputs!J$93</f>
        <v>0</v>
      </c>
      <c r="J54" s="16">
        <f>MIN(MAX($A54-Inputs!$I$86-Inputs!I$7,0),1)*Inputs!K$94</f>
        <v>0</v>
      </c>
      <c r="K54" s="125">
        <f t="shared" si="0"/>
        <v>0.12925</v>
      </c>
      <c r="L54" s="13">
        <f t="shared" si="1"/>
        <v>0.67500000000000004</v>
      </c>
      <c r="M54" s="13">
        <f t="shared" si="2"/>
        <v>0.24</v>
      </c>
      <c r="N54" s="13">
        <f t="shared" si="3"/>
        <v>1.7499999999999998E-2</v>
      </c>
      <c r="O54" s="13">
        <f t="shared" si="4"/>
        <v>0</v>
      </c>
      <c r="P54" s="13">
        <f t="shared" si="5"/>
        <v>0</v>
      </c>
    </row>
    <row r="55" spans="1:16" x14ac:dyDescent="0.25">
      <c r="A55">
        <f t="shared" ref="A55:B57" si="9">A54+1</f>
        <v>51</v>
      </c>
      <c r="B55">
        <f t="shared" si="9"/>
        <v>2068</v>
      </c>
      <c r="C55" s="16">
        <f>MIN(MAX($A55-Inputs!$I$86-Inputs!I$7,0),1)*Inputs!I$87</f>
        <v>1</v>
      </c>
      <c r="D55" s="16">
        <f>MIN(MAX($A55-Inputs!$I$86-Inputs!I$7,0),1)*Inputs!I$88</f>
        <v>0.5</v>
      </c>
      <c r="E55" s="16">
        <f>MIN(MAX($A55-Inputs!$I$86-Inputs!I$7,0),1)*Inputs!I$89</f>
        <v>0.5</v>
      </c>
      <c r="F55" s="16">
        <f>MIN(MAX($A55-Inputs!$I$86-Inputs!I$7,0),1)*Inputs!I$90</f>
        <v>0.1</v>
      </c>
      <c r="G55" s="16">
        <f>MIN(MAX($A55-Inputs!$I$86-Inputs!I$7,0),1)*Inputs!I$91</f>
        <v>0.05</v>
      </c>
      <c r="H55" s="16">
        <f>MIN(MAX($A55-Inputs!$I$86-Inputs!I$7,0),1)*Inputs!I$92</f>
        <v>0</v>
      </c>
      <c r="I55" s="16">
        <f>MIN(MAX($A55-Inputs!$I$86-Inputs!I$7,0),1)*Inputs!J$93</f>
        <v>0</v>
      </c>
      <c r="J55" s="16">
        <f>MIN(MAX($A55-Inputs!$I$86-Inputs!I$7,0),1)*Inputs!K$94</f>
        <v>0</v>
      </c>
      <c r="K55" s="125">
        <f t="shared" si="0"/>
        <v>0.12925</v>
      </c>
      <c r="L55" s="13">
        <f t="shared" si="1"/>
        <v>0.67500000000000004</v>
      </c>
      <c r="M55" s="13">
        <f t="shared" si="2"/>
        <v>0.24</v>
      </c>
      <c r="N55" s="13">
        <f t="shared" si="3"/>
        <v>1.7499999999999998E-2</v>
      </c>
      <c r="O55" s="13">
        <f t="shared" si="4"/>
        <v>0</v>
      </c>
      <c r="P55" s="13">
        <f t="shared" si="5"/>
        <v>0</v>
      </c>
    </row>
    <row r="56" spans="1:16" x14ac:dyDescent="0.25">
      <c r="A56">
        <f t="shared" si="9"/>
        <v>52</v>
      </c>
      <c r="B56">
        <f t="shared" si="9"/>
        <v>2069</v>
      </c>
      <c r="C56" s="16">
        <f>MIN(MAX($A56-Inputs!$I$86-Inputs!I$7,0),1)*Inputs!I$87</f>
        <v>1</v>
      </c>
      <c r="D56" s="16">
        <f>MIN(MAX($A56-Inputs!$I$86-Inputs!I$7,0),1)*Inputs!I$88</f>
        <v>0.5</v>
      </c>
      <c r="E56" s="16">
        <f>MIN(MAX($A56-Inputs!$I$86-Inputs!I$7,0),1)*Inputs!I$89</f>
        <v>0.5</v>
      </c>
      <c r="F56" s="16">
        <f>MIN(MAX($A56-Inputs!$I$86-Inputs!I$7,0),1)*Inputs!I$90</f>
        <v>0.1</v>
      </c>
      <c r="G56" s="16">
        <f>MIN(MAX($A56-Inputs!$I$86-Inputs!I$7,0),1)*Inputs!I$91</f>
        <v>0.05</v>
      </c>
      <c r="H56" s="16">
        <f>MIN(MAX($A56-Inputs!$I$86-Inputs!I$7,0),1)*Inputs!I$92</f>
        <v>0</v>
      </c>
      <c r="I56" s="16">
        <f>MIN(MAX($A56-Inputs!$I$86-Inputs!I$7,0),1)*Inputs!J$93</f>
        <v>0</v>
      </c>
      <c r="J56" s="16">
        <f>MIN(MAX($A56-Inputs!$I$86-Inputs!I$7,0),1)*Inputs!K$94</f>
        <v>0</v>
      </c>
      <c r="K56" s="125">
        <f t="shared" si="0"/>
        <v>0.12925</v>
      </c>
      <c r="L56" s="13">
        <f t="shared" si="1"/>
        <v>0.67500000000000004</v>
      </c>
      <c r="M56" s="13">
        <f t="shared" si="2"/>
        <v>0.24</v>
      </c>
      <c r="N56" s="13">
        <f t="shared" si="3"/>
        <v>1.7499999999999998E-2</v>
      </c>
      <c r="O56" s="13">
        <f t="shared" si="4"/>
        <v>0</v>
      </c>
      <c r="P56" s="13">
        <f t="shared" si="5"/>
        <v>0</v>
      </c>
    </row>
    <row r="57" spans="1:16" x14ac:dyDescent="0.25">
      <c r="A57">
        <f t="shared" si="9"/>
        <v>53</v>
      </c>
      <c r="B57">
        <f t="shared" si="9"/>
        <v>2070</v>
      </c>
      <c r="C57" s="16">
        <f>MIN(MAX($A57-Inputs!$I$86-Inputs!I$7,0),1)*Inputs!I$87</f>
        <v>1</v>
      </c>
      <c r="D57" s="16">
        <f>MIN(MAX($A57-Inputs!$I$86-Inputs!I$7,0),1)*Inputs!I$88</f>
        <v>0.5</v>
      </c>
      <c r="E57" s="16">
        <f>MIN(MAX($A57-Inputs!$I$86-Inputs!I$7,0),1)*Inputs!I$89</f>
        <v>0.5</v>
      </c>
      <c r="F57" s="16">
        <f>MIN(MAX($A57-Inputs!$I$86-Inputs!I$7,0),1)*Inputs!I$90</f>
        <v>0.1</v>
      </c>
      <c r="G57" s="16">
        <f>MIN(MAX($A57-Inputs!$I$86-Inputs!I$7,0),1)*Inputs!I$91</f>
        <v>0.05</v>
      </c>
      <c r="H57" s="16">
        <f>MIN(MAX($A57-Inputs!$I$86-Inputs!I$7,0),1)*Inputs!I$92</f>
        <v>0</v>
      </c>
      <c r="I57" s="16">
        <f>MIN(MAX($A57-Inputs!$I$86-Inputs!I$7,0),1)*Inputs!J$93</f>
        <v>0</v>
      </c>
      <c r="J57" s="16">
        <f>MIN(MAX($A57-Inputs!$I$86-Inputs!I$7,0),1)*Inputs!K$94</f>
        <v>0</v>
      </c>
      <c r="K57" s="125">
        <f t="shared" si="0"/>
        <v>0.12925</v>
      </c>
      <c r="L57" s="13">
        <f t="shared" si="1"/>
        <v>0.67500000000000004</v>
      </c>
      <c r="M57" s="13">
        <f t="shared" si="2"/>
        <v>0.24</v>
      </c>
      <c r="N57" s="13">
        <f t="shared" si="3"/>
        <v>1.7499999999999998E-2</v>
      </c>
      <c r="O57" s="13">
        <f t="shared" si="4"/>
        <v>0</v>
      </c>
      <c r="P57" s="13">
        <f t="shared" si="5"/>
        <v>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57"/>
  <sheetViews>
    <sheetView workbookViewId="0">
      <selection activeCell="L36" sqref="L36"/>
    </sheetView>
  </sheetViews>
  <sheetFormatPr defaultRowHeight="15" x14ac:dyDescent="0.25"/>
  <cols>
    <col min="3" max="3" width="11.42578125" customWidth="1"/>
    <col min="5" max="5" width="9.7109375" customWidth="1"/>
    <col min="6" max="6" width="12.140625" customWidth="1"/>
  </cols>
  <sheetData>
    <row r="1" spans="1:8" ht="15.75" x14ac:dyDescent="0.25">
      <c r="A1" s="26" t="s">
        <v>156</v>
      </c>
    </row>
    <row r="2" spans="1:8" ht="15.75" x14ac:dyDescent="0.25">
      <c r="A2" s="26"/>
    </row>
    <row r="3" spans="1:8" x14ac:dyDescent="0.25">
      <c r="B3" s="35" t="s">
        <v>106</v>
      </c>
      <c r="C3" s="27">
        <f>City!B10</f>
        <v>0.1</v>
      </c>
      <c r="D3" s="27">
        <f>City!B11</f>
        <v>0.25</v>
      </c>
      <c r="E3" s="27">
        <f>City!B12</f>
        <v>0.1</v>
      </c>
      <c r="F3" s="27">
        <f>City!B13</f>
        <v>0.4</v>
      </c>
      <c r="G3" s="27">
        <f>City!B14</f>
        <v>0.15</v>
      </c>
    </row>
    <row r="4" spans="1:8" ht="30" x14ac:dyDescent="0.25">
      <c r="B4" s="21" t="s">
        <v>97</v>
      </c>
      <c r="C4" s="104" t="str">
        <f>City!$A$10</f>
        <v>Downtown</v>
      </c>
      <c r="D4" s="104" t="str">
        <f>City!$A$11</f>
        <v>Urban</v>
      </c>
      <c r="E4" s="103" t="str">
        <f>City!$A$12</f>
        <v>Suburban Business</v>
      </c>
      <c r="F4" s="103" t="str">
        <f>City!$A$13</f>
        <v>Suburban Residential</v>
      </c>
      <c r="G4" s="79" t="str">
        <f>City!$A$14</f>
        <v>Rural</v>
      </c>
      <c r="H4" s="32" t="s">
        <v>136</v>
      </c>
    </row>
    <row r="5" spans="1:8" x14ac:dyDescent="0.25">
      <c r="A5">
        <v>1</v>
      </c>
      <c r="B5">
        <f>City!B3</f>
        <v>2018</v>
      </c>
      <c r="C5" s="16">
        <f>MIN(MAX($A5-Inputs!$I$107-Inputs!$I$7,0),1)*Inputs!$I$108</f>
        <v>0</v>
      </c>
      <c r="D5" s="16">
        <f>MIN(MAX($A5-Inputs!$I$107-Inputs!$I$7,0),1)*Inputs!$I$109</f>
        <v>0</v>
      </c>
      <c r="E5" s="16">
        <f>MIN(MAX($A5-Inputs!$I$107-Inputs!$I$7,0),1)*Inputs!$I$110</f>
        <v>0</v>
      </c>
      <c r="F5" s="16">
        <f>MIN(MAX($A5-Inputs!$I$107-Inputs!$I$7,0),1)*Inputs!$I$111</f>
        <v>0</v>
      </c>
      <c r="G5" s="16">
        <f>MIN(MAX($A5-Inputs!$I$107-Inputs!$I$7,0),1)*Inputs!$I$112</f>
        <v>0</v>
      </c>
      <c r="H5" s="14">
        <f>SUMPRODUCT(C5:G5,C$3:G$3)</f>
        <v>0</v>
      </c>
    </row>
    <row r="6" spans="1:8" x14ac:dyDescent="0.25">
      <c r="A6">
        <f>A5+1</f>
        <v>2</v>
      </c>
      <c r="B6">
        <f>B5+1</f>
        <v>2019</v>
      </c>
      <c r="C6" s="16">
        <f>MIN(MAX($A6-Inputs!$I$107-Inputs!$I$7,0),1)*Inputs!$I$108</f>
        <v>0</v>
      </c>
      <c r="D6" s="16">
        <f>MIN(MAX($A6-Inputs!$I$107-Inputs!$I$7,0),1)*Inputs!$I$109</f>
        <v>0</v>
      </c>
      <c r="E6" s="16">
        <f>MIN(MAX($A6-Inputs!$I$107-Inputs!$I$7,0),1)*Inputs!$I$110</f>
        <v>0</v>
      </c>
      <c r="F6" s="16">
        <f>MIN(MAX($A6-Inputs!$I$107-Inputs!$I$7,0),1)*Inputs!$I$111</f>
        <v>0</v>
      </c>
      <c r="G6" s="16">
        <f>MIN(MAX($A6-Inputs!$I$107-Inputs!$I$7,0),1)*Inputs!$I$112</f>
        <v>0</v>
      </c>
      <c r="H6" s="14">
        <f t="shared" ref="H6:H57" si="0">SUMPRODUCT(C6:G6,C$3:G$3)</f>
        <v>0</v>
      </c>
    </row>
    <row r="7" spans="1:8" x14ac:dyDescent="0.25">
      <c r="A7">
        <f t="shared" ref="A7:B22" si="1">A6+1</f>
        <v>3</v>
      </c>
      <c r="B7">
        <f t="shared" si="1"/>
        <v>2020</v>
      </c>
      <c r="C7" s="16">
        <f>MIN(MAX($A7-Inputs!$I$107-Inputs!$I$7,0),1)*Inputs!$I$108</f>
        <v>0</v>
      </c>
      <c r="D7" s="16">
        <f>MIN(MAX($A7-Inputs!$I$107-Inputs!$I$7,0),1)*Inputs!$I$109</f>
        <v>0</v>
      </c>
      <c r="E7" s="16">
        <f>MIN(MAX($A7-Inputs!$I$107-Inputs!$I$7,0),1)*Inputs!$I$110</f>
        <v>0</v>
      </c>
      <c r="F7" s="16">
        <f>MIN(MAX($A7-Inputs!$I$107-Inputs!$I$7,0),1)*Inputs!$I$111</f>
        <v>0</v>
      </c>
      <c r="G7" s="16">
        <f>MIN(MAX($A7-Inputs!$I$107-Inputs!$I$7,0),1)*Inputs!$I$112</f>
        <v>0</v>
      </c>
      <c r="H7" s="14">
        <f t="shared" si="0"/>
        <v>0</v>
      </c>
    </row>
    <row r="8" spans="1:8" x14ac:dyDescent="0.25">
      <c r="A8">
        <f t="shared" si="1"/>
        <v>4</v>
      </c>
      <c r="B8">
        <f t="shared" si="1"/>
        <v>2021</v>
      </c>
      <c r="C8" s="16">
        <f>MIN(MAX($A8-Inputs!$I$107-Inputs!$I$7,0),1)*Inputs!$I$108</f>
        <v>0</v>
      </c>
      <c r="D8" s="16">
        <f>MIN(MAX($A8-Inputs!$I$107-Inputs!$I$7,0),1)*Inputs!$I$109</f>
        <v>0</v>
      </c>
      <c r="E8" s="16">
        <f>MIN(MAX($A8-Inputs!$I$107-Inputs!$I$7,0),1)*Inputs!$I$110</f>
        <v>0</v>
      </c>
      <c r="F8" s="16">
        <f>MIN(MAX($A8-Inputs!$I$107-Inputs!$I$7,0),1)*Inputs!$I$111</f>
        <v>0</v>
      </c>
      <c r="G8" s="16">
        <f>MIN(MAX($A8-Inputs!$I$107-Inputs!$I$7,0),1)*Inputs!$I$112</f>
        <v>0</v>
      </c>
      <c r="H8" s="14">
        <f t="shared" si="0"/>
        <v>0</v>
      </c>
    </row>
    <row r="9" spans="1:8" x14ac:dyDescent="0.25">
      <c r="A9">
        <f t="shared" si="1"/>
        <v>5</v>
      </c>
      <c r="B9">
        <f t="shared" si="1"/>
        <v>2022</v>
      </c>
      <c r="C9" s="16">
        <f>MIN(MAX($A9-Inputs!$I$107-Inputs!$I$7,0),1)*Inputs!$I$108</f>
        <v>0</v>
      </c>
      <c r="D9" s="16">
        <f>MIN(MAX($A9-Inputs!$I$107-Inputs!$I$7,0),1)*Inputs!$I$109</f>
        <v>0</v>
      </c>
      <c r="E9" s="16">
        <f>MIN(MAX($A9-Inputs!$I$107-Inputs!$I$7,0),1)*Inputs!$I$110</f>
        <v>0</v>
      </c>
      <c r="F9" s="16">
        <f>MIN(MAX($A9-Inputs!$I$107-Inputs!$I$7,0),1)*Inputs!$I$111</f>
        <v>0</v>
      </c>
      <c r="G9" s="16">
        <f>MIN(MAX($A9-Inputs!$I$107-Inputs!$I$7,0),1)*Inputs!$I$112</f>
        <v>0</v>
      </c>
      <c r="H9" s="14">
        <f t="shared" si="0"/>
        <v>0</v>
      </c>
    </row>
    <row r="10" spans="1:8" x14ac:dyDescent="0.25">
      <c r="A10">
        <f t="shared" si="1"/>
        <v>6</v>
      </c>
      <c r="B10">
        <f t="shared" si="1"/>
        <v>2023</v>
      </c>
      <c r="C10" s="16">
        <f>MIN(MAX($A10-Inputs!$I$107-Inputs!$I$7,0),1)*Inputs!$I$108</f>
        <v>0</v>
      </c>
      <c r="D10" s="16">
        <f>MIN(MAX($A10-Inputs!$I$107-Inputs!$I$7,0),1)*Inputs!$I$109</f>
        <v>0</v>
      </c>
      <c r="E10" s="16">
        <f>MIN(MAX($A10-Inputs!$I$107-Inputs!$I$7,0),1)*Inputs!$I$110</f>
        <v>0</v>
      </c>
      <c r="F10" s="16">
        <f>MIN(MAX($A10-Inputs!$I$107-Inputs!$I$7,0),1)*Inputs!$I$111</f>
        <v>0</v>
      </c>
      <c r="G10" s="16">
        <f>MIN(MAX($A10-Inputs!$I$107-Inputs!$I$7,0),1)*Inputs!$I$112</f>
        <v>0</v>
      </c>
      <c r="H10" s="14">
        <f t="shared" si="0"/>
        <v>0</v>
      </c>
    </row>
    <row r="11" spans="1:8" x14ac:dyDescent="0.25">
      <c r="A11">
        <f t="shared" si="1"/>
        <v>7</v>
      </c>
      <c r="B11">
        <f t="shared" si="1"/>
        <v>2024</v>
      </c>
      <c r="C11" s="16">
        <f>MIN(MAX($A11-Inputs!$I$107-Inputs!$I$7,0),1)*Inputs!$I$108</f>
        <v>0</v>
      </c>
      <c r="D11" s="16">
        <f>MIN(MAX($A11-Inputs!$I$107-Inputs!$I$7,0),1)*Inputs!$I$109</f>
        <v>0</v>
      </c>
      <c r="E11" s="16">
        <f>MIN(MAX($A11-Inputs!$I$107-Inputs!$I$7,0),1)*Inputs!$I$110</f>
        <v>0</v>
      </c>
      <c r="F11" s="16">
        <f>MIN(MAX($A11-Inputs!$I$107-Inputs!$I$7,0),1)*Inputs!$I$111</f>
        <v>0</v>
      </c>
      <c r="G11" s="16">
        <f>MIN(MAX($A11-Inputs!$I$107-Inputs!$I$7,0),1)*Inputs!$I$112</f>
        <v>0</v>
      </c>
      <c r="H11" s="14">
        <f t="shared" si="0"/>
        <v>0</v>
      </c>
    </row>
    <row r="12" spans="1:8" x14ac:dyDescent="0.25">
      <c r="A12">
        <f t="shared" si="1"/>
        <v>8</v>
      </c>
      <c r="B12">
        <f t="shared" si="1"/>
        <v>2025</v>
      </c>
      <c r="C12" s="16">
        <f>MIN(MAX($A12-Inputs!$I$107-Inputs!$I$7,0),1)*Inputs!$I$108</f>
        <v>0</v>
      </c>
      <c r="D12" s="16">
        <f>MIN(MAX($A12-Inputs!$I$107-Inputs!$I$7,0),1)*Inputs!$I$109</f>
        <v>0</v>
      </c>
      <c r="E12" s="16">
        <f>MIN(MAX($A12-Inputs!$I$107-Inputs!$I$7,0),1)*Inputs!$I$110</f>
        <v>0</v>
      </c>
      <c r="F12" s="16">
        <f>MIN(MAX($A12-Inputs!$I$107-Inputs!$I$7,0),1)*Inputs!$I$111</f>
        <v>0</v>
      </c>
      <c r="G12" s="16">
        <f>MIN(MAX($A12-Inputs!$I$107-Inputs!$I$7,0),1)*Inputs!$I$112</f>
        <v>0</v>
      </c>
      <c r="H12" s="14">
        <f t="shared" si="0"/>
        <v>0</v>
      </c>
    </row>
    <row r="13" spans="1:8" x14ac:dyDescent="0.25">
      <c r="A13">
        <f t="shared" si="1"/>
        <v>9</v>
      </c>
      <c r="B13">
        <f t="shared" si="1"/>
        <v>2026</v>
      </c>
      <c r="C13" s="16">
        <f>MIN(MAX($A13-Inputs!$I$107-Inputs!$I$7,0),1)*Inputs!$I$108</f>
        <v>0</v>
      </c>
      <c r="D13" s="16">
        <f>MIN(MAX($A13-Inputs!$I$107-Inputs!$I$7,0),1)*Inputs!$I$109</f>
        <v>0</v>
      </c>
      <c r="E13" s="16">
        <f>MIN(MAX($A13-Inputs!$I$107-Inputs!$I$7,0),1)*Inputs!$I$110</f>
        <v>0</v>
      </c>
      <c r="F13" s="16">
        <f>MIN(MAX($A13-Inputs!$I$107-Inputs!$I$7,0),1)*Inputs!$I$111</f>
        <v>0</v>
      </c>
      <c r="G13" s="16">
        <f>MIN(MAX($A13-Inputs!$I$107-Inputs!$I$7,0),1)*Inputs!$I$112</f>
        <v>0</v>
      </c>
      <c r="H13" s="14">
        <f t="shared" si="0"/>
        <v>0</v>
      </c>
    </row>
    <row r="14" spans="1:8" x14ac:dyDescent="0.25">
      <c r="A14">
        <f t="shared" si="1"/>
        <v>10</v>
      </c>
      <c r="B14">
        <f t="shared" si="1"/>
        <v>2027</v>
      </c>
      <c r="C14" s="16">
        <f>MIN(MAX($A14-Inputs!$I$107-Inputs!$I$7,0),1)*Inputs!$I$108</f>
        <v>0</v>
      </c>
      <c r="D14" s="16">
        <f>MIN(MAX($A14-Inputs!$I$107-Inputs!$I$7,0),1)*Inputs!$I$109</f>
        <v>0</v>
      </c>
      <c r="E14" s="16">
        <f>MIN(MAX($A14-Inputs!$I$107-Inputs!$I$7,0),1)*Inputs!$I$110</f>
        <v>0</v>
      </c>
      <c r="F14" s="16">
        <f>MIN(MAX($A14-Inputs!$I$107-Inputs!$I$7,0),1)*Inputs!$I$111</f>
        <v>0</v>
      </c>
      <c r="G14" s="16">
        <f>MIN(MAX($A14-Inputs!$I$107-Inputs!$I$7,0),1)*Inputs!$I$112</f>
        <v>0</v>
      </c>
      <c r="H14" s="14">
        <f t="shared" si="0"/>
        <v>0</v>
      </c>
    </row>
    <row r="15" spans="1:8" x14ac:dyDescent="0.25">
      <c r="A15">
        <f t="shared" si="1"/>
        <v>11</v>
      </c>
      <c r="B15">
        <f t="shared" si="1"/>
        <v>2028</v>
      </c>
      <c r="C15" s="16">
        <f>MIN(MAX($A15-Inputs!$I$107-Inputs!$I$7,0),1)*Inputs!$I$108</f>
        <v>0</v>
      </c>
      <c r="D15" s="16">
        <f>MIN(MAX($A15-Inputs!$I$107-Inputs!$I$7,0),1)*Inputs!$I$109</f>
        <v>0</v>
      </c>
      <c r="E15" s="16">
        <f>MIN(MAX($A15-Inputs!$I$107-Inputs!$I$7,0),1)*Inputs!$I$110</f>
        <v>0</v>
      </c>
      <c r="F15" s="16">
        <f>MIN(MAX($A15-Inputs!$I$107-Inputs!$I$7,0),1)*Inputs!$I$111</f>
        <v>0</v>
      </c>
      <c r="G15" s="16">
        <f>MIN(MAX($A15-Inputs!$I$107-Inputs!$I$7,0),1)*Inputs!$I$112</f>
        <v>0</v>
      </c>
      <c r="H15" s="14">
        <f t="shared" si="0"/>
        <v>0</v>
      </c>
    </row>
    <row r="16" spans="1:8" x14ac:dyDescent="0.25">
      <c r="A16">
        <f t="shared" si="1"/>
        <v>12</v>
      </c>
      <c r="B16">
        <f t="shared" si="1"/>
        <v>2029</v>
      </c>
      <c r="C16" s="16">
        <f>MIN(MAX($A16-Inputs!$I$107-Inputs!$I$7,0),1)*Inputs!$I$108</f>
        <v>0</v>
      </c>
      <c r="D16" s="16">
        <f>MIN(MAX($A16-Inputs!$I$107-Inputs!$I$7,0),1)*Inputs!$I$109</f>
        <v>0</v>
      </c>
      <c r="E16" s="16">
        <f>MIN(MAX($A16-Inputs!$I$107-Inputs!$I$7,0),1)*Inputs!$I$110</f>
        <v>0</v>
      </c>
      <c r="F16" s="16">
        <f>MIN(MAX($A16-Inputs!$I$107-Inputs!$I$7,0),1)*Inputs!$I$111</f>
        <v>0</v>
      </c>
      <c r="G16" s="16">
        <f>MIN(MAX($A16-Inputs!$I$107-Inputs!$I$7,0),1)*Inputs!$I$112</f>
        <v>0</v>
      </c>
      <c r="H16" s="14">
        <f t="shared" si="0"/>
        <v>0</v>
      </c>
    </row>
    <row r="17" spans="1:12" x14ac:dyDescent="0.25">
      <c r="A17">
        <f t="shared" si="1"/>
        <v>13</v>
      </c>
      <c r="B17">
        <f t="shared" si="1"/>
        <v>2030</v>
      </c>
      <c r="C17" s="16">
        <f>MIN(MAX($A17-Inputs!$I$107-Inputs!$I$7,0),1)*Inputs!$I$108</f>
        <v>0</v>
      </c>
      <c r="D17" s="16">
        <f>MIN(MAX($A17-Inputs!$I$107-Inputs!$I$7,0),1)*Inputs!$I$109</f>
        <v>0</v>
      </c>
      <c r="E17" s="16">
        <f>MIN(MAX($A17-Inputs!$I$107-Inputs!$I$7,0),1)*Inputs!$I$110</f>
        <v>0</v>
      </c>
      <c r="F17" s="16">
        <f>MIN(MAX($A17-Inputs!$I$107-Inputs!$I$7,0),1)*Inputs!$I$111</f>
        <v>0</v>
      </c>
      <c r="G17" s="16">
        <f>MIN(MAX($A17-Inputs!$I$107-Inputs!$I$7,0),1)*Inputs!$I$112</f>
        <v>0</v>
      </c>
      <c r="H17" s="14">
        <f t="shared" si="0"/>
        <v>0</v>
      </c>
    </row>
    <row r="18" spans="1:12" x14ac:dyDescent="0.25">
      <c r="A18">
        <f t="shared" si="1"/>
        <v>14</v>
      </c>
      <c r="B18">
        <f t="shared" si="1"/>
        <v>2031</v>
      </c>
      <c r="C18" s="16">
        <f>MIN(MAX($A18-Inputs!$I$107-Inputs!$I$7,0),1)*Inputs!$I$108</f>
        <v>0</v>
      </c>
      <c r="D18" s="16">
        <f>MIN(MAX($A18-Inputs!$I$107-Inputs!$I$7,0),1)*Inputs!$I$109</f>
        <v>0</v>
      </c>
      <c r="E18" s="16">
        <f>MIN(MAX($A18-Inputs!$I$107-Inputs!$I$7,0),1)*Inputs!$I$110</f>
        <v>0</v>
      </c>
      <c r="F18" s="16">
        <f>MIN(MAX($A18-Inputs!$I$107-Inputs!$I$7,0),1)*Inputs!$I$111</f>
        <v>0</v>
      </c>
      <c r="G18" s="16">
        <f>MIN(MAX($A18-Inputs!$I$107-Inputs!$I$7,0),1)*Inputs!$I$112</f>
        <v>0</v>
      </c>
      <c r="H18" s="14">
        <f t="shared" si="0"/>
        <v>0</v>
      </c>
    </row>
    <row r="19" spans="1:12" x14ac:dyDescent="0.25">
      <c r="A19">
        <f t="shared" si="1"/>
        <v>15</v>
      </c>
      <c r="B19">
        <f t="shared" si="1"/>
        <v>2032</v>
      </c>
      <c r="C19" s="16">
        <f>MIN(MAX($A19-Inputs!$I$107-Inputs!$I$7,0),1)*Inputs!$I$108</f>
        <v>0</v>
      </c>
      <c r="D19" s="16">
        <f>MIN(MAX($A19-Inputs!$I$107-Inputs!$I$7,0),1)*Inputs!$I$109</f>
        <v>0</v>
      </c>
      <c r="E19" s="16">
        <f>MIN(MAX($A19-Inputs!$I$107-Inputs!$I$7,0),1)*Inputs!$I$110</f>
        <v>0</v>
      </c>
      <c r="F19" s="16">
        <f>MIN(MAX($A19-Inputs!$I$107-Inputs!$I$7,0),1)*Inputs!$I$111</f>
        <v>0</v>
      </c>
      <c r="G19" s="16">
        <f>MIN(MAX($A19-Inputs!$I$107-Inputs!$I$7,0),1)*Inputs!$I$112</f>
        <v>0</v>
      </c>
      <c r="H19" s="14">
        <f t="shared" si="0"/>
        <v>0</v>
      </c>
    </row>
    <row r="20" spans="1:12" x14ac:dyDescent="0.25">
      <c r="A20">
        <f t="shared" si="1"/>
        <v>16</v>
      </c>
      <c r="B20">
        <f t="shared" si="1"/>
        <v>2033</v>
      </c>
      <c r="C20" s="16">
        <f>MIN(MAX($A20-Inputs!$I$107-Inputs!$I$7,0),1)*Inputs!$I$108</f>
        <v>0.5</v>
      </c>
      <c r="D20" s="16">
        <f>MIN(MAX($A20-Inputs!$I$107-Inputs!$I$7,0),1)*Inputs!$I$109</f>
        <v>0.5</v>
      </c>
      <c r="E20" s="16">
        <f>MIN(MAX($A20-Inputs!$I$107-Inputs!$I$7,0),1)*Inputs!$I$110</f>
        <v>0.25</v>
      </c>
      <c r="F20" s="16">
        <f>MIN(MAX($A20-Inputs!$I$107-Inputs!$I$7,0),1)*Inputs!$I$111</f>
        <v>0</v>
      </c>
      <c r="G20" s="16">
        <f>MIN(MAX($A20-Inputs!$I$107-Inputs!$I$7,0),1)*Inputs!$I$112</f>
        <v>0</v>
      </c>
      <c r="H20" s="14">
        <f t="shared" si="0"/>
        <v>0.19999999999999998</v>
      </c>
    </row>
    <row r="21" spans="1:12" x14ac:dyDescent="0.25">
      <c r="A21">
        <f t="shared" si="1"/>
        <v>17</v>
      </c>
      <c r="B21">
        <f t="shared" si="1"/>
        <v>2034</v>
      </c>
      <c r="C21" s="16">
        <f>MIN(MAX($A21-Inputs!$I$107-Inputs!$I$7,0),1)*Inputs!$I$108</f>
        <v>0.5</v>
      </c>
      <c r="D21" s="16">
        <f>MIN(MAX($A21-Inputs!$I$107-Inputs!$I$7,0),1)*Inputs!$I$109</f>
        <v>0.5</v>
      </c>
      <c r="E21" s="16">
        <f>MIN(MAX($A21-Inputs!$I$107-Inputs!$I$7,0),1)*Inputs!$I$110</f>
        <v>0.25</v>
      </c>
      <c r="F21" s="16">
        <f>MIN(MAX($A21-Inputs!$I$107-Inputs!$I$7,0),1)*Inputs!$I$111</f>
        <v>0</v>
      </c>
      <c r="G21" s="16">
        <f>MIN(MAX($A21-Inputs!$I$107-Inputs!$I$7,0),1)*Inputs!$I$112</f>
        <v>0</v>
      </c>
      <c r="H21" s="14">
        <f t="shared" si="0"/>
        <v>0.19999999999999998</v>
      </c>
    </row>
    <row r="22" spans="1:12" x14ac:dyDescent="0.25">
      <c r="A22">
        <f t="shared" si="1"/>
        <v>18</v>
      </c>
      <c r="B22">
        <f t="shared" si="1"/>
        <v>2035</v>
      </c>
      <c r="C22" s="16">
        <f>MIN(MAX($A22-Inputs!$I$107-Inputs!$I$7,0),1)*Inputs!$I$108</f>
        <v>0.5</v>
      </c>
      <c r="D22" s="16">
        <f>MIN(MAX($A22-Inputs!$I$107-Inputs!$I$7,0),1)*Inputs!$I$109</f>
        <v>0.5</v>
      </c>
      <c r="E22" s="16">
        <f>MIN(MAX($A22-Inputs!$I$107-Inputs!$I$7,0),1)*Inputs!$I$110</f>
        <v>0.25</v>
      </c>
      <c r="F22" s="16">
        <f>MIN(MAX($A22-Inputs!$I$107-Inputs!$I$7,0),1)*Inputs!$I$111</f>
        <v>0</v>
      </c>
      <c r="G22" s="16">
        <f>MIN(MAX($A22-Inputs!$I$107-Inputs!$I$7,0),1)*Inputs!$I$112</f>
        <v>0</v>
      </c>
      <c r="H22" s="14">
        <f t="shared" si="0"/>
        <v>0.19999999999999998</v>
      </c>
    </row>
    <row r="23" spans="1:12" x14ac:dyDescent="0.25">
      <c r="A23">
        <f t="shared" ref="A23:B38" si="2">A22+1</f>
        <v>19</v>
      </c>
      <c r="B23">
        <f t="shared" si="2"/>
        <v>2036</v>
      </c>
      <c r="C23" s="16">
        <f>MIN(MAX($A23-Inputs!$I$107-Inputs!$I$7,0),1)*Inputs!$I$108</f>
        <v>0.5</v>
      </c>
      <c r="D23" s="16">
        <f>MIN(MAX($A23-Inputs!$I$107-Inputs!$I$7,0),1)*Inputs!$I$109</f>
        <v>0.5</v>
      </c>
      <c r="E23" s="16">
        <f>MIN(MAX($A23-Inputs!$I$107-Inputs!$I$7,0),1)*Inputs!$I$110</f>
        <v>0.25</v>
      </c>
      <c r="F23" s="16">
        <f>MIN(MAX($A23-Inputs!$I$107-Inputs!$I$7,0),1)*Inputs!$I$111</f>
        <v>0</v>
      </c>
      <c r="G23" s="16">
        <f>MIN(MAX($A23-Inputs!$I$107-Inputs!$I$7,0),1)*Inputs!$I$112</f>
        <v>0</v>
      </c>
      <c r="H23" s="14">
        <f t="shared" si="0"/>
        <v>0.19999999999999998</v>
      </c>
    </row>
    <row r="24" spans="1:12" x14ac:dyDescent="0.25">
      <c r="A24">
        <f t="shared" si="2"/>
        <v>20</v>
      </c>
      <c r="B24">
        <f t="shared" si="2"/>
        <v>2037</v>
      </c>
      <c r="C24" s="16">
        <f>MIN(MAX($A24-Inputs!$I$107-Inputs!$I$7,0),1)*Inputs!$I$108</f>
        <v>0.5</v>
      </c>
      <c r="D24" s="16">
        <f>MIN(MAX($A24-Inputs!$I$107-Inputs!$I$7,0),1)*Inputs!$I$109</f>
        <v>0.5</v>
      </c>
      <c r="E24" s="16">
        <f>MIN(MAX($A24-Inputs!$I$107-Inputs!$I$7,0),1)*Inputs!$I$110</f>
        <v>0.25</v>
      </c>
      <c r="F24" s="16">
        <f>MIN(MAX($A24-Inputs!$I$107-Inputs!$I$7,0),1)*Inputs!$I$111</f>
        <v>0</v>
      </c>
      <c r="G24" s="16">
        <f>MIN(MAX($A24-Inputs!$I$107-Inputs!$I$7,0),1)*Inputs!$I$112</f>
        <v>0</v>
      </c>
      <c r="H24" s="14">
        <f t="shared" si="0"/>
        <v>0.19999999999999998</v>
      </c>
    </row>
    <row r="25" spans="1:12" x14ac:dyDescent="0.25">
      <c r="A25">
        <f t="shared" si="2"/>
        <v>21</v>
      </c>
      <c r="B25">
        <f t="shared" si="2"/>
        <v>2038</v>
      </c>
      <c r="C25" s="16">
        <f>MIN(MAX($A25-Inputs!$I$107-Inputs!$I$7,0),1)*Inputs!$I$108</f>
        <v>0.5</v>
      </c>
      <c r="D25" s="16">
        <f>MIN(MAX($A25-Inputs!$I$107-Inputs!$I$7,0),1)*Inputs!$I$109</f>
        <v>0.5</v>
      </c>
      <c r="E25" s="16">
        <f>MIN(MAX($A25-Inputs!$I$107-Inputs!$I$7,0),1)*Inputs!$I$110</f>
        <v>0.25</v>
      </c>
      <c r="F25" s="16">
        <f>MIN(MAX($A25-Inputs!$I$107-Inputs!$I$7,0),1)*Inputs!$I$111</f>
        <v>0</v>
      </c>
      <c r="G25" s="16">
        <f>MIN(MAX($A25-Inputs!$I$107-Inputs!$I$7,0),1)*Inputs!$I$112</f>
        <v>0</v>
      </c>
      <c r="H25" s="14">
        <f t="shared" si="0"/>
        <v>0.19999999999999998</v>
      </c>
    </row>
    <row r="26" spans="1:12" x14ac:dyDescent="0.25">
      <c r="A26">
        <f t="shared" si="2"/>
        <v>22</v>
      </c>
      <c r="B26">
        <f t="shared" si="2"/>
        <v>2039</v>
      </c>
      <c r="C26" s="16">
        <f>MIN(MAX($A26-Inputs!$I$107-Inputs!$I$7,0),1)*Inputs!$I$108</f>
        <v>0.5</v>
      </c>
      <c r="D26" s="16">
        <f>MIN(MAX($A26-Inputs!$I$107-Inputs!$I$7,0),1)*Inputs!$I$109</f>
        <v>0.5</v>
      </c>
      <c r="E26" s="16">
        <f>MIN(MAX($A26-Inputs!$I$107-Inputs!$I$7,0),1)*Inputs!$I$110</f>
        <v>0.25</v>
      </c>
      <c r="F26" s="16">
        <f>MIN(MAX($A26-Inputs!$I$107-Inputs!$I$7,0),1)*Inputs!$I$111</f>
        <v>0</v>
      </c>
      <c r="G26" s="16">
        <f>MIN(MAX($A26-Inputs!$I$107-Inputs!$I$7,0),1)*Inputs!$I$112</f>
        <v>0</v>
      </c>
      <c r="H26" s="14">
        <f t="shared" si="0"/>
        <v>0.19999999999999998</v>
      </c>
    </row>
    <row r="27" spans="1:12" x14ac:dyDescent="0.25">
      <c r="A27">
        <f t="shared" si="2"/>
        <v>23</v>
      </c>
      <c r="B27">
        <f t="shared" si="2"/>
        <v>2040</v>
      </c>
      <c r="C27" s="16">
        <f>MIN(MAX($A27-Inputs!$I$107-Inputs!$I$7,0),1)*Inputs!$I$108</f>
        <v>0.5</v>
      </c>
      <c r="D27" s="16">
        <f>MIN(MAX($A27-Inputs!$I$107-Inputs!$I$7,0),1)*Inputs!$I$109</f>
        <v>0.5</v>
      </c>
      <c r="E27" s="16">
        <f>MIN(MAX($A27-Inputs!$I$107-Inputs!$I$7,0),1)*Inputs!$I$110</f>
        <v>0.25</v>
      </c>
      <c r="F27" s="16">
        <f>MIN(MAX($A27-Inputs!$I$107-Inputs!$I$7,0),1)*Inputs!$I$111</f>
        <v>0</v>
      </c>
      <c r="G27" s="16">
        <f>MIN(MAX($A27-Inputs!$I$107-Inputs!$I$7,0),1)*Inputs!$I$112</f>
        <v>0</v>
      </c>
      <c r="H27" s="14">
        <f t="shared" si="0"/>
        <v>0.19999999999999998</v>
      </c>
      <c r="L27" s="171" t="s">
        <v>369</v>
      </c>
    </row>
    <row r="28" spans="1:12" x14ac:dyDescent="0.25">
      <c r="A28">
        <f t="shared" si="2"/>
        <v>24</v>
      </c>
      <c r="B28">
        <f t="shared" si="2"/>
        <v>2041</v>
      </c>
      <c r="C28" s="16">
        <f>MIN(MAX($A28-Inputs!$I$107-Inputs!$I$7,0),1)*Inputs!$I$108</f>
        <v>0.5</v>
      </c>
      <c r="D28" s="16">
        <f>MIN(MAX($A28-Inputs!$I$107-Inputs!$I$7,0),1)*Inputs!$I$109</f>
        <v>0.5</v>
      </c>
      <c r="E28" s="16">
        <f>MIN(MAX($A28-Inputs!$I$107-Inputs!$I$7,0),1)*Inputs!$I$110</f>
        <v>0.25</v>
      </c>
      <c r="F28" s="16">
        <f>MIN(MAX($A28-Inputs!$I$107-Inputs!$I$7,0),1)*Inputs!$I$111</f>
        <v>0</v>
      </c>
      <c r="G28" s="16">
        <f>MIN(MAX($A28-Inputs!$I$107-Inputs!$I$7,0),1)*Inputs!$I$112</f>
        <v>0</v>
      </c>
      <c r="H28" s="14">
        <f t="shared" si="0"/>
        <v>0.19999999999999998</v>
      </c>
    </row>
    <row r="29" spans="1:12" x14ac:dyDescent="0.25">
      <c r="A29">
        <f t="shared" si="2"/>
        <v>25</v>
      </c>
      <c r="B29">
        <f t="shared" si="2"/>
        <v>2042</v>
      </c>
      <c r="C29" s="16">
        <f>MIN(MAX($A29-Inputs!$I$107-Inputs!$I$7,0),1)*Inputs!$I$108</f>
        <v>0.5</v>
      </c>
      <c r="D29" s="16">
        <f>MIN(MAX($A29-Inputs!$I$107-Inputs!$I$7,0),1)*Inputs!$I$109</f>
        <v>0.5</v>
      </c>
      <c r="E29" s="16">
        <f>MIN(MAX($A29-Inputs!$I$107-Inputs!$I$7,0),1)*Inputs!$I$110</f>
        <v>0.25</v>
      </c>
      <c r="F29" s="16">
        <f>MIN(MAX($A29-Inputs!$I$107-Inputs!$I$7,0),1)*Inputs!$I$111</f>
        <v>0</v>
      </c>
      <c r="G29" s="16">
        <f>MIN(MAX($A29-Inputs!$I$107-Inputs!$I$7,0),1)*Inputs!$I$112</f>
        <v>0</v>
      </c>
      <c r="H29" s="14">
        <f t="shared" si="0"/>
        <v>0.19999999999999998</v>
      </c>
    </row>
    <row r="30" spans="1:12" x14ac:dyDescent="0.25">
      <c r="A30">
        <f t="shared" si="2"/>
        <v>26</v>
      </c>
      <c r="B30">
        <f t="shared" si="2"/>
        <v>2043</v>
      </c>
      <c r="C30" s="16">
        <f>MIN(MAX($A30-Inputs!$I$107-Inputs!$I$7,0),1)*Inputs!$I$108</f>
        <v>0.5</v>
      </c>
      <c r="D30" s="16">
        <f>MIN(MAX($A30-Inputs!$I$107-Inputs!$I$7,0),1)*Inputs!$I$109</f>
        <v>0.5</v>
      </c>
      <c r="E30" s="16">
        <f>MIN(MAX($A30-Inputs!$I$107-Inputs!$I$7,0),1)*Inputs!$I$110</f>
        <v>0.25</v>
      </c>
      <c r="F30" s="16">
        <f>MIN(MAX($A30-Inputs!$I$107-Inputs!$I$7,0),1)*Inputs!$I$111</f>
        <v>0</v>
      </c>
      <c r="G30" s="16">
        <f>MIN(MAX($A30-Inputs!$I$107-Inputs!$I$7,0),1)*Inputs!$I$112</f>
        <v>0</v>
      </c>
      <c r="H30" s="14">
        <f t="shared" si="0"/>
        <v>0.19999999999999998</v>
      </c>
    </row>
    <row r="31" spans="1:12" x14ac:dyDescent="0.25">
      <c r="A31">
        <f t="shared" si="2"/>
        <v>27</v>
      </c>
      <c r="B31">
        <f t="shared" si="2"/>
        <v>2044</v>
      </c>
      <c r="C31" s="16">
        <f>MIN(MAX($A31-Inputs!$I$107-Inputs!$I$7,0),1)*Inputs!$I$108</f>
        <v>0.5</v>
      </c>
      <c r="D31" s="16">
        <f>MIN(MAX($A31-Inputs!$I$107-Inputs!$I$7,0),1)*Inputs!$I$109</f>
        <v>0.5</v>
      </c>
      <c r="E31" s="16">
        <f>MIN(MAX($A31-Inputs!$I$107-Inputs!$I$7,0),1)*Inputs!$I$110</f>
        <v>0.25</v>
      </c>
      <c r="F31" s="16">
        <f>MIN(MAX($A31-Inputs!$I$107-Inputs!$I$7,0),1)*Inputs!$I$111</f>
        <v>0</v>
      </c>
      <c r="G31" s="16">
        <f>MIN(MAX($A31-Inputs!$I$107-Inputs!$I$7,0),1)*Inputs!$I$112</f>
        <v>0</v>
      </c>
      <c r="H31" s="14">
        <f t="shared" si="0"/>
        <v>0.19999999999999998</v>
      </c>
    </row>
    <row r="32" spans="1:12" x14ac:dyDescent="0.25">
      <c r="A32">
        <f t="shared" si="2"/>
        <v>28</v>
      </c>
      <c r="B32">
        <f t="shared" si="2"/>
        <v>2045</v>
      </c>
      <c r="C32" s="16">
        <f>MIN(MAX($A32-Inputs!$I$107-Inputs!$I$7,0),1)*Inputs!$I$108</f>
        <v>0.5</v>
      </c>
      <c r="D32" s="16">
        <f>MIN(MAX($A32-Inputs!$I$107-Inputs!$I$7,0),1)*Inputs!$I$109</f>
        <v>0.5</v>
      </c>
      <c r="E32" s="16">
        <f>MIN(MAX($A32-Inputs!$I$107-Inputs!$I$7,0),1)*Inputs!$I$110</f>
        <v>0.25</v>
      </c>
      <c r="F32" s="16">
        <f>MIN(MAX($A32-Inputs!$I$107-Inputs!$I$7,0),1)*Inputs!$I$111</f>
        <v>0</v>
      </c>
      <c r="G32" s="16">
        <f>MIN(MAX($A32-Inputs!$I$107-Inputs!$I$7,0),1)*Inputs!$I$112</f>
        <v>0</v>
      </c>
      <c r="H32" s="14">
        <f t="shared" si="0"/>
        <v>0.19999999999999998</v>
      </c>
    </row>
    <row r="33" spans="1:8" x14ac:dyDescent="0.25">
      <c r="A33">
        <f t="shared" si="2"/>
        <v>29</v>
      </c>
      <c r="B33">
        <f t="shared" si="2"/>
        <v>2046</v>
      </c>
      <c r="C33" s="16">
        <f>MIN(MAX($A33-Inputs!$I$107-Inputs!$I$7,0),1)*Inputs!$I$108</f>
        <v>0.5</v>
      </c>
      <c r="D33" s="16">
        <f>MIN(MAX($A33-Inputs!$I$107-Inputs!$I$7,0),1)*Inputs!$I$109</f>
        <v>0.5</v>
      </c>
      <c r="E33" s="16">
        <f>MIN(MAX($A33-Inputs!$I$107-Inputs!$I$7,0),1)*Inputs!$I$110</f>
        <v>0.25</v>
      </c>
      <c r="F33" s="16">
        <f>MIN(MAX($A33-Inputs!$I$107-Inputs!$I$7,0),1)*Inputs!$I$111</f>
        <v>0</v>
      </c>
      <c r="G33" s="16">
        <f>MIN(MAX($A33-Inputs!$I$107-Inputs!$I$7,0),1)*Inputs!$I$112</f>
        <v>0</v>
      </c>
      <c r="H33" s="14">
        <f t="shared" si="0"/>
        <v>0.19999999999999998</v>
      </c>
    </row>
    <row r="34" spans="1:8" x14ac:dyDescent="0.25">
      <c r="A34">
        <f t="shared" si="2"/>
        <v>30</v>
      </c>
      <c r="B34">
        <f t="shared" si="2"/>
        <v>2047</v>
      </c>
      <c r="C34" s="16">
        <f>MIN(MAX($A34-Inputs!$I$107-Inputs!$I$7,0),1)*Inputs!$I$108</f>
        <v>0.5</v>
      </c>
      <c r="D34" s="16">
        <f>MIN(MAX($A34-Inputs!$I$107-Inputs!$I$7,0),1)*Inputs!$I$109</f>
        <v>0.5</v>
      </c>
      <c r="E34" s="16">
        <f>MIN(MAX($A34-Inputs!$I$107-Inputs!$I$7,0),1)*Inputs!$I$110</f>
        <v>0.25</v>
      </c>
      <c r="F34" s="16">
        <f>MIN(MAX($A34-Inputs!$I$107-Inputs!$I$7,0),1)*Inputs!$I$111</f>
        <v>0</v>
      </c>
      <c r="G34" s="16">
        <f>MIN(MAX($A34-Inputs!$I$107-Inputs!$I$7,0),1)*Inputs!$I$112</f>
        <v>0</v>
      </c>
      <c r="H34" s="14">
        <f t="shared" si="0"/>
        <v>0.19999999999999998</v>
      </c>
    </row>
    <row r="35" spans="1:8" x14ac:dyDescent="0.25">
      <c r="A35">
        <f t="shared" si="2"/>
        <v>31</v>
      </c>
      <c r="B35">
        <f t="shared" si="2"/>
        <v>2048</v>
      </c>
      <c r="C35" s="16">
        <f>MIN(MAX($A35-Inputs!$I$107-Inputs!$I$7,0),1)*Inputs!$I$108</f>
        <v>0.5</v>
      </c>
      <c r="D35" s="16">
        <f>MIN(MAX($A35-Inputs!$I$107-Inputs!$I$7,0),1)*Inputs!$I$109</f>
        <v>0.5</v>
      </c>
      <c r="E35" s="16">
        <f>MIN(MAX($A35-Inputs!$I$107-Inputs!$I$7,0),1)*Inputs!$I$110</f>
        <v>0.25</v>
      </c>
      <c r="F35" s="16">
        <f>MIN(MAX($A35-Inputs!$I$107-Inputs!$I$7,0),1)*Inputs!$I$111</f>
        <v>0</v>
      </c>
      <c r="G35" s="16">
        <f>MIN(MAX($A35-Inputs!$I$107-Inputs!$I$7,0),1)*Inputs!$I$112</f>
        <v>0</v>
      </c>
      <c r="H35" s="14">
        <f t="shared" si="0"/>
        <v>0.19999999999999998</v>
      </c>
    </row>
    <row r="36" spans="1:8" x14ac:dyDescent="0.25">
      <c r="A36">
        <f t="shared" si="2"/>
        <v>32</v>
      </c>
      <c r="B36">
        <f t="shared" si="2"/>
        <v>2049</v>
      </c>
      <c r="C36" s="16">
        <f>MIN(MAX($A36-Inputs!$I$107-Inputs!$I$7,0),1)*Inputs!$I$108</f>
        <v>0.5</v>
      </c>
      <c r="D36" s="16">
        <f>MIN(MAX($A36-Inputs!$I$107-Inputs!$I$7,0),1)*Inputs!$I$109</f>
        <v>0.5</v>
      </c>
      <c r="E36" s="16">
        <f>MIN(MAX($A36-Inputs!$I$107-Inputs!$I$7,0),1)*Inputs!$I$110</f>
        <v>0.25</v>
      </c>
      <c r="F36" s="16">
        <f>MIN(MAX($A36-Inputs!$I$107-Inputs!$I$7,0),1)*Inputs!$I$111</f>
        <v>0</v>
      </c>
      <c r="G36" s="16">
        <f>MIN(MAX($A36-Inputs!$I$107-Inputs!$I$7,0),1)*Inputs!$I$112</f>
        <v>0</v>
      </c>
      <c r="H36" s="14">
        <f t="shared" si="0"/>
        <v>0.19999999999999998</v>
      </c>
    </row>
    <row r="37" spans="1:8" x14ac:dyDescent="0.25">
      <c r="A37">
        <f t="shared" si="2"/>
        <v>33</v>
      </c>
      <c r="B37">
        <f t="shared" si="2"/>
        <v>2050</v>
      </c>
      <c r="C37" s="16">
        <f>MIN(MAX($A37-Inputs!$I$107-Inputs!$I$7,0),1)*Inputs!$I$108</f>
        <v>0.5</v>
      </c>
      <c r="D37" s="16">
        <f>MIN(MAX($A37-Inputs!$I$107-Inputs!$I$7,0),1)*Inputs!$I$109</f>
        <v>0.5</v>
      </c>
      <c r="E37" s="16">
        <f>MIN(MAX($A37-Inputs!$I$107-Inputs!$I$7,0),1)*Inputs!$I$110</f>
        <v>0.25</v>
      </c>
      <c r="F37" s="16">
        <f>MIN(MAX($A37-Inputs!$I$107-Inputs!$I$7,0),1)*Inputs!$I$111</f>
        <v>0</v>
      </c>
      <c r="G37" s="16">
        <f>MIN(MAX($A37-Inputs!$I$107-Inputs!$I$7,0),1)*Inputs!$I$112</f>
        <v>0</v>
      </c>
      <c r="H37" s="14">
        <f t="shared" si="0"/>
        <v>0.19999999999999998</v>
      </c>
    </row>
    <row r="38" spans="1:8" x14ac:dyDescent="0.25">
      <c r="A38">
        <f t="shared" si="2"/>
        <v>34</v>
      </c>
      <c r="B38">
        <f t="shared" si="2"/>
        <v>2051</v>
      </c>
      <c r="C38" s="16">
        <f>MIN(MAX($A38-Inputs!$I$107-Inputs!$I$7,0),1)*Inputs!$I$108</f>
        <v>0.5</v>
      </c>
      <c r="D38" s="16">
        <f>MIN(MAX($A38-Inputs!$I$107-Inputs!$I$7,0),1)*Inputs!$I$109</f>
        <v>0.5</v>
      </c>
      <c r="E38" s="16">
        <f>MIN(MAX($A38-Inputs!$I$107-Inputs!$I$7,0),1)*Inputs!$I$110</f>
        <v>0.25</v>
      </c>
      <c r="F38" s="16">
        <f>MIN(MAX($A38-Inputs!$I$107-Inputs!$I$7,0),1)*Inputs!$I$111</f>
        <v>0</v>
      </c>
      <c r="G38" s="16">
        <f>MIN(MAX($A38-Inputs!$I$107-Inputs!$I$7,0),1)*Inputs!$I$112</f>
        <v>0</v>
      </c>
      <c r="H38" s="14">
        <f t="shared" si="0"/>
        <v>0.19999999999999998</v>
      </c>
    </row>
    <row r="39" spans="1:8" x14ac:dyDescent="0.25">
      <c r="A39">
        <f t="shared" ref="A39:B54" si="3">A38+1</f>
        <v>35</v>
      </c>
      <c r="B39">
        <f t="shared" si="3"/>
        <v>2052</v>
      </c>
      <c r="C39" s="16">
        <f>MIN(MAX($A39-Inputs!$I$107-Inputs!$I$7,0),1)*Inputs!$I$108</f>
        <v>0.5</v>
      </c>
      <c r="D39" s="16">
        <f>MIN(MAX($A39-Inputs!$I$107-Inputs!$I$7,0),1)*Inputs!$I$109</f>
        <v>0.5</v>
      </c>
      <c r="E39" s="16">
        <f>MIN(MAX($A39-Inputs!$I$107-Inputs!$I$7,0),1)*Inputs!$I$110</f>
        <v>0.25</v>
      </c>
      <c r="F39" s="16">
        <f>MIN(MAX($A39-Inputs!$I$107-Inputs!$I$7,0),1)*Inputs!$I$111</f>
        <v>0</v>
      </c>
      <c r="G39" s="16">
        <f>MIN(MAX($A39-Inputs!$I$107-Inputs!$I$7,0),1)*Inputs!$I$112</f>
        <v>0</v>
      </c>
      <c r="H39" s="14">
        <f t="shared" si="0"/>
        <v>0.19999999999999998</v>
      </c>
    </row>
    <row r="40" spans="1:8" x14ac:dyDescent="0.25">
      <c r="A40">
        <f t="shared" si="3"/>
        <v>36</v>
      </c>
      <c r="B40">
        <f t="shared" si="3"/>
        <v>2053</v>
      </c>
      <c r="C40" s="16">
        <f>MIN(MAX($A40-Inputs!$I$107-Inputs!$I$7,0),1)*Inputs!$I$108</f>
        <v>0.5</v>
      </c>
      <c r="D40" s="16">
        <f>MIN(MAX($A40-Inputs!$I$107-Inputs!$I$7,0),1)*Inputs!$I$109</f>
        <v>0.5</v>
      </c>
      <c r="E40" s="16">
        <f>MIN(MAX($A40-Inputs!$I$107-Inputs!$I$7,0),1)*Inputs!$I$110</f>
        <v>0.25</v>
      </c>
      <c r="F40" s="16">
        <f>MIN(MAX($A40-Inputs!$I$107-Inputs!$I$7,0),1)*Inputs!$I$111</f>
        <v>0</v>
      </c>
      <c r="G40" s="16">
        <f>MIN(MAX($A40-Inputs!$I$107-Inputs!$I$7,0),1)*Inputs!$I$112</f>
        <v>0</v>
      </c>
      <c r="H40" s="14">
        <f t="shared" si="0"/>
        <v>0.19999999999999998</v>
      </c>
    </row>
    <row r="41" spans="1:8" x14ac:dyDescent="0.25">
      <c r="A41">
        <f t="shared" si="3"/>
        <v>37</v>
      </c>
      <c r="B41">
        <f t="shared" si="3"/>
        <v>2054</v>
      </c>
      <c r="C41" s="16">
        <f>MIN(MAX($A41-Inputs!$I$107-Inputs!$I$7,0),1)*Inputs!$I$108</f>
        <v>0.5</v>
      </c>
      <c r="D41" s="16">
        <f>MIN(MAX($A41-Inputs!$I$107-Inputs!$I$7,0),1)*Inputs!$I$109</f>
        <v>0.5</v>
      </c>
      <c r="E41" s="16">
        <f>MIN(MAX($A41-Inputs!$I$107-Inputs!$I$7,0),1)*Inputs!$I$110</f>
        <v>0.25</v>
      </c>
      <c r="F41" s="16">
        <f>MIN(MAX($A41-Inputs!$I$107-Inputs!$I$7,0),1)*Inputs!$I$111</f>
        <v>0</v>
      </c>
      <c r="G41" s="16">
        <f>MIN(MAX($A41-Inputs!$I$107-Inputs!$I$7,0),1)*Inputs!$I$112</f>
        <v>0</v>
      </c>
      <c r="H41" s="14">
        <f t="shared" si="0"/>
        <v>0.19999999999999998</v>
      </c>
    </row>
    <row r="42" spans="1:8" x14ac:dyDescent="0.25">
      <c r="A42">
        <f t="shared" si="3"/>
        <v>38</v>
      </c>
      <c r="B42">
        <f t="shared" si="3"/>
        <v>2055</v>
      </c>
      <c r="C42" s="16">
        <f>MIN(MAX($A42-Inputs!$I$107-Inputs!$I$7,0),1)*Inputs!$I$108</f>
        <v>0.5</v>
      </c>
      <c r="D42" s="16">
        <f>MIN(MAX($A42-Inputs!$I$107-Inputs!$I$7,0),1)*Inputs!$I$109</f>
        <v>0.5</v>
      </c>
      <c r="E42" s="16">
        <f>MIN(MAX($A42-Inputs!$I$107-Inputs!$I$7,0),1)*Inputs!$I$110</f>
        <v>0.25</v>
      </c>
      <c r="F42" s="16">
        <f>MIN(MAX($A42-Inputs!$I$107-Inputs!$I$7,0),1)*Inputs!$I$111</f>
        <v>0</v>
      </c>
      <c r="G42" s="16">
        <f>MIN(MAX($A42-Inputs!$I$107-Inputs!$I$7,0),1)*Inputs!$I$112</f>
        <v>0</v>
      </c>
      <c r="H42" s="14">
        <f t="shared" si="0"/>
        <v>0.19999999999999998</v>
      </c>
    </row>
    <row r="43" spans="1:8" x14ac:dyDescent="0.25">
      <c r="A43">
        <f t="shared" si="3"/>
        <v>39</v>
      </c>
      <c r="B43">
        <f t="shared" si="3"/>
        <v>2056</v>
      </c>
      <c r="C43" s="16">
        <f>MIN(MAX($A43-Inputs!$I$107-Inputs!$I$7,0),1)*Inputs!$I$108</f>
        <v>0.5</v>
      </c>
      <c r="D43" s="16">
        <f>MIN(MAX($A43-Inputs!$I$107-Inputs!$I$7,0),1)*Inputs!$I$109</f>
        <v>0.5</v>
      </c>
      <c r="E43" s="16">
        <f>MIN(MAX($A43-Inputs!$I$107-Inputs!$I$7,0),1)*Inputs!$I$110</f>
        <v>0.25</v>
      </c>
      <c r="F43" s="16">
        <f>MIN(MAX($A43-Inputs!$I$107-Inputs!$I$7,0),1)*Inputs!$I$111</f>
        <v>0</v>
      </c>
      <c r="G43" s="16">
        <f>MIN(MAX($A43-Inputs!$I$107-Inputs!$I$7,0),1)*Inputs!$I$112</f>
        <v>0</v>
      </c>
      <c r="H43" s="14">
        <f t="shared" si="0"/>
        <v>0.19999999999999998</v>
      </c>
    </row>
    <row r="44" spans="1:8" x14ac:dyDescent="0.25">
      <c r="A44">
        <f t="shared" si="3"/>
        <v>40</v>
      </c>
      <c r="B44">
        <f t="shared" si="3"/>
        <v>2057</v>
      </c>
      <c r="C44" s="16">
        <f>MIN(MAX($A44-Inputs!$I$107-Inputs!$I$7,0),1)*Inputs!$I$108</f>
        <v>0.5</v>
      </c>
      <c r="D44" s="16">
        <f>MIN(MAX($A44-Inputs!$I$107-Inputs!$I$7,0),1)*Inputs!$I$109</f>
        <v>0.5</v>
      </c>
      <c r="E44" s="16">
        <f>MIN(MAX($A44-Inputs!$I$107-Inputs!$I$7,0),1)*Inputs!$I$110</f>
        <v>0.25</v>
      </c>
      <c r="F44" s="16">
        <f>MIN(MAX($A44-Inputs!$I$107-Inputs!$I$7,0),1)*Inputs!$I$111</f>
        <v>0</v>
      </c>
      <c r="G44" s="16">
        <f>MIN(MAX($A44-Inputs!$I$107-Inputs!$I$7,0),1)*Inputs!$I$112</f>
        <v>0</v>
      </c>
      <c r="H44" s="14">
        <f t="shared" si="0"/>
        <v>0.19999999999999998</v>
      </c>
    </row>
    <row r="45" spans="1:8" x14ac:dyDescent="0.25">
      <c r="A45">
        <f t="shared" si="3"/>
        <v>41</v>
      </c>
      <c r="B45">
        <f t="shared" si="3"/>
        <v>2058</v>
      </c>
      <c r="C45" s="16">
        <f>MIN(MAX($A45-Inputs!$I$107-Inputs!$I$7,0),1)*Inputs!$I$108</f>
        <v>0.5</v>
      </c>
      <c r="D45" s="16">
        <f>MIN(MAX($A45-Inputs!$I$107-Inputs!$I$7,0),1)*Inputs!$I$109</f>
        <v>0.5</v>
      </c>
      <c r="E45" s="16">
        <f>MIN(MAX($A45-Inputs!$I$107-Inputs!$I$7,0),1)*Inputs!$I$110</f>
        <v>0.25</v>
      </c>
      <c r="F45" s="16">
        <f>MIN(MAX($A45-Inputs!$I$107-Inputs!$I$7,0),1)*Inputs!$I$111</f>
        <v>0</v>
      </c>
      <c r="G45" s="16">
        <f>MIN(MAX($A45-Inputs!$I$107-Inputs!$I$7,0),1)*Inputs!$I$112</f>
        <v>0</v>
      </c>
      <c r="H45" s="14">
        <f t="shared" si="0"/>
        <v>0.19999999999999998</v>
      </c>
    </row>
    <row r="46" spans="1:8" x14ac:dyDescent="0.25">
      <c r="A46">
        <f t="shared" si="3"/>
        <v>42</v>
      </c>
      <c r="B46">
        <f t="shared" si="3"/>
        <v>2059</v>
      </c>
      <c r="C46" s="16">
        <f>MIN(MAX($A46-Inputs!$I$107-Inputs!$I$7,0),1)*Inputs!$I$108</f>
        <v>0.5</v>
      </c>
      <c r="D46" s="16">
        <f>MIN(MAX($A46-Inputs!$I$107-Inputs!$I$7,0),1)*Inputs!$I$109</f>
        <v>0.5</v>
      </c>
      <c r="E46" s="16">
        <f>MIN(MAX($A46-Inputs!$I$107-Inputs!$I$7,0),1)*Inputs!$I$110</f>
        <v>0.25</v>
      </c>
      <c r="F46" s="16">
        <f>MIN(MAX($A46-Inputs!$I$107-Inputs!$I$7,0),1)*Inputs!$I$111</f>
        <v>0</v>
      </c>
      <c r="G46" s="16">
        <f>MIN(MAX($A46-Inputs!$I$107-Inputs!$I$7,0),1)*Inputs!$I$112</f>
        <v>0</v>
      </c>
      <c r="H46" s="14">
        <f t="shared" si="0"/>
        <v>0.19999999999999998</v>
      </c>
    </row>
    <row r="47" spans="1:8" x14ac:dyDescent="0.25">
      <c r="A47">
        <f t="shared" si="3"/>
        <v>43</v>
      </c>
      <c r="B47">
        <f t="shared" si="3"/>
        <v>2060</v>
      </c>
      <c r="C47" s="16">
        <f>MIN(MAX($A47-Inputs!$I$107-Inputs!$I$7,0),1)*Inputs!$I$108</f>
        <v>0.5</v>
      </c>
      <c r="D47" s="16">
        <f>MIN(MAX($A47-Inputs!$I$107-Inputs!$I$7,0),1)*Inputs!$I$109</f>
        <v>0.5</v>
      </c>
      <c r="E47" s="16">
        <f>MIN(MAX($A47-Inputs!$I$107-Inputs!$I$7,0),1)*Inputs!$I$110</f>
        <v>0.25</v>
      </c>
      <c r="F47" s="16">
        <f>MIN(MAX($A47-Inputs!$I$107-Inputs!$I$7,0),1)*Inputs!$I$111</f>
        <v>0</v>
      </c>
      <c r="G47" s="16">
        <f>MIN(MAX($A47-Inputs!$I$107-Inputs!$I$7,0),1)*Inputs!$I$112</f>
        <v>0</v>
      </c>
      <c r="H47" s="14">
        <f t="shared" si="0"/>
        <v>0.19999999999999998</v>
      </c>
    </row>
    <row r="48" spans="1:8" x14ac:dyDescent="0.25">
      <c r="A48">
        <f t="shared" si="3"/>
        <v>44</v>
      </c>
      <c r="B48">
        <f t="shared" si="3"/>
        <v>2061</v>
      </c>
      <c r="C48" s="16">
        <f>MIN(MAX($A48-Inputs!$I$107-Inputs!$I$7,0),1)*Inputs!$I$108</f>
        <v>0.5</v>
      </c>
      <c r="D48" s="16">
        <f>MIN(MAX($A48-Inputs!$I$107-Inputs!$I$7,0),1)*Inputs!$I$109</f>
        <v>0.5</v>
      </c>
      <c r="E48" s="16">
        <f>MIN(MAX($A48-Inputs!$I$107-Inputs!$I$7,0),1)*Inputs!$I$110</f>
        <v>0.25</v>
      </c>
      <c r="F48" s="16">
        <f>MIN(MAX($A48-Inputs!$I$107-Inputs!$I$7,0),1)*Inputs!$I$111</f>
        <v>0</v>
      </c>
      <c r="G48" s="16">
        <f>MIN(MAX($A48-Inputs!$I$107-Inputs!$I$7,0),1)*Inputs!$I$112</f>
        <v>0</v>
      </c>
      <c r="H48" s="14">
        <f t="shared" si="0"/>
        <v>0.19999999999999998</v>
      </c>
    </row>
    <row r="49" spans="1:8" x14ac:dyDescent="0.25">
      <c r="A49">
        <f t="shared" si="3"/>
        <v>45</v>
      </c>
      <c r="B49">
        <f t="shared" si="3"/>
        <v>2062</v>
      </c>
      <c r="C49" s="16">
        <f>MIN(MAX($A49-Inputs!$I$107-Inputs!$I$7,0),1)*Inputs!$I$108</f>
        <v>0.5</v>
      </c>
      <c r="D49" s="16">
        <f>MIN(MAX($A49-Inputs!$I$107-Inputs!$I$7,0),1)*Inputs!$I$109</f>
        <v>0.5</v>
      </c>
      <c r="E49" s="16">
        <f>MIN(MAX($A49-Inputs!$I$107-Inputs!$I$7,0),1)*Inputs!$I$110</f>
        <v>0.25</v>
      </c>
      <c r="F49" s="16">
        <f>MIN(MAX($A49-Inputs!$I$107-Inputs!$I$7,0),1)*Inputs!$I$111</f>
        <v>0</v>
      </c>
      <c r="G49" s="16">
        <f>MIN(MAX($A49-Inputs!$I$107-Inputs!$I$7,0),1)*Inputs!$I$112</f>
        <v>0</v>
      </c>
      <c r="H49" s="14">
        <f t="shared" si="0"/>
        <v>0.19999999999999998</v>
      </c>
    </row>
    <row r="50" spans="1:8" x14ac:dyDescent="0.25">
      <c r="A50">
        <f t="shared" si="3"/>
        <v>46</v>
      </c>
      <c r="B50">
        <f t="shared" si="3"/>
        <v>2063</v>
      </c>
      <c r="C50" s="16">
        <f>MIN(MAX($A50-Inputs!$I$107-Inputs!$I$7,0),1)*Inputs!$I$108</f>
        <v>0.5</v>
      </c>
      <c r="D50" s="16">
        <f>MIN(MAX($A50-Inputs!$I$107-Inputs!$I$7,0),1)*Inputs!$I$109</f>
        <v>0.5</v>
      </c>
      <c r="E50" s="16">
        <f>MIN(MAX($A50-Inputs!$I$107-Inputs!$I$7,0),1)*Inputs!$I$110</f>
        <v>0.25</v>
      </c>
      <c r="F50" s="16">
        <f>MIN(MAX($A50-Inputs!$I$107-Inputs!$I$7,0),1)*Inputs!$I$111</f>
        <v>0</v>
      </c>
      <c r="G50" s="16">
        <f>MIN(MAX($A50-Inputs!$I$107-Inputs!$I$7,0),1)*Inputs!$I$112</f>
        <v>0</v>
      </c>
      <c r="H50" s="14">
        <f t="shared" si="0"/>
        <v>0.19999999999999998</v>
      </c>
    </row>
    <row r="51" spans="1:8" x14ac:dyDescent="0.25">
      <c r="A51">
        <f t="shared" si="3"/>
        <v>47</v>
      </c>
      <c r="B51">
        <f t="shared" si="3"/>
        <v>2064</v>
      </c>
      <c r="C51" s="16">
        <f>MIN(MAX($A51-Inputs!$I$107-Inputs!$I$7,0),1)*Inputs!$I$108</f>
        <v>0.5</v>
      </c>
      <c r="D51" s="16">
        <f>MIN(MAX($A51-Inputs!$I$107-Inputs!$I$7,0),1)*Inputs!$I$109</f>
        <v>0.5</v>
      </c>
      <c r="E51" s="16">
        <f>MIN(MAX($A51-Inputs!$I$107-Inputs!$I$7,0),1)*Inputs!$I$110</f>
        <v>0.25</v>
      </c>
      <c r="F51" s="16">
        <f>MIN(MAX($A51-Inputs!$I$107-Inputs!$I$7,0),1)*Inputs!$I$111</f>
        <v>0</v>
      </c>
      <c r="G51" s="16">
        <f>MIN(MAX($A51-Inputs!$I$107-Inputs!$I$7,0),1)*Inputs!$I$112</f>
        <v>0</v>
      </c>
      <c r="H51" s="14">
        <f t="shared" si="0"/>
        <v>0.19999999999999998</v>
      </c>
    </row>
    <row r="52" spans="1:8" x14ac:dyDescent="0.25">
      <c r="A52">
        <f t="shared" si="3"/>
        <v>48</v>
      </c>
      <c r="B52">
        <f t="shared" si="3"/>
        <v>2065</v>
      </c>
      <c r="C52" s="16">
        <f>MIN(MAX($A52-Inputs!$I$107-Inputs!$I$7,0),1)*Inputs!$I$108</f>
        <v>0.5</v>
      </c>
      <c r="D52" s="16">
        <f>MIN(MAX($A52-Inputs!$I$107-Inputs!$I$7,0),1)*Inputs!$I$109</f>
        <v>0.5</v>
      </c>
      <c r="E52" s="16">
        <f>MIN(MAX($A52-Inputs!$I$107-Inputs!$I$7,0),1)*Inputs!$I$110</f>
        <v>0.25</v>
      </c>
      <c r="F52" s="16">
        <f>MIN(MAX($A52-Inputs!$I$107-Inputs!$I$7,0),1)*Inputs!$I$111</f>
        <v>0</v>
      </c>
      <c r="G52" s="16">
        <f>MIN(MAX($A52-Inputs!$I$107-Inputs!$I$7,0),1)*Inputs!$I$112</f>
        <v>0</v>
      </c>
      <c r="H52" s="14">
        <f t="shared" si="0"/>
        <v>0.19999999999999998</v>
      </c>
    </row>
    <row r="53" spans="1:8" x14ac:dyDescent="0.25">
      <c r="A53">
        <f t="shared" si="3"/>
        <v>49</v>
      </c>
      <c r="B53">
        <f t="shared" si="3"/>
        <v>2066</v>
      </c>
      <c r="C53" s="16">
        <f>MIN(MAX($A53-Inputs!$I$107-Inputs!$I$7,0),1)*Inputs!$I$108</f>
        <v>0.5</v>
      </c>
      <c r="D53" s="16">
        <f>MIN(MAX($A53-Inputs!$I$107-Inputs!$I$7,0),1)*Inputs!$I$109</f>
        <v>0.5</v>
      </c>
      <c r="E53" s="16">
        <f>MIN(MAX($A53-Inputs!$I$107-Inputs!$I$7,0),1)*Inputs!$I$110</f>
        <v>0.25</v>
      </c>
      <c r="F53" s="16">
        <f>MIN(MAX($A53-Inputs!$I$107-Inputs!$I$7,0),1)*Inputs!$I$111</f>
        <v>0</v>
      </c>
      <c r="G53" s="16">
        <f>MIN(MAX($A53-Inputs!$I$107-Inputs!$I$7,0),1)*Inputs!$I$112</f>
        <v>0</v>
      </c>
      <c r="H53" s="14">
        <f t="shared" si="0"/>
        <v>0.19999999999999998</v>
      </c>
    </row>
    <row r="54" spans="1:8" x14ac:dyDescent="0.25">
      <c r="A54">
        <f t="shared" si="3"/>
        <v>50</v>
      </c>
      <c r="B54">
        <f t="shared" si="3"/>
        <v>2067</v>
      </c>
      <c r="C54" s="16">
        <f>MIN(MAX($A54-Inputs!$I$107-Inputs!$I$7,0),1)*Inputs!$I$108</f>
        <v>0.5</v>
      </c>
      <c r="D54" s="16">
        <f>MIN(MAX($A54-Inputs!$I$107-Inputs!$I$7,0),1)*Inputs!$I$109</f>
        <v>0.5</v>
      </c>
      <c r="E54" s="16">
        <f>MIN(MAX($A54-Inputs!$I$107-Inputs!$I$7,0),1)*Inputs!$I$110</f>
        <v>0.25</v>
      </c>
      <c r="F54" s="16">
        <f>MIN(MAX($A54-Inputs!$I$107-Inputs!$I$7,0),1)*Inputs!$I$111</f>
        <v>0</v>
      </c>
      <c r="G54" s="16">
        <f>MIN(MAX($A54-Inputs!$I$107-Inputs!$I$7,0),1)*Inputs!$I$112</f>
        <v>0</v>
      </c>
      <c r="H54" s="14">
        <f t="shared" si="0"/>
        <v>0.19999999999999998</v>
      </c>
    </row>
    <row r="55" spans="1:8" x14ac:dyDescent="0.25">
      <c r="A55">
        <f t="shared" ref="A55:B57" si="4">A54+1</f>
        <v>51</v>
      </c>
      <c r="B55">
        <f t="shared" si="4"/>
        <v>2068</v>
      </c>
      <c r="C55" s="16">
        <f>MIN(MAX($A55-Inputs!$I$107-Inputs!$I$7,0),1)*Inputs!$I$108</f>
        <v>0.5</v>
      </c>
      <c r="D55" s="16">
        <f>MIN(MAX($A55-Inputs!$I$107-Inputs!$I$7,0),1)*Inputs!$I$109</f>
        <v>0.5</v>
      </c>
      <c r="E55" s="16">
        <f>MIN(MAX($A55-Inputs!$I$107-Inputs!$I$7,0),1)*Inputs!$I$110</f>
        <v>0.25</v>
      </c>
      <c r="F55" s="16">
        <f>MIN(MAX($A55-Inputs!$I$107-Inputs!$I$7,0),1)*Inputs!$I$111</f>
        <v>0</v>
      </c>
      <c r="G55" s="16">
        <f>MIN(MAX($A55-Inputs!$I$107-Inputs!$I$7,0),1)*Inputs!$I$112</f>
        <v>0</v>
      </c>
      <c r="H55" s="14">
        <f t="shared" si="0"/>
        <v>0.19999999999999998</v>
      </c>
    </row>
    <row r="56" spans="1:8" x14ac:dyDescent="0.25">
      <c r="A56">
        <f t="shared" si="4"/>
        <v>52</v>
      </c>
      <c r="B56">
        <f t="shared" si="4"/>
        <v>2069</v>
      </c>
      <c r="C56" s="16">
        <f>MIN(MAX($A56-Inputs!$I$107-Inputs!$I$7,0),1)*Inputs!$I$108</f>
        <v>0.5</v>
      </c>
      <c r="D56" s="16">
        <f>MIN(MAX($A56-Inputs!$I$107-Inputs!$I$7,0),1)*Inputs!$I$109</f>
        <v>0.5</v>
      </c>
      <c r="E56" s="16">
        <f>MIN(MAX($A56-Inputs!$I$107-Inputs!$I$7,0),1)*Inputs!$I$110</f>
        <v>0.25</v>
      </c>
      <c r="F56" s="16">
        <f>MIN(MAX($A56-Inputs!$I$107-Inputs!$I$7,0),1)*Inputs!$I$111</f>
        <v>0</v>
      </c>
      <c r="G56" s="16">
        <f>MIN(MAX($A56-Inputs!$I$107-Inputs!$I$7,0),1)*Inputs!$I$112</f>
        <v>0</v>
      </c>
      <c r="H56" s="14">
        <f t="shared" si="0"/>
        <v>0.19999999999999998</v>
      </c>
    </row>
    <row r="57" spans="1:8" x14ac:dyDescent="0.25">
      <c r="A57">
        <f t="shared" si="4"/>
        <v>53</v>
      </c>
      <c r="B57">
        <f t="shared" si="4"/>
        <v>2070</v>
      </c>
      <c r="C57" s="16">
        <f>MIN(MAX($A57-Inputs!$I$107-Inputs!$I$7,0),1)*Inputs!$I$108</f>
        <v>0.5</v>
      </c>
      <c r="D57" s="16">
        <f>MIN(MAX($A57-Inputs!$I$107-Inputs!$I$7,0),1)*Inputs!$I$109</f>
        <v>0.5</v>
      </c>
      <c r="E57" s="16">
        <f>MIN(MAX($A57-Inputs!$I$107-Inputs!$I$7,0),1)*Inputs!$I$110</f>
        <v>0.25</v>
      </c>
      <c r="F57" s="16">
        <f>MIN(MAX($A57-Inputs!$I$107-Inputs!$I$7,0),1)*Inputs!$I$111</f>
        <v>0</v>
      </c>
      <c r="G57" s="16">
        <f>MIN(MAX($A57-Inputs!$I$107-Inputs!$I$7,0),1)*Inputs!$I$112</f>
        <v>0</v>
      </c>
      <c r="H57" s="14">
        <f t="shared" si="0"/>
        <v>0.19999999999999998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57"/>
  <sheetViews>
    <sheetView workbookViewId="0">
      <selection activeCell="E8" sqref="E8"/>
    </sheetView>
  </sheetViews>
  <sheetFormatPr defaultRowHeight="15" x14ac:dyDescent="0.25"/>
  <cols>
    <col min="3" max="3" width="10.7109375" customWidth="1"/>
    <col min="5" max="5" width="9.7109375" customWidth="1"/>
    <col min="6" max="6" width="12.140625" customWidth="1"/>
  </cols>
  <sheetData>
    <row r="1" spans="1:8" ht="15.75" x14ac:dyDescent="0.25">
      <c r="A1" s="26" t="s">
        <v>155</v>
      </c>
    </row>
    <row r="2" spans="1:8" ht="15.75" x14ac:dyDescent="0.25">
      <c r="A2" s="26"/>
    </row>
    <row r="3" spans="1:8" x14ac:dyDescent="0.25">
      <c r="B3" s="35" t="s">
        <v>106</v>
      </c>
      <c r="C3" s="27">
        <f>City!B10</f>
        <v>0.1</v>
      </c>
      <c r="D3" s="27">
        <f>City!B11</f>
        <v>0.25</v>
      </c>
      <c r="E3" s="27">
        <f>City!B12</f>
        <v>0.1</v>
      </c>
      <c r="F3" s="27">
        <f>City!B13</f>
        <v>0.4</v>
      </c>
      <c r="G3" s="27">
        <f>City!B14</f>
        <v>0.15</v>
      </c>
    </row>
    <row r="4" spans="1:8" ht="30" x14ac:dyDescent="0.25">
      <c r="B4" s="21" t="s">
        <v>97</v>
      </c>
      <c r="C4" s="104" t="str">
        <f>City!$A$10</f>
        <v>Downtown</v>
      </c>
      <c r="D4" s="104" t="str">
        <f>City!$A$11</f>
        <v>Urban</v>
      </c>
      <c r="E4" s="103" t="str">
        <f>City!$A$12</f>
        <v>Suburban Business</v>
      </c>
      <c r="F4" s="103" t="str">
        <f>City!$A$13</f>
        <v>Suburban Residential</v>
      </c>
      <c r="G4" s="79" t="str">
        <f>City!$A$14</f>
        <v>Rural</v>
      </c>
      <c r="H4" s="32" t="s">
        <v>136</v>
      </c>
    </row>
    <row r="5" spans="1:8" x14ac:dyDescent="0.25">
      <c r="A5">
        <v>1</v>
      </c>
      <c r="B5">
        <f>City!B3</f>
        <v>2018</v>
      </c>
      <c r="C5" s="16">
        <f>MIN(MAX($A5-Inputs!$I$98-Inputs!$I$7,0),1)*Inputs!$I$99</f>
        <v>0</v>
      </c>
      <c r="D5" s="16">
        <f>MIN(MAX($A5-Inputs!$I$98-Inputs!$I$7,0),1)*Inputs!$I$100</f>
        <v>0</v>
      </c>
      <c r="E5" s="16">
        <f>MIN(MAX($A5-Inputs!$I$98-Inputs!$I$7,0),1)*Inputs!$I$101</f>
        <v>0</v>
      </c>
      <c r="F5" s="16">
        <f>MIN(MAX($A5-Inputs!$I$98-Inputs!$I$7,0),1)*Inputs!$I$102</f>
        <v>0</v>
      </c>
      <c r="G5" s="16">
        <f>MIN(MAX($A5-Inputs!$I$98-Inputs!$I$7,0),1)*Inputs!$I$103</f>
        <v>0</v>
      </c>
      <c r="H5" s="14">
        <f>SUMPRODUCT(C5:G5,C$3:G$3)</f>
        <v>0</v>
      </c>
    </row>
    <row r="6" spans="1:8" x14ac:dyDescent="0.25">
      <c r="A6">
        <f>A5+1</f>
        <v>2</v>
      </c>
      <c r="B6">
        <f>B5+1</f>
        <v>2019</v>
      </c>
      <c r="C6" s="16">
        <f>MIN(MAX($A6-Inputs!$I$98-Inputs!$I$7,0),1)*Inputs!$I$99</f>
        <v>0</v>
      </c>
      <c r="D6" s="16">
        <f>MIN(MAX($A6-Inputs!$I$98-Inputs!$I$7,0),1)*Inputs!$I$100</f>
        <v>0</v>
      </c>
      <c r="E6" s="16">
        <f>MIN(MAX($A6-Inputs!$I$98-Inputs!$I$7,0),1)*Inputs!$I$101</f>
        <v>0</v>
      </c>
      <c r="F6" s="16">
        <f>MIN(MAX($A6-Inputs!$I$98-Inputs!$I$7,0),1)*Inputs!$I$102</f>
        <v>0</v>
      </c>
      <c r="G6" s="16">
        <f>MIN(MAX($A6-Inputs!$I$98-Inputs!$I$7,0),1)*Inputs!$I$103</f>
        <v>0</v>
      </c>
      <c r="H6" s="14">
        <f t="shared" ref="H6:H57" si="0">SUMPRODUCT(C6:G6,C$3:G$3)</f>
        <v>0</v>
      </c>
    </row>
    <row r="7" spans="1:8" x14ac:dyDescent="0.25">
      <c r="A7">
        <f t="shared" ref="A7:B22" si="1">A6+1</f>
        <v>3</v>
      </c>
      <c r="B7">
        <f t="shared" si="1"/>
        <v>2020</v>
      </c>
      <c r="C7" s="16">
        <f>MIN(MAX($A7-Inputs!$I$98-Inputs!$I$7,0),1)*Inputs!$I$99</f>
        <v>0</v>
      </c>
      <c r="D7" s="16">
        <f>MIN(MAX($A7-Inputs!$I$98-Inputs!$I$7,0),1)*Inputs!$I$100</f>
        <v>0</v>
      </c>
      <c r="E7" s="16">
        <f>MIN(MAX($A7-Inputs!$I$98-Inputs!$I$7,0),1)*Inputs!$I$101</f>
        <v>0</v>
      </c>
      <c r="F7" s="16">
        <f>MIN(MAX($A7-Inputs!$I$98-Inputs!$I$7,0),1)*Inputs!$I$102</f>
        <v>0</v>
      </c>
      <c r="G7" s="16">
        <f>MIN(MAX($A7-Inputs!$I$98-Inputs!$I$7,0),1)*Inputs!$I$103</f>
        <v>0</v>
      </c>
      <c r="H7" s="14">
        <f t="shared" si="0"/>
        <v>0</v>
      </c>
    </row>
    <row r="8" spans="1:8" x14ac:dyDescent="0.25">
      <c r="A8">
        <f t="shared" si="1"/>
        <v>4</v>
      </c>
      <c r="B8">
        <f t="shared" si="1"/>
        <v>2021</v>
      </c>
      <c r="C8" s="16">
        <f>MIN(MAX($A8-Inputs!$I$98-Inputs!$I$7,0),1)*Inputs!$I$99</f>
        <v>0</v>
      </c>
      <c r="D8" s="16">
        <f>MIN(MAX($A8-Inputs!$I$98-Inputs!$I$7,0),1)*Inputs!$I$100</f>
        <v>0</v>
      </c>
      <c r="E8" s="16">
        <f>MIN(MAX($A8-Inputs!$I$98-Inputs!$I$7,0),1)*Inputs!$I$101</f>
        <v>0</v>
      </c>
      <c r="F8" s="16">
        <f>MIN(MAX($A8-Inputs!$I$98-Inputs!$I$7,0),1)*Inputs!$I$102</f>
        <v>0</v>
      </c>
      <c r="G8" s="16">
        <f>MIN(MAX($A8-Inputs!$I$98-Inputs!$I$7,0),1)*Inputs!$I$103</f>
        <v>0</v>
      </c>
      <c r="H8" s="14">
        <f t="shared" si="0"/>
        <v>0</v>
      </c>
    </row>
    <row r="9" spans="1:8" x14ac:dyDescent="0.25">
      <c r="A9">
        <f t="shared" si="1"/>
        <v>5</v>
      </c>
      <c r="B9">
        <f t="shared" si="1"/>
        <v>2022</v>
      </c>
      <c r="C9" s="16">
        <f>MIN(MAX($A9-Inputs!$I$98-Inputs!$I$7,0),1)*Inputs!$I$99</f>
        <v>0</v>
      </c>
      <c r="D9" s="16">
        <f>MIN(MAX($A9-Inputs!$I$98-Inputs!$I$7,0),1)*Inputs!$I$100</f>
        <v>0</v>
      </c>
      <c r="E9" s="16">
        <f>MIN(MAX($A9-Inputs!$I$98-Inputs!$I$7,0),1)*Inputs!$I$101</f>
        <v>0</v>
      </c>
      <c r="F9" s="16">
        <f>MIN(MAX($A9-Inputs!$I$98-Inputs!$I$7,0),1)*Inputs!$I$102</f>
        <v>0</v>
      </c>
      <c r="G9" s="16">
        <f>MIN(MAX($A9-Inputs!$I$98-Inputs!$I$7,0),1)*Inputs!$I$103</f>
        <v>0</v>
      </c>
      <c r="H9" s="14">
        <f t="shared" si="0"/>
        <v>0</v>
      </c>
    </row>
    <row r="10" spans="1:8" x14ac:dyDescent="0.25">
      <c r="A10">
        <f t="shared" si="1"/>
        <v>6</v>
      </c>
      <c r="B10">
        <f t="shared" si="1"/>
        <v>2023</v>
      </c>
      <c r="C10" s="16">
        <f>MIN(MAX($A10-Inputs!$I$98-Inputs!$I$7,0),1)*Inputs!$I$99</f>
        <v>0</v>
      </c>
      <c r="D10" s="16">
        <f>MIN(MAX($A10-Inputs!$I$98-Inputs!$I$7,0),1)*Inputs!$I$100</f>
        <v>0</v>
      </c>
      <c r="E10" s="16">
        <f>MIN(MAX($A10-Inputs!$I$98-Inputs!$I$7,0),1)*Inputs!$I$101</f>
        <v>0</v>
      </c>
      <c r="F10" s="16">
        <f>MIN(MAX($A10-Inputs!$I$98-Inputs!$I$7,0),1)*Inputs!$I$102</f>
        <v>0</v>
      </c>
      <c r="G10" s="16">
        <f>MIN(MAX($A10-Inputs!$I$98-Inputs!$I$7,0),1)*Inputs!$I$103</f>
        <v>0</v>
      </c>
      <c r="H10" s="14">
        <f t="shared" si="0"/>
        <v>0</v>
      </c>
    </row>
    <row r="11" spans="1:8" x14ac:dyDescent="0.25">
      <c r="A11">
        <f t="shared" si="1"/>
        <v>7</v>
      </c>
      <c r="B11">
        <f t="shared" si="1"/>
        <v>2024</v>
      </c>
      <c r="C11" s="16">
        <f>MIN(MAX($A11-Inputs!$I$98-Inputs!$I$7,0),1)*Inputs!$I$99</f>
        <v>0</v>
      </c>
      <c r="D11" s="16">
        <f>MIN(MAX($A11-Inputs!$I$98-Inputs!$I$7,0),1)*Inputs!$I$100</f>
        <v>0</v>
      </c>
      <c r="E11" s="16">
        <f>MIN(MAX($A11-Inputs!$I$98-Inputs!$I$7,0),1)*Inputs!$I$101</f>
        <v>0</v>
      </c>
      <c r="F11" s="16">
        <f>MIN(MAX($A11-Inputs!$I$98-Inputs!$I$7,0),1)*Inputs!$I$102</f>
        <v>0</v>
      </c>
      <c r="G11" s="16">
        <f>MIN(MAX($A11-Inputs!$I$98-Inputs!$I$7,0),1)*Inputs!$I$103</f>
        <v>0</v>
      </c>
      <c r="H11" s="14">
        <f t="shared" si="0"/>
        <v>0</v>
      </c>
    </row>
    <row r="12" spans="1:8" x14ac:dyDescent="0.25">
      <c r="A12">
        <f t="shared" si="1"/>
        <v>8</v>
      </c>
      <c r="B12">
        <f t="shared" si="1"/>
        <v>2025</v>
      </c>
      <c r="C12" s="16">
        <f>MIN(MAX($A12-Inputs!$I$98-Inputs!$I$7,0),1)*Inputs!$I$99</f>
        <v>0</v>
      </c>
      <c r="D12" s="16">
        <f>MIN(MAX($A12-Inputs!$I$98-Inputs!$I$7,0),1)*Inputs!$I$100</f>
        <v>0</v>
      </c>
      <c r="E12" s="16">
        <f>MIN(MAX($A12-Inputs!$I$98-Inputs!$I$7,0),1)*Inputs!$I$101</f>
        <v>0</v>
      </c>
      <c r="F12" s="16">
        <f>MIN(MAX($A12-Inputs!$I$98-Inputs!$I$7,0),1)*Inputs!$I$102</f>
        <v>0</v>
      </c>
      <c r="G12" s="16">
        <f>MIN(MAX($A12-Inputs!$I$98-Inputs!$I$7,0),1)*Inputs!$I$103</f>
        <v>0</v>
      </c>
      <c r="H12" s="14">
        <f t="shared" si="0"/>
        <v>0</v>
      </c>
    </row>
    <row r="13" spans="1:8" x14ac:dyDescent="0.25">
      <c r="A13">
        <f t="shared" si="1"/>
        <v>9</v>
      </c>
      <c r="B13">
        <f t="shared" si="1"/>
        <v>2026</v>
      </c>
      <c r="C13" s="16">
        <f>MIN(MAX($A13-Inputs!$I$98-Inputs!$I$7,0),1)*Inputs!$I$99</f>
        <v>0</v>
      </c>
      <c r="D13" s="16">
        <f>MIN(MAX($A13-Inputs!$I$98-Inputs!$I$7,0),1)*Inputs!$I$100</f>
        <v>0</v>
      </c>
      <c r="E13" s="16">
        <f>MIN(MAX($A13-Inputs!$I$98-Inputs!$I$7,0),1)*Inputs!$I$101</f>
        <v>0</v>
      </c>
      <c r="F13" s="16">
        <f>MIN(MAX($A13-Inputs!$I$98-Inputs!$I$7,0),1)*Inputs!$I$102</f>
        <v>0</v>
      </c>
      <c r="G13" s="16">
        <f>MIN(MAX($A13-Inputs!$I$98-Inputs!$I$7,0),1)*Inputs!$I$103</f>
        <v>0</v>
      </c>
      <c r="H13" s="14">
        <f t="shared" si="0"/>
        <v>0</v>
      </c>
    </row>
    <row r="14" spans="1:8" x14ac:dyDescent="0.25">
      <c r="A14">
        <f t="shared" si="1"/>
        <v>10</v>
      </c>
      <c r="B14">
        <f t="shared" si="1"/>
        <v>2027</v>
      </c>
      <c r="C14" s="16">
        <f>MIN(MAX($A14-Inputs!$I$98-Inputs!$I$7,0),1)*Inputs!$I$99</f>
        <v>0</v>
      </c>
      <c r="D14" s="16">
        <f>MIN(MAX($A14-Inputs!$I$98-Inputs!$I$7,0),1)*Inputs!$I$100</f>
        <v>0</v>
      </c>
      <c r="E14" s="16">
        <f>MIN(MAX($A14-Inputs!$I$98-Inputs!$I$7,0),1)*Inputs!$I$101</f>
        <v>0</v>
      </c>
      <c r="F14" s="16">
        <f>MIN(MAX($A14-Inputs!$I$98-Inputs!$I$7,0),1)*Inputs!$I$102</f>
        <v>0</v>
      </c>
      <c r="G14" s="16">
        <f>MIN(MAX($A14-Inputs!$I$98-Inputs!$I$7,0),1)*Inputs!$I$103</f>
        <v>0</v>
      </c>
      <c r="H14" s="14">
        <f t="shared" si="0"/>
        <v>0</v>
      </c>
    </row>
    <row r="15" spans="1:8" x14ac:dyDescent="0.25">
      <c r="A15">
        <f t="shared" si="1"/>
        <v>11</v>
      </c>
      <c r="B15">
        <f t="shared" si="1"/>
        <v>2028</v>
      </c>
      <c r="C15" s="16">
        <f>MIN(MAX($A15-Inputs!$I$98-Inputs!$I$7,0),1)*Inputs!$I$99</f>
        <v>0</v>
      </c>
      <c r="D15" s="16">
        <f>MIN(MAX($A15-Inputs!$I$98-Inputs!$I$7,0),1)*Inputs!$I$100</f>
        <v>0</v>
      </c>
      <c r="E15" s="16">
        <f>MIN(MAX($A15-Inputs!$I$98-Inputs!$I$7,0),1)*Inputs!$I$101</f>
        <v>0</v>
      </c>
      <c r="F15" s="16">
        <f>MIN(MAX($A15-Inputs!$I$98-Inputs!$I$7,0),1)*Inputs!$I$102</f>
        <v>0</v>
      </c>
      <c r="G15" s="16">
        <f>MIN(MAX($A15-Inputs!$I$98-Inputs!$I$7,0),1)*Inputs!$I$103</f>
        <v>0</v>
      </c>
      <c r="H15" s="14">
        <f t="shared" si="0"/>
        <v>0</v>
      </c>
    </row>
    <row r="16" spans="1:8" x14ac:dyDescent="0.25">
      <c r="A16">
        <f t="shared" si="1"/>
        <v>12</v>
      </c>
      <c r="B16">
        <f t="shared" si="1"/>
        <v>2029</v>
      </c>
      <c r="C16" s="16">
        <f>MIN(MAX($A16-Inputs!$I$98-Inputs!$I$7,0),1)*Inputs!$I$99</f>
        <v>0</v>
      </c>
      <c r="D16" s="16">
        <f>MIN(MAX($A16-Inputs!$I$98-Inputs!$I$7,0),1)*Inputs!$I$100</f>
        <v>0</v>
      </c>
      <c r="E16" s="16">
        <f>MIN(MAX($A16-Inputs!$I$98-Inputs!$I$7,0),1)*Inputs!$I$101</f>
        <v>0</v>
      </c>
      <c r="F16" s="16">
        <f>MIN(MAX($A16-Inputs!$I$98-Inputs!$I$7,0),1)*Inputs!$I$102</f>
        <v>0</v>
      </c>
      <c r="G16" s="16">
        <f>MIN(MAX($A16-Inputs!$I$98-Inputs!$I$7,0),1)*Inputs!$I$103</f>
        <v>0</v>
      </c>
      <c r="H16" s="14">
        <f t="shared" si="0"/>
        <v>0</v>
      </c>
    </row>
    <row r="17" spans="1:12" x14ac:dyDescent="0.25">
      <c r="A17">
        <f t="shared" si="1"/>
        <v>13</v>
      </c>
      <c r="B17">
        <f t="shared" si="1"/>
        <v>2030</v>
      </c>
      <c r="C17" s="16">
        <f>MIN(MAX($A17-Inputs!$I$98-Inputs!$I$7,0),1)*Inputs!$I$99</f>
        <v>0</v>
      </c>
      <c r="D17" s="16">
        <f>MIN(MAX($A17-Inputs!$I$98-Inputs!$I$7,0),1)*Inputs!$I$100</f>
        <v>0</v>
      </c>
      <c r="E17" s="16">
        <f>MIN(MAX($A17-Inputs!$I$98-Inputs!$I$7,0),1)*Inputs!$I$101</f>
        <v>0</v>
      </c>
      <c r="F17" s="16">
        <f>MIN(MAX($A17-Inputs!$I$98-Inputs!$I$7,0),1)*Inputs!$I$102</f>
        <v>0</v>
      </c>
      <c r="G17" s="16">
        <f>MIN(MAX($A17-Inputs!$I$98-Inputs!$I$7,0),1)*Inputs!$I$103</f>
        <v>0</v>
      </c>
      <c r="H17" s="14">
        <f t="shared" si="0"/>
        <v>0</v>
      </c>
    </row>
    <row r="18" spans="1:12" x14ac:dyDescent="0.25">
      <c r="A18">
        <f t="shared" si="1"/>
        <v>14</v>
      </c>
      <c r="B18">
        <f t="shared" si="1"/>
        <v>2031</v>
      </c>
      <c r="C18" s="16">
        <f>MIN(MAX($A18-Inputs!$I$98-Inputs!$I$7,0),1)*Inputs!$I$99</f>
        <v>0</v>
      </c>
      <c r="D18" s="16">
        <f>MIN(MAX($A18-Inputs!$I$98-Inputs!$I$7,0),1)*Inputs!$I$100</f>
        <v>0</v>
      </c>
      <c r="E18" s="16">
        <f>MIN(MAX($A18-Inputs!$I$98-Inputs!$I$7,0),1)*Inputs!$I$101</f>
        <v>0</v>
      </c>
      <c r="F18" s="16">
        <f>MIN(MAX($A18-Inputs!$I$98-Inputs!$I$7,0),1)*Inputs!$I$102</f>
        <v>0</v>
      </c>
      <c r="G18" s="16">
        <f>MIN(MAX($A18-Inputs!$I$98-Inputs!$I$7,0),1)*Inputs!$I$103</f>
        <v>0</v>
      </c>
      <c r="H18" s="14">
        <f t="shared" si="0"/>
        <v>0</v>
      </c>
    </row>
    <row r="19" spans="1:12" x14ac:dyDescent="0.25">
      <c r="A19">
        <f t="shared" si="1"/>
        <v>15</v>
      </c>
      <c r="B19">
        <f t="shared" si="1"/>
        <v>2032</v>
      </c>
      <c r="C19" s="16">
        <f>MIN(MAX($A19-Inputs!$I$98-Inputs!$I$7,0),1)*Inputs!$I$99</f>
        <v>0</v>
      </c>
      <c r="D19" s="16">
        <f>MIN(MAX($A19-Inputs!$I$98-Inputs!$I$7,0),1)*Inputs!$I$100</f>
        <v>0</v>
      </c>
      <c r="E19" s="16">
        <f>MIN(MAX($A19-Inputs!$I$98-Inputs!$I$7,0),1)*Inputs!$I$101</f>
        <v>0</v>
      </c>
      <c r="F19" s="16">
        <f>MIN(MAX($A19-Inputs!$I$98-Inputs!$I$7,0),1)*Inputs!$I$102</f>
        <v>0</v>
      </c>
      <c r="G19" s="16">
        <f>MIN(MAX($A19-Inputs!$I$98-Inputs!$I$7,0),1)*Inputs!$I$103</f>
        <v>0</v>
      </c>
      <c r="H19" s="14">
        <f t="shared" si="0"/>
        <v>0</v>
      </c>
    </row>
    <row r="20" spans="1:12" x14ac:dyDescent="0.25">
      <c r="A20">
        <f t="shared" si="1"/>
        <v>16</v>
      </c>
      <c r="B20">
        <f t="shared" si="1"/>
        <v>2033</v>
      </c>
      <c r="C20" s="16">
        <f>MIN(MAX($A20-Inputs!$I$98-Inputs!$I$7,0),1)*Inputs!$I$99</f>
        <v>0</v>
      </c>
      <c r="D20" s="16">
        <f>MIN(MAX($A20-Inputs!$I$98-Inputs!$I$7,0),1)*Inputs!$I$100</f>
        <v>0</v>
      </c>
      <c r="E20" s="16">
        <f>MIN(MAX($A20-Inputs!$I$98-Inputs!$I$7,0),1)*Inputs!$I$101</f>
        <v>0</v>
      </c>
      <c r="F20" s="16">
        <f>MIN(MAX($A20-Inputs!$I$98-Inputs!$I$7,0),1)*Inputs!$I$102</f>
        <v>0</v>
      </c>
      <c r="G20" s="16">
        <f>MIN(MAX($A20-Inputs!$I$98-Inputs!$I$7,0),1)*Inputs!$I$103</f>
        <v>0</v>
      </c>
      <c r="H20" s="14">
        <f t="shared" si="0"/>
        <v>0</v>
      </c>
    </row>
    <row r="21" spans="1:12" x14ac:dyDescent="0.25">
      <c r="A21">
        <f t="shared" si="1"/>
        <v>17</v>
      </c>
      <c r="B21">
        <f t="shared" si="1"/>
        <v>2034</v>
      </c>
      <c r="C21" s="16">
        <f>MIN(MAX($A21-Inputs!$I$98-Inputs!$I$7,0),1)*Inputs!$I$99</f>
        <v>0</v>
      </c>
      <c r="D21" s="16">
        <f>MIN(MAX($A21-Inputs!$I$98-Inputs!$I$7,0),1)*Inputs!$I$100</f>
        <v>0</v>
      </c>
      <c r="E21" s="16">
        <f>MIN(MAX($A21-Inputs!$I$98-Inputs!$I$7,0),1)*Inputs!$I$101</f>
        <v>0</v>
      </c>
      <c r="F21" s="16">
        <f>MIN(MAX($A21-Inputs!$I$98-Inputs!$I$7,0),1)*Inputs!$I$102</f>
        <v>0</v>
      </c>
      <c r="G21" s="16">
        <f>MIN(MAX($A21-Inputs!$I$98-Inputs!$I$7,0),1)*Inputs!$I$103</f>
        <v>0</v>
      </c>
      <c r="H21" s="14">
        <f t="shared" si="0"/>
        <v>0</v>
      </c>
    </row>
    <row r="22" spans="1:12" x14ac:dyDescent="0.25">
      <c r="A22">
        <f t="shared" si="1"/>
        <v>18</v>
      </c>
      <c r="B22">
        <f t="shared" si="1"/>
        <v>2035</v>
      </c>
      <c r="C22" s="16">
        <f>MIN(MAX($A22-Inputs!$I$98-Inputs!$I$7,0),1)*Inputs!$I$99</f>
        <v>0.75</v>
      </c>
      <c r="D22" s="16">
        <f>MIN(MAX($A22-Inputs!$I$98-Inputs!$I$7,0),1)*Inputs!$I$100</f>
        <v>0</v>
      </c>
      <c r="E22" s="16">
        <f>MIN(MAX($A22-Inputs!$I$98-Inputs!$I$7,0),1)*Inputs!$I$101</f>
        <v>0</v>
      </c>
      <c r="F22" s="16">
        <f>MIN(MAX($A22-Inputs!$I$98-Inputs!$I$7,0),1)*Inputs!$I$102</f>
        <v>0</v>
      </c>
      <c r="G22" s="16">
        <f>MIN(MAX($A22-Inputs!$I$98-Inputs!$I$7,0),1)*Inputs!$I$103</f>
        <v>0</v>
      </c>
      <c r="H22" s="14">
        <f t="shared" si="0"/>
        <v>7.5000000000000011E-2</v>
      </c>
    </row>
    <row r="23" spans="1:12" x14ac:dyDescent="0.25">
      <c r="A23">
        <f t="shared" ref="A23:B38" si="2">A22+1</f>
        <v>19</v>
      </c>
      <c r="B23">
        <f t="shared" si="2"/>
        <v>2036</v>
      </c>
      <c r="C23" s="16">
        <f>MIN(MAX($A23-Inputs!$I$98-Inputs!$I$7,0),1)*Inputs!$I$99</f>
        <v>0.75</v>
      </c>
      <c r="D23" s="16">
        <f>MIN(MAX($A23-Inputs!$I$98-Inputs!$I$7,0),1)*Inputs!$I$100</f>
        <v>0</v>
      </c>
      <c r="E23" s="16">
        <f>MIN(MAX($A23-Inputs!$I$98-Inputs!$I$7,0),1)*Inputs!$I$101</f>
        <v>0</v>
      </c>
      <c r="F23" s="16">
        <f>MIN(MAX($A23-Inputs!$I$98-Inputs!$I$7,0),1)*Inputs!$I$102</f>
        <v>0</v>
      </c>
      <c r="G23" s="16">
        <f>MIN(MAX($A23-Inputs!$I$98-Inputs!$I$7,0),1)*Inputs!$I$103</f>
        <v>0</v>
      </c>
      <c r="H23" s="14">
        <f t="shared" si="0"/>
        <v>7.5000000000000011E-2</v>
      </c>
    </row>
    <row r="24" spans="1:12" x14ac:dyDescent="0.25">
      <c r="A24">
        <f t="shared" si="2"/>
        <v>20</v>
      </c>
      <c r="B24">
        <f t="shared" si="2"/>
        <v>2037</v>
      </c>
      <c r="C24" s="16">
        <f>MIN(MAX($A24-Inputs!$I$98-Inputs!$I$7,0),1)*Inputs!$I$99</f>
        <v>0.75</v>
      </c>
      <c r="D24" s="16">
        <f>MIN(MAX($A24-Inputs!$I$98-Inputs!$I$7,0),1)*Inputs!$I$100</f>
        <v>0</v>
      </c>
      <c r="E24" s="16">
        <f>MIN(MAX($A24-Inputs!$I$98-Inputs!$I$7,0),1)*Inputs!$I$101</f>
        <v>0</v>
      </c>
      <c r="F24" s="16">
        <f>MIN(MAX($A24-Inputs!$I$98-Inputs!$I$7,0),1)*Inputs!$I$102</f>
        <v>0</v>
      </c>
      <c r="G24" s="16">
        <f>MIN(MAX($A24-Inputs!$I$98-Inputs!$I$7,0),1)*Inputs!$I$103</f>
        <v>0</v>
      </c>
      <c r="H24" s="14">
        <f t="shared" si="0"/>
        <v>7.5000000000000011E-2</v>
      </c>
    </row>
    <row r="25" spans="1:12" x14ac:dyDescent="0.25">
      <c r="A25">
        <f t="shared" si="2"/>
        <v>21</v>
      </c>
      <c r="B25">
        <f t="shared" si="2"/>
        <v>2038</v>
      </c>
      <c r="C25" s="16">
        <f>MIN(MAX($A25-Inputs!$I$98-Inputs!$I$7,0),1)*Inputs!$I$99</f>
        <v>0.75</v>
      </c>
      <c r="D25" s="16">
        <f>MIN(MAX($A25-Inputs!$I$98-Inputs!$I$7,0),1)*Inputs!$I$100</f>
        <v>0</v>
      </c>
      <c r="E25" s="16">
        <f>MIN(MAX($A25-Inputs!$I$98-Inputs!$I$7,0),1)*Inputs!$I$101</f>
        <v>0</v>
      </c>
      <c r="F25" s="16">
        <f>MIN(MAX($A25-Inputs!$I$98-Inputs!$I$7,0),1)*Inputs!$I$102</f>
        <v>0</v>
      </c>
      <c r="G25" s="16">
        <f>MIN(MAX($A25-Inputs!$I$98-Inputs!$I$7,0),1)*Inputs!$I$103</f>
        <v>0</v>
      </c>
      <c r="H25" s="14">
        <f t="shared" si="0"/>
        <v>7.5000000000000011E-2</v>
      </c>
    </row>
    <row r="26" spans="1:12" x14ac:dyDescent="0.25">
      <c r="A26">
        <f t="shared" si="2"/>
        <v>22</v>
      </c>
      <c r="B26">
        <f t="shared" si="2"/>
        <v>2039</v>
      </c>
      <c r="C26" s="16">
        <f>MIN(MAX($A26-Inputs!$I$98-Inputs!$I$7,0),1)*Inputs!$I$99</f>
        <v>0.75</v>
      </c>
      <c r="D26" s="16">
        <f>MIN(MAX($A26-Inputs!$I$98-Inputs!$I$7,0),1)*Inputs!$I$100</f>
        <v>0</v>
      </c>
      <c r="E26" s="16">
        <f>MIN(MAX($A26-Inputs!$I$98-Inputs!$I$7,0),1)*Inputs!$I$101</f>
        <v>0</v>
      </c>
      <c r="F26" s="16">
        <f>MIN(MAX($A26-Inputs!$I$98-Inputs!$I$7,0),1)*Inputs!$I$102</f>
        <v>0</v>
      </c>
      <c r="G26" s="16">
        <f>MIN(MAX($A26-Inputs!$I$98-Inputs!$I$7,0),1)*Inputs!$I$103</f>
        <v>0</v>
      </c>
      <c r="H26" s="14">
        <f t="shared" si="0"/>
        <v>7.5000000000000011E-2</v>
      </c>
    </row>
    <row r="27" spans="1:12" x14ac:dyDescent="0.25">
      <c r="A27">
        <f t="shared" si="2"/>
        <v>23</v>
      </c>
      <c r="B27">
        <f t="shared" si="2"/>
        <v>2040</v>
      </c>
      <c r="C27" s="16">
        <f>MIN(MAX($A27-Inputs!$I$98-Inputs!$I$7,0),1)*Inputs!$I$99</f>
        <v>0.75</v>
      </c>
      <c r="D27" s="16">
        <f>MIN(MAX($A27-Inputs!$I$98-Inputs!$I$7,0),1)*Inputs!$I$100</f>
        <v>0</v>
      </c>
      <c r="E27" s="16">
        <f>MIN(MAX($A27-Inputs!$I$98-Inputs!$I$7,0),1)*Inputs!$I$101</f>
        <v>0</v>
      </c>
      <c r="F27" s="16">
        <f>MIN(MAX($A27-Inputs!$I$98-Inputs!$I$7,0),1)*Inputs!$I$102</f>
        <v>0</v>
      </c>
      <c r="G27" s="16">
        <f>MIN(MAX($A27-Inputs!$I$98-Inputs!$I$7,0),1)*Inputs!$I$103</f>
        <v>0</v>
      </c>
      <c r="H27" s="14">
        <f t="shared" si="0"/>
        <v>7.5000000000000011E-2</v>
      </c>
    </row>
    <row r="28" spans="1:12" x14ac:dyDescent="0.25">
      <c r="A28">
        <f t="shared" si="2"/>
        <v>24</v>
      </c>
      <c r="B28">
        <f t="shared" si="2"/>
        <v>2041</v>
      </c>
      <c r="C28" s="16">
        <f>MIN(MAX($A28-Inputs!$I$98-Inputs!$I$7,0),1)*Inputs!$I$99</f>
        <v>0.75</v>
      </c>
      <c r="D28" s="16">
        <f>MIN(MAX($A28-Inputs!$I$98-Inputs!$I$7,0),1)*Inputs!$I$100</f>
        <v>0</v>
      </c>
      <c r="E28" s="16">
        <f>MIN(MAX($A28-Inputs!$I$98-Inputs!$I$7,0),1)*Inputs!$I$101</f>
        <v>0</v>
      </c>
      <c r="F28" s="16">
        <f>MIN(MAX($A28-Inputs!$I$98-Inputs!$I$7,0),1)*Inputs!$I$102</f>
        <v>0</v>
      </c>
      <c r="G28" s="16">
        <f>MIN(MAX($A28-Inputs!$I$98-Inputs!$I$7,0),1)*Inputs!$I$103</f>
        <v>0</v>
      </c>
      <c r="H28" s="14">
        <f t="shared" si="0"/>
        <v>7.5000000000000011E-2</v>
      </c>
      <c r="L28" s="171" t="s">
        <v>369</v>
      </c>
    </row>
    <row r="29" spans="1:12" x14ac:dyDescent="0.25">
      <c r="A29">
        <f t="shared" si="2"/>
        <v>25</v>
      </c>
      <c r="B29">
        <f t="shared" si="2"/>
        <v>2042</v>
      </c>
      <c r="C29" s="16">
        <f>MIN(MAX($A29-Inputs!$I$98-Inputs!$I$7,0),1)*Inputs!$I$99</f>
        <v>0.75</v>
      </c>
      <c r="D29" s="16">
        <f>MIN(MAX($A29-Inputs!$I$98-Inputs!$I$7,0),1)*Inputs!$I$100</f>
        <v>0</v>
      </c>
      <c r="E29" s="16">
        <f>MIN(MAX($A29-Inputs!$I$98-Inputs!$I$7,0),1)*Inputs!$I$101</f>
        <v>0</v>
      </c>
      <c r="F29" s="16">
        <f>MIN(MAX($A29-Inputs!$I$98-Inputs!$I$7,0),1)*Inputs!$I$102</f>
        <v>0</v>
      </c>
      <c r="G29" s="16">
        <f>MIN(MAX($A29-Inputs!$I$98-Inputs!$I$7,0),1)*Inputs!$I$103</f>
        <v>0</v>
      </c>
      <c r="H29" s="14">
        <f t="shared" si="0"/>
        <v>7.5000000000000011E-2</v>
      </c>
    </row>
    <row r="30" spans="1:12" x14ac:dyDescent="0.25">
      <c r="A30">
        <f t="shared" si="2"/>
        <v>26</v>
      </c>
      <c r="B30">
        <f t="shared" si="2"/>
        <v>2043</v>
      </c>
      <c r="C30" s="16">
        <f>MIN(MAX($A30-Inputs!$I$98-Inputs!$I$7,0),1)*Inputs!$I$99</f>
        <v>0.75</v>
      </c>
      <c r="D30" s="16">
        <f>MIN(MAX($A30-Inputs!$I$98-Inputs!$I$7,0),1)*Inputs!$I$100</f>
        <v>0</v>
      </c>
      <c r="E30" s="16">
        <f>MIN(MAX($A30-Inputs!$I$98-Inputs!$I$7,0),1)*Inputs!$I$101</f>
        <v>0</v>
      </c>
      <c r="F30" s="16">
        <f>MIN(MAX($A30-Inputs!$I$98-Inputs!$I$7,0),1)*Inputs!$I$102</f>
        <v>0</v>
      </c>
      <c r="G30" s="16">
        <f>MIN(MAX($A30-Inputs!$I$98-Inputs!$I$7,0),1)*Inputs!$I$103</f>
        <v>0</v>
      </c>
      <c r="H30" s="14">
        <f t="shared" si="0"/>
        <v>7.5000000000000011E-2</v>
      </c>
    </row>
    <row r="31" spans="1:12" x14ac:dyDescent="0.25">
      <c r="A31">
        <f t="shared" si="2"/>
        <v>27</v>
      </c>
      <c r="B31">
        <f t="shared" si="2"/>
        <v>2044</v>
      </c>
      <c r="C31" s="16">
        <f>MIN(MAX($A31-Inputs!$I$98-Inputs!$I$7,0),1)*Inputs!$I$99</f>
        <v>0.75</v>
      </c>
      <c r="D31" s="16">
        <f>MIN(MAX($A31-Inputs!$I$98-Inputs!$I$7,0),1)*Inputs!$I$100</f>
        <v>0</v>
      </c>
      <c r="E31" s="16">
        <f>MIN(MAX($A31-Inputs!$I$98-Inputs!$I$7,0),1)*Inputs!$I$101</f>
        <v>0</v>
      </c>
      <c r="F31" s="16">
        <f>MIN(MAX($A31-Inputs!$I$98-Inputs!$I$7,0),1)*Inputs!$I$102</f>
        <v>0</v>
      </c>
      <c r="G31" s="16">
        <f>MIN(MAX($A31-Inputs!$I$98-Inputs!$I$7,0),1)*Inputs!$I$103</f>
        <v>0</v>
      </c>
      <c r="H31" s="14">
        <f t="shared" si="0"/>
        <v>7.5000000000000011E-2</v>
      </c>
    </row>
    <row r="32" spans="1:12" x14ac:dyDescent="0.25">
      <c r="A32">
        <f t="shared" si="2"/>
        <v>28</v>
      </c>
      <c r="B32">
        <f t="shared" si="2"/>
        <v>2045</v>
      </c>
      <c r="C32" s="16">
        <f>MIN(MAX($A32-Inputs!$I$98-Inputs!$I$7,0),1)*Inputs!$I$99</f>
        <v>0.75</v>
      </c>
      <c r="D32" s="16">
        <f>MIN(MAX($A32-Inputs!$I$98-Inputs!$I$7,0),1)*Inputs!$I$100</f>
        <v>0</v>
      </c>
      <c r="E32" s="16">
        <f>MIN(MAX($A32-Inputs!$I$98-Inputs!$I$7,0),1)*Inputs!$I$101</f>
        <v>0</v>
      </c>
      <c r="F32" s="16">
        <f>MIN(MAX($A32-Inputs!$I$98-Inputs!$I$7,0),1)*Inputs!$I$102</f>
        <v>0</v>
      </c>
      <c r="G32" s="16">
        <f>MIN(MAX($A32-Inputs!$I$98-Inputs!$I$7,0),1)*Inputs!$I$103</f>
        <v>0</v>
      </c>
      <c r="H32" s="14">
        <f t="shared" si="0"/>
        <v>7.5000000000000011E-2</v>
      </c>
    </row>
    <row r="33" spans="1:8" x14ac:dyDescent="0.25">
      <c r="A33">
        <f t="shared" si="2"/>
        <v>29</v>
      </c>
      <c r="B33">
        <f t="shared" si="2"/>
        <v>2046</v>
      </c>
      <c r="C33" s="16">
        <f>MIN(MAX($A33-Inputs!$I$98-Inputs!$I$7,0),1)*Inputs!$I$99</f>
        <v>0.75</v>
      </c>
      <c r="D33" s="16">
        <f>MIN(MAX($A33-Inputs!$I$98-Inputs!$I$7,0),1)*Inputs!$I$100</f>
        <v>0</v>
      </c>
      <c r="E33" s="16">
        <f>MIN(MAX($A33-Inputs!$I$98-Inputs!$I$7,0),1)*Inputs!$I$101</f>
        <v>0</v>
      </c>
      <c r="F33" s="16">
        <f>MIN(MAX($A33-Inputs!$I$98-Inputs!$I$7,0),1)*Inputs!$I$102</f>
        <v>0</v>
      </c>
      <c r="G33" s="16">
        <f>MIN(MAX($A33-Inputs!$I$98-Inputs!$I$7,0),1)*Inputs!$I$103</f>
        <v>0</v>
      </c>
      <c r="H33" s="14">
        <f t="shared" si="0"/>
        <v>7.5000000000000011E-2</v>
      </c>
    </row>
    <row r="34" spans="1:8" x14ac:dyDescent="0.25">
      <c r="A34">
        <f t="shared" si="2"/>
        <v>30</v>
      </c>
      <c r="B34">
        <f t="shared" si="2"/>
        <v>2047</v>
      </c>
      <c r="C34" s="16">
        <f>MIN(MAX($A34-Inputs!$I$98-Inputs!$I$7,0),1)*Inputs!$I$99</f>
        <v>0.75</v>
      </c>
      <c r="D34" s="16">
        <f>MIN(MAX($A34-Inputs!$I$98-Inputs!$I$7,0),1)*Inputs!$I$100</f>
        <v>0</v>
      </c>
      <c r="E34" s="16">
        <f>MIN(MAX($A34-Inputs!$I$98-Inputs!$I$7,0),1)*Inputs!$I$101</f>
        <v>0</v>
      </c>
      <c r="F34" s="16">
        <f>MIN(MAX($A34-Inputs!$I$98-Inputs!$I$7,0),1)*Inputs!$I$102</f>
        <v>0</v>
      </c>
      <c r="G34" s="16">
        <f>MIN(MAX($A34-Inputs!$I$98-Inputs!$I$7,0),1)*Inputs!$I$103</f>
        <v>0</v>
      </c>
      <c r="H34" s="14">
        <f t="shared" si="0"/>
        <v>7.5000000000000011E-2</v>
      </c>
    </row>
    <row r="35" spans="1:8" x14ac:dyDescent="0.25">
      <c r="A35">
        <f t="shared" si="2"/>
        <v>31</v>
      </c>
      <c r="B35">
        <f t="shared" si="2"/>
        <v>2048</v>
      </c>
      <c r="C35" s="16">
        <f>MIN(MAX($A35-Inputs!$I$98-Inputs!$I$7,0),1)*Inputs!$I$99</f>
        <v>0.75</v>
      </c>
      <c r="D35" s="16">
        <f>MIN(MAX($A35-Inputs!$I$98-Inputs!$I$7,0),1)*Inputs!$I$100</f>
        <v>0</v>
      </c>
      <c r="E35" s="16">
        <f>MIN(MAX($A35-Inputs!$I$98-Inputs!$I$7,0),1)*Inputs!$I$101</f>
        <v>0</v>
      </c>
      <c r="F35" s="16">
        <f>MIN(MAX($A35-Inputs!$I$98-Inputs!$I$7,0),1)*Inputs!$I$102</f>
        <v>0</v>
      </c>
      <c r="G35" s="16">
        <f>MIN(MAX($A35-Inputs!$I$98-Inputs!$I$7,0),1)*Inputs!$I$103</f>
        <v>0</v>
      </c>
      <c r="H35" s="14">
        <f t="shared" si="0"/>
        <v>7.5000000000000011E-2</v>
      </c>
    </row>
    <row r="36" spans="1:8" x14ac:dyDescent="0.25">
      <c r="A36">
        <f t="shared" si="2"/>
        <v>32</v>
      </c>
      <c r="B36">
        <f t="shared" si="2"/>
        <v>2049</v>
      </c>
      <c r="C36" s="16">
        <f>MIN(MAX($A36-Inputs!$I$98-Inputs!$I$7,0),1)*Inputs!$I$99</f>
        <v>0.75</v>
      </c>
      <c r="D36" s="16">
        <f>MIN(MAX($A36-Inputs!$I$98-Inputs!$I$7,0),1)*Inputs!$I$100</f>
        <v>0</v>
      </c>
      <c r="E36" s="16">
        <f>MIN(MAX($A36-Inputs!$I$98-Inputs!$I$7,0),1)*Inputs!$I$101</f>
        <v>0</v>
      </c>
      <c r="F36" s="16">
        <f>MIN(MAX($A36-Inputs!$I$98-Inputs!$I$7,0),1)*Inputs!$I$102</f>
        <v>0</v>
      </c>
      <c r="G36" s="16">
        <f>MIN(MAX($A36-Inputs!$I$98-Inputs!$I$7,0),1)*Inputs!$I$103</f>
        <v>0</v>
      </c>
      <c r="H36" s="14">
        <f t="shared" si="0"/>
        <v>7.5000000000000011E-2</v>
      </c>
    </row>
    <row r="37" spans="1:8" x14ac:dyDescent="0.25">
      <c r="A37">
        <f t="shared" si="2"/>
        <v>33</v>
      </c>
      <c r="B37">
        <f t="shared" si="2"/>
        <v>2050</v>
      </c>
      <c r="C37" s="16">
        <f>MIN(MAX($A37-Inputs!$I$98-Inputs!$I$7,0),1)*Inputs!$I$99</f>
        <v>0.75</v>
      </c>
      <c r="D37" s="16">
        <f>MIN(MAX($A37-Inputs!$I$98-Inputs!$I$7,0),1)*Inputs!$I$100</f>
        <v>0</v>
      </c>
      <c r="E37" s="16">
        <f>MIN(MAX($A37-Inputs!$I$98-Inputs!$I$7,0),1)*Inputs!$I$101</f>
        <v>0</v>
      </c>
      <c r="F37" s="16">
        <f>MIN(MAX($A37-Inputs!$I$98-Inputs!$I$7,0),1)*Inputs!$I$102</f>
        <v>0</v>
      </c>
      <c r="G37" s="16">
        <f>MIN(MAX($A37-Inputs!$I$98-Inputs!$I$7,0),1)*Inputs!$I$103</f>
        <v>0</v>
      </c>
      <c r="H37" s="14">
        <f t="shared" si="0"/>
        <v>7.5000000000000011E-2</v>
      </c>
    </row>
    <row r="38" spans="1:8" x14ac:dyDescent="0.25">
      <c r="A38">
        <f t="shared" si="2"/>
        <v>34</v>
      </c>
      <c r="B38">
        <f t="shared" si="2"/>
        <v>2051</v>
      </c>
      <c r="C38" s="16">
        <f>MIN(MAX($A38-Inputs!$I$98-Inputs!$I$7,0),1)*Inputs!$I$99</f>
        <v>0.75</v>
      </c>
      <c r="D38" s="16">
        <f>MIN(MAX($A38-Inputs!$I$98-Inputs!$I$7,0),1)*Inputs!$I$100</f>
        <v>0</v>
      </c>
      <c r="E38" s="16">
        <f>MIN(MAX($A38-Inputs!$I$98-Inputs!$I$7,0),1)*Inputs!$I$101</f>
        <v>0</v>
      </c>
      <c r="F38" s="16">
        <f>MIN(MAX($A38-Inputs!$I$98-Inputs!$I$7,0),1)*Inputs!$I$102</f>
        <v>0</v>
      </c>
      <c r="G38" s="16">
        <f>MIN(MAX($A38-Inputs!$I$98-Inputs!$I$7,0),1)*Inputs!$I$103</f>
        <v>0</v>
      </c>
      <c r="H38" s="14">
        <f t="shared" si="0"/>
        <v>7.5000000000000011E-2</v>
      </c>
    </row>
    <row r="39" spans="1:8" x14ac:dyDescent="0.25">
      <c r="A39">
        <f t="shared" ref="A39:B54" si="3">A38+1</f>
        <v>35</v>
      </c>
      <c r="B39">
        <f t="shared" si="3"/>
        <v>2052</v>
      </c>
      <c r="C39" s="16">
        <f>MIN(MAX($A39-Inputs!$I$98-Inputs!$I$7,0),1)*Inputs!$I$99</f>
        <v>0.75</v>
      </c>
      <c r="D39" s="16">
        <f>MIN(MAX($A39-Inputs!$I$98-Inputs!$I$7,0),1)*Inputs!$I$100</f>
        <v>0</v>
      </c>
      <c r="E39" s="16">
        <f>MIN(MAX($A39-Inputs!$I$98-Inputs!$I$7,0),1)*Inputs!$I$101</f>
        <v>0</v>
      </c>
      <c r="F39" s="16">
        <f>MIN(MAX($A39-Inputs!$I$98-Inputs!$I$7,0),1)*Inputs!$I$102</f>
        <v>0</v>
      </c>
      <c r="G39" s="16">
        <f>MIN(MAX($A39-Inputs!$I$98-Inputs!$I$7,0),1)*Inputs!$I$103</f>
        <v>0</v>
      </c>
      <c r="H39" s="14">
        <f t="shared" si="0"/>
        <v>7.5000000000000011E-2</v>
      </c>
    </row>
    <row r="40" spans="1:8" x14ac:dyDescent="0.25">
      <c r="A40">
        <f t="shared" si="3"/>
        <v>36</v>
      </c>
      <c r="B40">
        <f t="shared" si="3"/>
        <v>2053</v>
      </c>
      <c r="C40" s="16">
        <f>MIN(MAX($A40-Inputs!$I$98-Inputs!$I$7,0),1)*Inputs!$I$99</f>
        <v>0.75</v>
      </c>
      <c r="D40" s="16">
        <f>MIN(MAX($A40-Inputs!$I$98-Inputs!$I$7,0),1)*Inputs!$I$100</f>
        <v>0</v>
      </c>
      <c r="E40" s="16">
        <f>MIN(MAX($A40-Inputs!$I$98-Inputs!$I$7,0),1)*Inputs!$I$101</f>
        <v>0</v>
      </c>
      <c r="F40" s="16">
        <f>MIN(MAX($A40-Inputs!$I$98-Inputs!$I$7,0),1)*Inputs!$I$102</f>
        <v>0</v>
      </c>
      <c r="G40" s="16">
        <f>MIN(MAX($A40-Inputs!$I$98-Inputs!$I$7,0),1)*Inputs!$I$103</f>
        <v>0</v>
      </c>
      <c r="H40" s="14">
        <f t="shared" si="0"/>
        <v>7.5000000000000011E-2</v>
      </c>
    </row>
    <row r="41" spans="1:8" x14ac:dyDescent="0.25">
      <c r="A41">
        <f t="shared" si="3"/>
        <v>37</v>
      </c>
      <c r="B41">
        <f t="shared" si="3"/>
        <v>2054</v>
      </c>
      <c r="C41" s="16">
        <f>MIN(MAX($A41-Inputs!$I$98-Inputs!$I$7,0),1)*Inputs!$I$99</f>
        <v>0.75</v>
      </c>
      <c r="D41" s="16">
        <f>MIN(MAX($A41-Inputs!$I$98-Inputs!$I$7,0),1)*Inputs!$I$100</f>
        <v>0</v>
      </c>
      <c r="E41" s="16">
        <f>MIN(MAX($A41-Inputs!$I$98-Inputs!$I$7,0),1)*Inputs!$I$101</f>
        <v>0</v>
      </c>
      <c r="F41" s="16">
        <f>MIN(MAX($A41-Inputs!$I$98-Inputs!$I$7,0),1)*Inputs!$I$102</f>
        <v>0</v>
      </c>
      <c r="G41" s="16">
        <f>MIN(MAX($A41-Inputs!$I$98-Inputs!$I$7,0),1)*Inputs!$I$103</f>
        <v>0</v>
      </c>
      <c r="H41" s="14">
        <f t="shared" si="0"/>
        <v>7.5000000000000011E-2</v>
      </c>
    </row>
    <row r="42" spans="1:8" x14ac:dyDescent="0.25">
      <c r="A42">
        <f t="shared" si="3"/>
        <v>38</v>
      </c>
      <c r="B42">
        <f t="shared" si="3"/>
        <v>2055</v>
      </c>
      <c r="C42" s="16">
        <f>MIN(MAX($A42-Inputs!$I$98-Inputs!$I$7,0),1)*Inputs!$I$99</f>
        <v>0.75</v>
      </c>
      <c r="D42" s="16">
        <f>MIN(MAX($A42-Inputs!$I$98-Inputs!$I$7,0),1)*Inputs!$I$100</f>
        <v>0</v>
      </c>
      <c r="E42" s="16">
        <f>MIN(MAX($A42-Inputs!$I$98-Inputs!$I$7,0),1)*Inputs!$I$101</f>
        <v>0</v>
      </c>
      <c r="F42" s="16">
        <f>MIN(MAX($A42-Inputs!$I$98-Inputs!$I$7,0),1)*Inputs!$I$102</f>
        <v>0</v>
      </c>
      <c r="G42" s="16">
        <f>MIN(MAX($A42-Inputs!$I$98-Inputs!$I$7,0),1)*Inputs!$I$103</f>
        <v>0</v>
      </c>
      <c r="H42" s="14">
        <f t="shared" si="0"/>
        <v>7.5000000000000011E-2</v>
      </c>
    </row>
    <row r="43" spans="1:8" x14ac:dyDescent="0.25">
      <c r="A43">
        <f t="shared" si="3"/>
        <v>39</v>
      </c>
      <c r="B43">
        <f t="shared" si="3"/>
        <v>2056</v>
      </c>
      <c r="C43" s="16">
        <f>MIN(MAX($A43-Inputs!$I$98-Inputs!$I$7,0),1)*Inputs!$I$99</f>
        <v>0.75</v>
      </c>
      <c r="D43" s="16">
        <f>MIN(MAX($A43-Inputs!$I$98-Inputs!$I$7,0),1)*Inputs!$I$100</f>
        <v>0</v>
      </c>
      <c r="E43" s="16">
        <f>MIN(MAX($A43-Inputs!$I$98-Inputs!$I$7,0),1)*Inputs!$I$101</f>
        <v>0</v>
      </c>
      <c r="F43" s="16">
        <f>MIN(MAX($A43-Inputs!$I$98-Inputs!$I$7,0),1)*Inputs!$I$102</f>
        <v>0</v>
      </c>
      <c r="G43" s="16">
        <f>MIN(MAX($A43-Inputs!$I$98-Inputs!$I$7,0),1)*Inputs!$I$103</f>
        <v>0</v>
      </c>
      <c r="H43" s="14">
        <f t="shared" si="0"/>
        <v>7.5000000000000011E-2</v>
      </c>
    </row>
    <row r="44" spans="1:8" x14ac:dyDescent="0.25">
      <c r="A44">
        <f t="shared" si="3"/>
        <v>40</v>
      </c>
      <c r="B44">
        <f t="shared" si="3"/>
        <v>2057</v>
      </c>
      <c r="C44" s="16">
        <f>MIN(MAX($A44-Inputs!$I$98-Inputs!$I$7,0),1)*Inputs!$I$99</f>
        <v>0.75</v>
      </c>
      <c r="D44" s="16">
        <f>MIN(MAX($A44-Inputs!$I$98-Inputs!$I$7,0),1)*Inputs!$I$100</f>
        <v>0</v>
      </c>
      <c r="E44" s="16">
        <f>MIN(MAX($A44-Inputs!$I$98-Inputs!$I$7,0),1)*Inputs!$I$101</f>
        <v>0</v>
      </c>
      <c r="F44" s="16">
        <f>MIN(MAX($A44-Inputs!$I$98-Inputs!$I$7,0),1)*Inputs!$I$102</f>
        <v>0</v>
      </c>
      <c r="G44" s="16">
        <f>MIN(MAX($A44-Inputs!$I$98-Inputs!$I$7,0),1)*Inputs!$I$103</f>
        <v>0</v>
      </c>
      <c r="H44" s="14">
        <f t="shared" si="0"/>
        <v>7.5000000000000011E-2</v>
      </c>
    </row>
    <row r="45" spans="1:8" x14ac:dyDescent="0.25">
      <c r="A45">
        <f t="shared" si="3"/>
        <v>41</v>
      </c>
      <c r="B45">
        <f t="shared" si="3"/>
        <v>2058</v>
      </c>
      <c r="C45" s="16">
        <f>MIN(MAX($A45-Inputs!$I$98-Inputs!$I$7,0),1)*Inputs!$I$99</f>
        <v>0.75</v>
      </c>
      <c r="D45" s="16">
        <f>MIN(MAX($A45-Inputs!$I$98-Inputs!$I$7,0),1)*Inputs!$I$100</f>
        <v>0</v>
      </c>
      <c r="E45" s="16">
        <f>MIN(MAX($A45-Inputs!$I$98-Inputs!$I$7,0),1)*Inputs!$I$101</f>
        <v>0</v>
      </c>
      <c r="F45" s="16">
        <f>MIN(MAX($A45-Inputs!$I$98-Inputs!$I$7,0),1)*Inputs!$I$102</f>
        <v>0</v>
      </c>
      <c r="G45" s="16">
        <f>MIN(MAX($A45-Inputs!$I$98-Inputs!$I$7,0),1)*Inputs!$I$103</f>
        <v>0</v>
      </c>
      <c r="H45" s="14">
        <f t="shared" si="0"/>
        <v>7.5000000000000011E-2</v>
      </c>
    </row>
    <row r="46" spans="1:8" x14ac:dyDescent="0.25">
      <c r="A46">
        <f t="shared" si="3"/>
        <v>42</v>
      </c>
      <c r="B46">
        <f t="shared" si="3"/>
        <v>2059</v>
      </c>
      <c r="C46" s="16">
        <f>MIN(MAX($A46-Inputs!$I$98-Inputs!$I$7,0),1)*Inputs!$I$99</f>
        <v>0.75</v>
      </c>
      <c r="D46" s="16">
        <f>MIN(MAX($A46-Inputs!$I$98-Inputs!$I$7,0),1)*Inputs!$I$100</f>
        <v>0</v>
      </c>
      <c r="E46" s="16">
        <f>MIN(MAX($A46-Inputs!$I$98-Inputs!$I$7,0),1)*Inputs!$I$101</f>
        <v>0</v>
      </c>
      <c r="F46" s="16">
        <f>MIN(MAX($A46-Inputs!$I$98-Inputs!$I$7,0),1)*Inputs!$I$102</f>
        <v>0</v>
      </c>
      <c r="G46" s="16">
        <f>MIN(MAX($A46-Inputs!$I$98-Inputs!$I$7,0),1)*Inputs!$I$103</f>
        <v>0</v>
      </c>
      <c r="H46" s="14">
        <f t="shared" si="0"/>
        <v>7.5000000000000011E-2</v>
      </c>
    </row>
    <row r="47" spans="1:8" x14ac:dyDescent="0.25">
      <c r="A47">
        <f t="shared" si="3"/>
        <v>43</v>
      </c>
      <c r="B47">
        <f t="shared" si="3"/>
        <v>2060</v>
      </c>
      <c r="C47" s="16">
        <f>MIN(MAX($A47-Inputs!$I$98-Inputs!$I$7,0),1)*Inputs!$I$99</f>
        <v>0.75</v>
      </c>
      <c r="D47" s="16">
        <f>MIN(MAX($A47-Inputs!$I$98-Inputs!$I$7,0),1)*Inputs!$I$100</f>
        <v>0</v>
      </c>
      <c r="E47" s="16">
        <f>MIN(MAX($A47-Inputs!$I$98-Inputs!$I$7,0),1)*Inputs!$I$101</f>
        <v>0</v>
      </c>
      <c r="F47" s="16">
        <f>MIN(MAX($A47-Inputs!$I$98-Inputs!$I$7,0),1)*Inputs!$I$102</f>
        <v>0</v>
      </c>
      <c r="G47" s="16">
        <f>MIN(MAX($A47-Inputs!$I$98-Inputs!$I$7,0),1)*Inputs!$I$103</f>
        <v>0</v>
      </c>
      <c r="H47" s="14">
        <f t="shared" si="0"/>
        <v>7.5000000000000011E-2</v>
      </c>
    </row>
    <row r="48" spans="1:8" x14ac:dyDescent="0.25">
      <c r="A48">
        <f t="shared" si="3"/>
        <v>44</v>
      </c>
      <c r="B48">
        <f t="shared" si="3"/>
        <v>2061</v>
      </c>
      <c r="C48" s="16">
        <f>MIN(MAX($A48-Inputs!$I$98-Inputs!$I$7,0),1)*Inputs!$I$99</f>
        <v>0.75</v>
      </c>
      <c r="D48" s="16">
        <f>MIN(MAX($A48-Inputs!$I$98-Inputs!$I$7,0),1)*Inputs!$I$100</f>
        <v>0</v>
      </c>
      <c r="E48" s="16">
        <f>MIN(MAX($A48-Inputs!$I$98-Inputs!$I$7,0),1)*Inputs!$I$101</f>
        <v>0</v>
      </c>
      <c r="F48" s="16">
        <f>MIN(MAX($A48-Inputs!$I$98-Inputs!$I$7,0),1)*Inputs!$I$102</f>
        <v>0</v>
      </c>
      <c r="G48" s="16">
        <f>MIN(MAX($A48-Inputs!$I$98-Inputs!$I$7,0),1)*Inputs!$I$103</f>
        <v>0</v>
      </c>
      <c r="H48" s="14">
        <f t="shared" si="0"/>
        <v>7.5000000000000011E-2</v>
      </c>
    </row>
    <row r="49" spans="1:8" x14ac:dyDescent="0.25">
      <c r="A49">
        <f t="shared" si="3"/>
        <v>45</v>
      </c>
      <c r="B49">
        <f t="shared" si="3"/>
        <v>2062</v>
      </c>
      <c r="C49" s="16">
        <f>MIN(MAX($A49-Inputs!$I$98-Inputs!$I$7,0),1)*Inputs!$I$99</f>
        <v>0.75</v>
      </c>
      <c r="D49" s="16">
        <f>MIN(MAX($A49-Inputs!$I$98-Inputs!$I$7,0),1)*Inputs!$I$100</f>
        <v>0</v>
      </c>
      <c r="E49" s="16">
        <f>MIN(MAX($A49-Inputs!$I$98-Inputs!$I$7,0),1)*Inputs!$I$101</f>
        <v>0</v>
      </c>
      <c r="F49" s="16">
        <f>MIN(MAX($A49-Inputs!$I$98-Inputs!$I$7,0),1)*Inputs!$I$102</f>
        <v>0</v>
      </c>
      <c r="G49" s="16">
        <f>MIN(MAX($A49-Inputs!$I$98-Inputs!$I$7,0),1)*Inputs!$I$103</f>
        <v>0</v>
      </c>
      <c r="H49" s="14">
        <f t="shared" si="0"/>
        <v>7.5000000000000011E-2</v>
      </c>
    </row>
    <row r="50" spans="1:8" x14ac:dyDescent="0.25">
      <c r="A50">
        <f t="shared" si="3"/>
        <v>46</v>
      </c>
      <c r="B50">
        <f t="shared" si="3"/>
        <v>2063</v>
      </c>
      <c r="C50" s="16">
        <f>MIN(MAX($A50-Inputs!$I$98-Inputs!$I$7,0),1)*Inputs!$I$99</f>
        <v>0.75</v>
      </c>
      <c r="D50" s="16">
        <f>MIN(MAX($A50-Inputs!$I$98-Inputs!$I$7,0),1)*Inputs!$I$100</f>
        <v>0</v>
      </c>
      <c r="E50" s="16">
        <f>MIN(MAX($A50-Inputs!$I$98-Inputs!$I$7,0),1)*Inputs!$I$101</f>
        <v>0</v>
      </c>
      <c r="F50" s="16">
        <f>MIN(MAX($A50-Inputs!$I$98-Inputs!$I$7,0),1)*Inputs!$I$102</f>
        <v>0</v>
      </c>
      <c r="G50" s="16">
        <f>MIN(MAX($A50-Inputs!$I$98-Inputs!$I$7,0),1)*Inputs!$I$103</f>
        <v>0</v>
      </c>
      <c r="H50" s="14">
        <f t="shared" si="0"/>
        <v>7.5000000000000011E-2</v>
      </c>
    </row>
    <row r="51" spans="1:8" x14ac:dyDescent="0.25">
      <c r="A51">
        <f t="shared" si="3"/>
        <v>47</v>
      </c>
      <c r="B51">
        <f t="shared" si="3"/>
        <v>2064</v>
      </c>
      <c r="C51" s="16">
        <f>MIN(MAX($A51-Inputs!$I$98-Inputs!$I$7,0),1)*Inputs!$I$99</f>
        <v>0.75</v>
      </c>
      <c r="D51" s="16">
        <f>MIN(MAX($A51-Inputs!$I$98-Inputs!$I$7,0),1)*Inputs!$I$100</f>
        <v>0</v>
      </c>
      <c r="E51" s="16">
        <f>MIN(MAX($A51-Inputs!$I$98-Inputs!$I$7,0),1)*Inputs!$I$101</f>
        <v>0</v>
      </c>
      <c r="F51" s="16">
        <f>MIN(MAX($A51-Inputs!$I$98-Inputs!$I$7,0),1)*Inputs!$I$102</f>
        <v>0</v>
      </c>
      <c r="G51" s="16">
        <f>MIN(MAX($A51-Inputs!$I$98-Inputs!$I$7,0),1)*Inputs!$I$103</f>
        <v>0</v>
      </c>
      <c r="H51" s="14">
        <f t="shared" si="0"/>
        <v>7.5000000000000011E-2</v>
      </c>
    </row>
    <row r="52" spans="1:8" x14ac:dyDescent="0.25">
      <c r="A52">
        <f t="shared" si="3"/>
        <v>48</v>
      </c>
      <c r="B52">
        <f t="shared" si="3"/>
        <v>2065</v>
      </c>
      <c r="C52" s="16">
        <f>MIN(MAX($A52-Inputs!$I$98-Inputs!$I$7,0),1)*Inputs!$I$99</f>
        <v>0.75</v>
      </c>
      <c r="D52" s="16">
        <f>MIN(MAX($A52-Inputs!$I$98-Inputs!$I$7,0),1)*Inputs!$I$100</f>
        <v>0</v>
      </c>
      <c r="E52" s="16">
        <f>MIN(MAX($A52-Inputs!$I$98-Inputs!$I$7,0),1)*Inputs!$I$101</f>
        <v>0</v>
      </c>
      <c r="F52" s="16">
        <f>MIN(MAX($A52-Inputs!$I$98-Inputs!$I$7,0),1)*Inputs!$I$102</f>
        <v>0</v>
      </c>
      <c r="G52" s="16">
        <f>MIN(MAX($A52-Inputs!$I$98-Inputs!$I$7,0),1)*Inputs!$I$103</f>
        <v>0</v>
      </c>
      <c r="H52" s="14">
        <f t="shared" si="0"/>
        <v>7.5000000000000011E-2</v>
      </c>
    </row>
    <row r="53" spans="1:8" x14ac:dyDescent="0.25">
      <c r="A53">
        <f t="shared" si="3"/>
        <v>49</v>
      </c>
      <c r="B53">
        <f t="shared" si="3"/>
        <v>2066</v>
      </c>
      <c r="C53" s="16">
        <f>MIN(MAX($A53-Inputs!$I$98-Inputs!$I$7,0),1)*Inputs!$I$99</f>
        <v>0.75</v>
      </c>
      <c r="D53" s="16">
        <f>MIN(MAX($A53-Inputs!$I$98-Inputs!$I$7,0),1)*Inputs!$I$100</f>
        <v>0</v>
      </c>
      <c r="E53" s="16">
        <f>MIN(MAX($A53-Inputs!$I$98-Inputs!$I$7,0),1)*Inputs!$I$101</f>
        <v>0</v>
      </c>
      <c r="F53" s="16">
        <f>MIN(MAX($A53-Inputs!$I$98-Inputs!$I$7,0),1)*Inputs!$I$102</f>
        <v>0</v>
      </c>
      <c r="G53" s="16">
        <f>MIN(MAX($A53-Inputs!$I$98-Inputs!$I$7,0),1)*Inputs!$I$103</f>
        <v>0</v>
      </c>
      <c r="H53" s="14">
        <f t="shared" si="0"/>
        <v>7.5000000000000011E-2</v>
      </c>
    </row>
    <row r="54" spans="1:8" x14ac:dyDescent="0.25">
      <c r="A54">
        <f t="shared" si="3"/>
        <v>50</v>
      </c>
      <c r="B54">
        <f t="shared" si="3"/>
        <v>2067</v>
      </c>
      <c r="C54" s="16">
        <f>MIN(MAX($A54-Inputs!$I$98-Inputs!$I$7,0),1)*Inputs!$I$99</f>
        <v>0.75</v>
      </c>
      <c r="D54" s="16">
        <f>MIN(MAX($A54-Inputs!$I$98-Inputs!$I$7,0),1)*Inputs!$I$100</f>
        <v>0</v>
      </c>
      <c r="E54" s="16">
        <f>MIN(MAX($A54-Inputs!$I$98-Inputs!$I$7,0),1)*Inputs!$I$101</f>
        <v>0</v>
      </c>
      <c r="F54" s="16">
        <f>MIN(MAX($A54-Inputs!$I$98-Inputs!$I$7,0),1)*Inputs!$I$102</f>
        <v>0</v>
      </c>
      <c r="G54" s="16">
        <f>MIN(MAX($A54-Inputs!$I$98-Inputs!$I$7,0),1)*Inputs!$I$103</f>
        <v>0</v>
      </c>
      <c r="H54" s="14">
        <f t="shared" si="0"/>
        <v>7.5000000000000011E-2</v>
      </c>
    </row>
    <row r="55" spans="1:8" x14ac:dyDescent="0.25">
      <c r="A55">
        <f t="shared" ref="A55:B57" si="4">A54+1</f>
        <v>51</v>
      </c>
      <c r="B55">
        <f t="shared" si="4"/>
        <v>2068</v>
      </c>
      <c r="C55" s="16">
        <f>MIN(MAX($A55-Inputs!$I$98-Inputs!$I$7,0),1)*Inputs!$I$99</f>
        <v>0.75</v>
      </c>
      <c r="D55" s="16">
        <f>MIN(MAX($A55-Inputs!$I$98-Inputs!$I$7,0),1)*Inputs!$I$100</f>
        <v>0</v>
      </c>
      <c r="E55" s="16">
        <f>MIN(MAX($A55-Inputs!$I$98-Inputs!$I$7,0),1)*Inputs!$I$101</f>
        <v>0</v>
      </c>
      <c r="F55" s="16">
        <f>MIN(MAX($A55-Inputs!$I$98-Inputs!$I$7,0),1)*Inputs!$I$102</f>
        <v>0</v>
      </c>
      <c r="G55" s="16">
        <f>MIN(MAX($A55-Inputs!$I$98-Inputs!$I$7,0),1)*Inputs!$I$103</f>
        <v>0</v>
      </c>
      <c r="H55" s="14">
        <f t="shared" si="0"/>
        <v>7.5000000000000011E-2</v>
      </c>
    </row>
    <row r="56" spans="1:8" x14ac:dyDescent="0.25">
      <c r="A56">
        <f t="shared" si="4"/>
        <v>52</v>
      </c>
      <c r="B56">
        <f t="shared" si="4"/>
        <v>2069</v>
      </c>
      <c r="C56" s="16">
        <f>MIN(MAX($A56-Inputs!$I$98-Inputs!$I$7,0),1)*Inputs!$I$99</f>
        <v>0.75</v>
      </c>
      <c r="D56" s="16">
        <f>MIN(MAX($A56-Inputs!$I$98-Inputs!$I$7,0),1)*Inputs!$I$100</f>
        <v>0</v>
      </c>
      <c r="E56" s="16">
        <f>MIN(MAX($A56-Inputs!$I$98-Inputs!$I$7,0),1)*Inputs!$I$101</f>
        <v>0</v>
      </c>
      <c r="F56" s="16">
        <f>MIN(MAX($A56-Inputs!$I$98-Inputs!$I$7,0),1)*Inputs!$I$102</f>
        <v>0</v>
      </c>
      <c r="G56" s="16">
        <f>MIN(MAX($A56-Inputs!$I$98-Inputs!$I$7,0),1)*Inputs!$I$103</f>
        <v>0</v>
      </c>
      <c r="H56" s="14">
        <f t="shared" si="0"/>
        <v>7.5000000000000011E-2</v>
      </c>
    </row>
    <row r="57" spans="1:8" x14ac:dyDescent="0.25">
      <c r="A57">
        <f t="shared" si="4"/>
        <v>53</v>
      </c>
      <c r="B57">
        <f t="shared" si="4"/>
        <v>2070</v>
      </c>
      <c r="C57" s="16">
        <f>MIN(MAX($A57-Inputs!$I$98-Inputs!$I$7,0),1)*Inputs!$I$99</f>
        <v>0.75</v>
      </c>
      <c r="D57" s="16">
        <f>MIN(MAX($A57-Inputs!$I$98-Inputs!$I$7,0),1)*Inputs!$I$100</f>
        <v>0</v>
      </c>
      <c r="E57" s="16">
        <f>MIN(MAX($A57-Inputs!$I$98-Inputs!$I$7,0),1)*Inputs!$I$101</f>
        <v>0</v>
      </c>
      <c r="F57" s="16">
        <f>MIN(MAX($A57-Inputs!$I$98-Inputs!$I$7,0),1)*Inputs!$I$102</f>
        <v>0</v>
      </c>
      <c r="G57" s="16">
        <f>MIN(MAX($A57-Inputs!$I$98-Inputs!$I$7,0),1)*Inputs!$I$103</f>
        <v>0</v>
      </c>
      <c r="H57" s="14">
        <f t="shared" si="0"/>
        <v>7.5000000000000011E-2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58"/>
  <sheetViews>
    <sheetView workbookViewId="0">
      <selection activeCell="C2" sqref="C2"/>
    </sheetView>
  </sheetViews>
  <sheetFormatPr defaultRowHeight="15" x14ac:dyDescent="0.25"/>
  <cols>
    <col min="1" max="1" width="9.7109375" customWidth="1"/>
    <col min="2" max="2" width="11.85546875" customWidth="1"/>
    <col min="5" max="5" width="9.7109375" customWidth="1"/>
    <col min="6" max="6" width="9.140625" customWidth="1"/>
    <col min="7" max="7" width="11" customWidth="1"/>
    <col min="8" max="8" width="10.28515625" customWidth="1"/>
    <col min="13" max="13" width="9.7109375" customWidth="1"/>
    <col min="14" max="14" width="10.85546875" customWidth="1"/>
    <col min="16" max="16" width="10.140625" customWidth="1"/>
    <col min="17" max="17" width="11" customWidth="1"/>
  </cols>
  <sheetData>
    <row r="1" spans="1:19" ht="15.75" x14ac:dyDescent="0.25">
      <c r="A1" s="26" t="s">
        <v>159</v>
      </c>
    </row>
    <row r="2" spans="1:19" x14ac:dyDescent="0.25">
      <c r="A2" s="36" t="s">
        <v>106</v>
      </c>
      <c r="B2" s="12" t="s">
        <v>162</v>
      </c>
      <c r="C2" s="27">
        <f>City!B54</f>
        <v>0.4642857142857143</v>
      </c>
      <c r="D2" s="27">
        <f>City!$B54</f>
        <v>0.4642857142857143</v>
      </c>
      <c r="E2" s="27">
        <f>City!$B55</f>
        <v>0.5357142857142857</v>
      </c>
      <c r="F2" s="27">
        <f>City!$B54</f>
        <v>0.4642857142857143</v>
      </c>
      <c r="G2" s="27">
        <f>City!$B54</f>
        <v>0.4642857142857143</v>
      </c>
      <c r="H2" s="27">
        <f>City!$B55</f>
        <v>0.5357142857142857</v>
      </c>
    </row>
    <row r="3" spans="1:19" x14ac:dyDescent="0.25">
      <c r="A3" s="36" t="s">
        <v>106</v>
      </c>
      <c r="B3" s="36" t="s">
        <v>151</v>
      </c>
      <c r="C3" s="37">
        <f>City!$B16</f>
        <v>0.35</v>
      </c>
      <c r="D3" s="38">
        <f>City!$B17</f>
        <v>0.65</v>
      </c>
      <c r="E3" s="38">
        <f>City!$B16</f>
        <v>0.35</v>
      </c>
      <c r="F3" s="37">
        <f>City!$B16</f>
        <v>0.35</v>
      </c>
      <c r="G3" s="38">
        <f>City!$B17</f>
        <v>0.65</v>
      </c>
      <c r="H3" s="38">
        <f>City!$B16</f>
        <v>0.35</v>
      </c>
      <c r="N3" s="176">
        <f>N4+O4</f>
        <v>0.35</v>
      </c>
      <c r="O3" s="176"/>
      <c r="P3" s="176">
        <f>P4+Q4</f>
        <v>0.5</v>
      </c>
      <c r="Q3" s="176"/>
    </row>
    <row r="4" spans="1:19" x14ac:dyDescent="0.25">
      <c r="A4" s="35" t="s">
        <v>106</v>
      </c>
      <c r="B4" s="12" t="s">
        <v>150</v>
      </c>
      <c r="C4" s="27">
        <f>City!$B10+City!$B11</f>
        <v>0.35</v>
      </c>
      <c r="D4" s="27">
        <f>City!$B10+City!$B11</f>
        <v>0.35</v>
      </c>
      <c r="E4" s="27">
        <f>City!$B10+City!$B11</f>
        <v>0.35</v>
      </c>
      <c r="F4" s="27">
        <f>City!$B12+City!$B13</f>
        <v>0.5</v>
      </c>
      <c r="G4" s="27">
        <f>City!$B12+City!$B13</f>
        <v>0.5</v>
      </c>
      <c r="H4" s="27">
        <f>City!$B12+City!$B13</f>
        <v>0.5</v>
      </c>
      <c r="N4" s="27">
        <f>City!$B$10</f>
        <v>0.1</v>
      </c>
      <c r="O4" s="27">
        <f>City!$B$11</f>
        <v>0.25</v>
      </c>
      <c r="P4" s="27">
        <f>City!$B$12</f>
        <v>0.1</v>
      </c>
      <c r="Q4" s="27">
        <f>City!$B$13</f>
        <v>0.4</v>
      </c>
      <c r="R4" s="127">
        <f>City!$B$14</f>
        <v>0.15</v>
      </c>
      <c r="S4" t="s">
        <v>217</v>
      </c>
    </row>
    <row r="5" spans="1:19" ht="75" x14ac:dyDescent="0.25">
      <c r="B5" s="21" t="s">
        <v>97</v>
      </c>
      <c r="C5" s="32" t="s">
        <v>72</v>
      </c>
      <c r="D5" s="32" t="s">
        <v>160</v>
      </c>
      <c r="E5" s="32" t="s">
        <v>73</v>
      </c>
      <c r="F5" s="32" t="s">
        <v>74</v>
      </c>
      <c r="G5" s="32" t="s">
        <v>161</v>
      </c>
      <c r="H5" s="32" t="s">
        <v>75</v>
      </c>
      <c r="I5" s="124" t="s">
        <v>136</v>
      </c>
      <c r="J5" s="128" t="s">
        <v>128</v>
      </c>
      <c r="K5" s="124" t="s">
        <v>129</v>
      </c>
      <c r="L5" s="104" t="s">
        <v>41</v>
      </c>
      <c r="M5" s="124" t="s">
        <v>230</v>
      </c>
      <c r="N5" s="104" t="str">
        <f>City!$A$10</f>
        <v>Downtown</v>
      </c>
      <c r="O5" s="104" t="str">
        <f>City!$A$11</f>
        <v>Urban</v>
      </c>
      <c r="P5" s="103" t="str">
        <f>City!$A$12</f>
        <v>Suburban Business</v>
      </c>
      <c r="Q5" s="103" t="str">
        <f>City!$A$13</f>
        <v>Suburban Residential</v>
      </c>
      <c r="R5" s="79" t="str">
        <f>City!$A$14</f>
        <v>Rural</v>
      </c>
    </row>
    <row r="6" spans="1:19" x14ac:dyDescent="0.25">
      <c r="A6">
        <v>1</v>
      </c>
      <c r="B6">
        <f>City!B3</f>
        <v>2018</v>
      </c>
      <c r="C6" s="16">
        <f>MIN(MAX($A6-Inputs!$I$116,0),1)*Inputs!$I$117</f>
        <v>0</v>
      </c>
      <c r="D6" s="16">
        <f>MIN(MAX($A6-Inputs!$I$116,0),1)*Inputs!$I$118</f>
        <v>0</v>
      </c>
      <c r="E6" s="16">
        <f>MIN(MAX($A6-Inputs!$I$116,0),1)*Inputs!$I$119</f>
        <v>0</v>
      </c>
      <c r="F6" s="16">
        <f>MIN(MAX($A6-Inputs!$I$116,0),1)*Inputs!$I$120</f>
        <v>0</v>
      </c>
      <c r="G6" s="16">
        <f>MIN(MAX($A6-Inputs!$I$116,0),1)*Inputs!$I$121</f>
        <v>0</v>
      </c>
      <c r="H6" s="16">
        <f>MIN(MAX($A6-Inputs!$I$116,0),1)*Inputs!$I$122</f>
        <v>0</v>
      </c>
      <c r="I6" s="125">
        <f>SUMPRODUCT(C6:H6,C$4:H$4,C$3:H$3,C$2:H$2)</f>
        <v>0</v>
      </c>
      <c r="J6" s="126">
        <f>SUMPRODUCT(C6:D6,C$3:D$3,C$4:D$4)+SUMPRODUCT(F6:G6,F$4:G$4,F$3:G$3)</f>
        <v>0</v>
      </c>
      <c r="K6" s="125">
        <f>E6*E$4*E$3+H6*H$4*H$3</f>
        <v>0</v>
      </c>
      <c r="L6" s="126">
        <f>SUMPRODUCT(C6:E6,C$3:E$3,C$2:E$2)</f>
        <v>0</v>
      </c>
      <c r="M6" s="125">
        <f>SUMPRODUCT(F6:H6,F$3:H$3,F$2:H$2)</f>
        <v>0</v>
      </c>
      <c r="N6" s="16">
        <f>L6*$N$4/$N$3</f>
        <v>0</v>
      </c>
      <c r="O6" s="16">
        <f>L6*$O$4/$N$3</f>
        <v>0</v>
      </c>
      <c r="P6" s="16">
        <f>M6*$P$4/$P$3</f>
        <v>0</v>
      </c>
      <c r="Q6" s="16">
        <f>M6*$Q$4/$P$3</f>
        <v>0</v>
      </c>
      <c r="R6" s="13">
        <f>Q6*$R$4</f>
        <v>0</v>
      </c>
    </row>
    <row r="7" spans="1:19" x14ac:dyDescent="0.25">
      <c r="A7">
        <f>A6+1</f>
        <v>2</v>
      </c>
      <c r="B7">
        <f>B6+1</f>
        <v>2019</v>
      </c>
      <c r="C7" s="16">
        <f>MIN(MAX($A7-Inputs!$I$116,0),1)*Inputs!$I$117</f>
        <v>0</v>
      </c>
      <c r="D7" s="16">
        <f>MIN(MAX($A7-Inputs!$I$116,0),1)*Inputs!$I$118</f>
        <v>0</v>
      </c>
      <c r="E7" s="16">
        <f>MIN(MAX($A7-Inputs!$I$116,0),1)*Inputs!$I$119</f>
        <v>0</v>
      </c>
      <c r="F7" s="16">
        <f>MIN(MAX($A7-Inputs!$I$116,0),1)*Inputs!$I$120</f>
        <v>0</v>
      </c>
      <c r="G7" s="16">
        <f>MIN(MAX($A7-Inputs!$I$116,0),1)*Inputs!$I$121</f>
        <v>0</v>
      </c>
      <c r="H7" s="16">
        <f>MIN(MAX($A7-Inputs!$I$116,0),1)*Inputs!$I$122</f>
        <v>0</v>
      </c>
      <c r="I7" s="125">
        <f t="shared" ref="I7:I58" si="0">SUMPRODUCT(C7:H7,C$4:H$4,C$3:H$3,C$2:H$2)</f>
        <v>0</v>
      </c>
      <c r="J7" s="126">
        <f t="shared" ref="J7:J58" si="1">SUMPRODUCT(C7:D7,C$3:D$3,C$4:D$4)+SUMPRODUCT(F7:G7,F$4:G$4,F$3:G$3)</f>
        <v>0</v>
      </c>
      <c r="K7" s="125">
        <f t="shared" ref="K7:K58" si="2">E7*E$4*E$3+H7*H$4*H$3</f>
        <v>0</v>
      </c>
      <c r="L7" s="126">
        <f t="shared" ref="L7:L58" si="3">SUMPRODUCT(C7:E7,C$3:E$3,C$2:E$2)</f>
        <v>0</v>
      </c>
      <c r="M7" s="125">
        <f t="shared" ref="M7:M58" si="4">SUMPRODUCT(F7:H7,F$3:H$3,F$2:H$2)</f>
        <v>0</v>
      </c>
      <c r="N7" s="16">
        <f t="shared" ref="N7:N58" si="5">L7*$N$4/$N$3</f>
        <v>0</v>
      </c>
      <c r="O7" s="16">
        <f t="shared" ref="O7:O58" si="6">L7*$O$4/$N$3</f>
        <v>0</v>
      </c>
      <c r="P7" s="16">
        <f t="shared" ref="P7:P58" si="7">M7*$P$4/$P$3</f>
        <v>0</v>
      </c>
      <c r="Q7" s="16">
        <f t="shared" ref="Q7:Q58" si="8">M7*$Q$4/$P$3</f>
        <v>0</v>
      </c>
      <c r="R7" s="13">
        <f t="shared" ref="R7:R58" si="9">Q7*$R$4</f>
        <v>0</v>
      </c>
    </row>
    <row r="8" spans="1:19" x14ac:dyDescent="0.25">
      <c r="A8">
        <f t="shared" ref="A8:B23" si="10">A7+1</f>
        <v>3</v>
      </c>
      <c r="B8">
        <f t="shared" si="10"/>
        <v>2020</v>
      </c>
      <c r="C8" s="16">
        <f>MIN(MAX($A8-Inputs!$I$116,0),1)*Inputs!$I$117</f>
        <v>0</v>
      </c>
      <c r="D8" s="16">
        <f>MIN(MAX($A8-Inputs!$I$116,0),1)*Inputs!$I$118</f>
        <v>0</v>
      </c>
      <c r="E8" s="16">
        <f>MIN(MAX($A8-Inputs!$I$116,0),1)*Inputs!$I$119</f>
        <v>0</v>
      </c>
      <c r="F8" s="16">
        <f>MIN(MAX($A8-Inputs!$I$116,0),1)*Inputs!$I$120</f>
        <v>0</v>
      </c>
      <c r="G8" s="16">
        <f>MIN(MAX($A8-Inputs!$I$116,0),1)*Inputs!$I$121</f>
        <v>0</v>
      </c>
      <c r="H8" s="16">
        <f>MIN(MAX($A8-Inputs!$I$116,0),1)*Inputs!$I$122</f>
        <v>0</v>
      </c>
      <c r="I8" s="125">
        <f t="shared" si="0"/>
        <v>0</v>
      </c>
      <c r="J8" s="126">
        <f t="shared" si="1"/>
        <v>0</v>
      </c>
      <c r="K8" s="125">
        <f t="shared" si="2"/>
        <v>0</v>
      </c>
      <c r="L8" s="126">
        <f t="shared" si="3"/>
        <v>0</v>
      </c>
      <c r="M8" s="125">
        <f t="shared" si="4"/>
        <v>0</v>
      </c>
      <c r="N8" s="16">
        <f t="shared" si="5"/>
        <v>0</v>
      </c>
      <c r="O8" s="16">
        <f t="shared" si="6"/>
        <v>0</v>
      </c>
      <c r="P8" s="16">
        <f t="shared" si="7"/>
        <v>0</v>
      </c>
      <c r="Q8" s="16">
        <f t="shared" si="8"/>
        <v>0</v>
      </c>
      <c r="R8" s="13">
        <f t="shared" si="9"/>
        <v>0</v>
      </c>
    </row>
    <row r="9" spans="1:19" x14ac:dyDescent="0.25">
      <c r="A9">
        <f t="shared" si="10"/>
        <v>4</v>
      </c>
      <c r="B9">
        <f t="shared" si="10"/>
        <v>2021</v>
      </c>
      <c r="C9" s="16">
        <f>MIN(MAX($A9-Inputs!$I$116,0),1)*Inputs!$I$117</f>
        <v>0</v>
      </c>
      <c r="D9" s="16">
        <f>MIN(MAX($A9-Inputs!$I$116,0),1)*Inputs!$I$118</f>
        <v>0</v>
      </c>
      <c r="E9" s="16">
        <f>MIN(MAX($A9-Inputs!$I$116,0),1)*Inputs!$I$119</f>
        <v>0</v>
      </c>
      <c r="F9" s="16">
        <f>MIN(MAX($A9-Inputs!$I$116,0),1)*Inputs!$I$120</f>
        <v>0</v>
      </c>
      <c r="G9" s="16">
        <f>MIN(MAX($A9-Inputs!$I$116,0),1)*Inputs!$I$121</f>
        <v>0</v>
      </c>
      <c r="H9" s="16">
        <f>MIN(MAX($A9-Inputs!$I$116,0),1)*Inputs!$I$122</f>
        <v>0</v>
      </c>
      <c r="I9" s="125">
        <f t="shared" si="0"/>
        <v>0</v>
      </c>
      <c r="J9" s="126">
        <f t="shared" si="1"/>
        <v>0</v>
      </c>
      <c r="K9" s="125">
        <f t="shared" si="2"/>
        <v>0</v>
      </c>
      <c r="L9" s="126">
        <f t="shared" si="3"/>
        <v>0</v>
      </c>
      <c r="M9" s="125">
        <f t="shared" si="4"/>
        <v>0</v>
      </c>
      <c r="N9" s="16">
        <f t="shared" si="5"/>
        <v>0</v>
      </c>
      <c r="O9" s="16">
        <f t="shared" si="6"/>
        <v>0</v>
      </c>
      <c r="P9" s="16">
        <f t="shared" si="7"/>
        <v>0</v>
      </c>
      <c r="Q9" s="16">
        <f t="shared" si="8"/>
        <v>0</v>
      </c>
      <c r="R9" s="13">
        <f t="shared" si="9"/>
        <v>0</v>
      </c>
    </row>
    <row r="10" spans="1:19" x14ac:dyDescent="0.25">
      <c r="A10">
        <f t="shared" si="10"/>
        <v>5</v>
      </c>
      <c r="B10">
        <f t="shared" si="10"/>
        <v>2022</v>
      </c>
      <c r="C10" s="16">
        <f>MIN(MAX($A10-Inputs!$I$116,0),1)*Inputs!$I$117</f>
        <v>0</v>
      </c>
      <c r="D10" s="16">
        <f>MIN(MAX($A10-Inputs!$I$116,0),1)*Inputs!$I$118</f>
        <v>0</v>
      </c>
      <c r="E10" s="16">
        <f>MIN(MAX($A10-Inputs!$I$116,0),1)*Inputs!$I$119</f>
        <v>0</v>
      </c>
      <c r="F10" s="16">
        <f>MIN(MAX($A10-Inputs!$I$116,0),1)*Inputs!$I$120</f>
        <v>0</v>
      </c>
      <c r="G10" s="16">
        <f>MIN(MAX($A10-Inputs!$I$116,0),1)*Inputs!$I$121</f>
        <v>0</v>
      </c>
      <c r="H10" s="16">
        <f>MIN(MAX($A10-Inputs!$I$116,0),1)*Inputs!$I$122</f>
        <v>0</v>
      </c>
      <c r="I10" s="125">
        <f t="shared" si="0"/>
        <v>0</v>
      </c>
      <c r="J10" s="126">
        <f t="shared" si="1"/>
        <v>0</v>
      </c>
      <c r="K10" s="125">
        <f t="shared" si="2"/>
        <v>0</v>
      </c>
      <c r="L10" s="126">
        <f t="shared" si="3"/>
        <v>0</v>
      </c>
      <c r="M10" s="125">
        <f t="shared" si="4"/>
        <v>0</v>
      </c>
      <c r="N10" s="16">
        <f t="shared" si="5"/>
        <v>0</v>
      </c>
      <c r="O10" s="16">
        <f t="shared" si="6"/>
        <v>0</v>
      </c>
      <c r="P10" s="16">
        <f t="shared" si="7"/>
        <v>0</v>
      </c>
      <c r="Q10" s="16">
        <f t="shared" si="8"/>
        <v>0</v>
      </c>
      <c r="R10" s="13">
        <f t="shared" si="9"/>
        <v>0</v>
      </c>
    </row>
    <row r="11" spans="1:19" x14ac:dyDescent="0.25">
      <c r="A11">
        <f t="shared" si="10"/>
        <v>6</v>
      </c>
      <c r="B11">
        <f t="shared" si="10"/>
        <v>2023</v>
      </c>
      <c r="C11" s="16">
        <f>MIN(MAX($A11-Inputs!$I$116,0),1)*Inputs!$I$117</f>
        <v>0</v>
      </c>
      <c r="D11" s="16">
        <f>MIN(MAX($A11-Inputs!$I$116,0),1)*Inputs!$I$118</f>
        <v>0</v>
      </c>
      <c r="E11" s="16">
        <f>MIN(MAX($A11-Inputs!$I$116,0),1)*Inputs!$I$119</f>
        <v>0</v>
      </c>
      <c r="F11" s="16">
        <f>MIN(MAX($A11-Inputs!$I$116,0),1)*Inputs!$I$120</f>
        <v>0</v>
      </c>
      <c r="G11" s="16">
        <f>MIN(MAX($A11-Inputs!$I$116,0),1)*Inputs!$I$121</f>
        <v>0</v>
      </c>
      <c r="H11" s="16">
        <f>MIN(MAX($A11-Inputs!$I$116,0),1)*Inputs!$I$122</f>
        <v>0</v>
      </c>
      <c r="I11" s="125">
        <f t="shared" si="0"/>
        <v>0</v>
      </c>
      <c r="J11" s="126">
        <f t="shared" si="1"/>
        <v>0</v>
      </c>
      <c r="K11" s="125">
        <f t="shared" si="2"/>
        <v>0</v>
      </c>
      <c r="L11" s="126">
        <f t="shared" si="3"/>
        <v>0</v>
      </c>
      <c r="M11" s="125">
        <f t="shared" si="4"/>
        <v>0</v>
      </c>
      <c r="N11" s="16">
        <f t="shared" si="5"/>
        <v>0</v>
      </c>
      <c r="O11" s="16">
        <f t="shared" si="6"/>
        <v>0</v>
      </c>
      <c r="P11" s="16">
        <f t="shared" si="7"/>
        <v>0</v>
      </c>
      <c r="Q11" s="16">
        <f t="shared" si="8"/>
        <v>0</v>
      </c>
      <c r="R11" s="13">
        <f t="shared" si="9"/>
        <v>0</v>
      </c>
    </row>
    <row r="12" spans="1:19" x14ac:dyDescent="0.25">
      <c r="A12">
        <f t="shared" si="10"/>
        <v>7</v>
      </c>
      <c r="B12">
        <f t="shared" si="10"/>
        <v>2024</v>
      </c>
      <c r="C12" s="16">
        <f>MIN(MAX($A12-Inputs!$I$116,0),1)*Inputs!$I$117</f>
        <v>0</v>
      </c>
      <c r="D12" s="16">
        <f>MIN(MAX($A12-Inputs!$I$116,0),1)*Inputs!$I$118</f>
        <v>0</v>
      </c>
      <c r="E12" s="16">
        <f>MIN(MAX($A12-Inputs!$I$116,0),1)*Inputs!$I$119</f>
        <v>0</v>
      </c>
      <c r="F12" s="16">
        <f>MIN(MAX($A12-Inputs!$I$116,0),1)*Inputs!$I$120</f>
        <v>0</v>
      </c>
      <c r="G12" s="16">
        <f>MIN(MAX($A12-Inputs!$I$116,0),1)*Inputs!$I$121</f>
        <v>0</v>
      </c>
      <c r="H12" s="16">
        <f>MIN(MAX($A12-Inputs!$I$116,0),1)*Inputs!$I$122</f>
        <v>0</v>
      </c>
      <c r="I12" s="125">
        <f t="shared" si="0"/>
        <v>0</v>
      </c>
      <c r="J12" s="126">
        <f t="shared" si="1"/>
        <v>0</v>
      </c>
      <c r="K12" s="125">
        <f t="shared" si="2"/>
        <v>0</v>
      </c>
      <c r="L12" s="126">
        <f t="shared" si="3"/>
        <v>0</v>
      </c>
      <c r="M12" s="125">
        <f t="shared" si="4"/>
        <v>0</v>
      </c>
      <c r="N12" s="16">
        <f t="shared" si="5"/>
        <v>0</v>
      </c>
      <c r="O12" s="16">
        <f t="shared" si="6"/>
        <v>0</v>
      </c>
      <c r="P12" s="16">
        <f t="shared" si="7"/>
        <v>0</v>
      </c>
      <c r="Q12" s="16">
        <f t="shared" si="8"/>
        <v>0</v>
      </c>
      <c r="R12" s="13">
        <f t="shared" si="9"/>
        <v>0</v>
      </c>
    </row>
    <row r="13" spans="1:19" x14ac:dyDescent="0.25">
      <c r="A13">
        <f t="shared" si="10"/>
        <v>8</v>
      </c>
      <c r="B13">
        <f t="shared" si="10"/>
        <v>2025</v>
      </c>
      <c r="C13" s="16">
        <f>MIN(MAX($A13-Inputs!$I$116,0),1)*Inputs!$I$117</f>
        <v>0</v>
      </c>
      <c r="D13" s="16">
        <f>MIN(MAX($A13-Inputs!$I$116,0),1)*Inputs!$I$118</f>
        <v>0</v>
      </c>
      <c r="E13" s="16">
        <f>MIN(MAX($A13-Inputs!$I$116,0),1)*Inputs!$I$119</f>
        <v>0</v>
      </c>
      <c r="F13" s="16">
        <f>MIN(MAX($A13-Inputs!$I$116,0),1)*Inputs!$I$120</f>
        <v>0</v>
      </c>
      <c r="G13" s="16">
        <f>MIN(MAX($A13-Inputs!$I$116,0),1)*Inputs!$I$121</f>
        <v>0</v>
      </c>
      <c r="H13" s="16">
        <f>MIN(MAX($A13-Inputs!$I$116,0),1)*Inputs!$I$122</f>
        <v>0</v>
      </c>
      <c r="I13" s="125">
        <f t="shared" si="0"/>
        <v>0</v>
      </c>
      <c r="J13" s="126">
        <f t="shared" si="1"/>
        <v>0</v>
      </c>
      <c r="K13" s="125">
        <f t="shared" si="2"/>
        <v>0</v>
      </c>
      <c r="L13" s="126">
        <f t="shared" si="3"/>
        <v>0</v>
      </c>
      <c r="M13" s="125">
        <f t="shared" si="4"/>
        <v>0</v>
      </c>
      <c r="N13" s="16">
        <f t="shared" si="5"/>
        <v>0</v>
      </c>
      <c r="O13" s="16">
        <f t="shared" si="6"/>
        <v>0</v>
      </c>
      <c r="P13" s="16">
        <f t="shared" si="7"/>
        <v>0</v>
      </c>
      <c r="Q13" s="16">
        <f t="shared" si="8"/>
        <v>0</v>
      </c>
      <c r="R13" s="13">
        <f t="shared" si="9"/>
        <v>0</v>
      </c>
    </row>
    <row r="14" spans="1:19" x14ac:dyDescent="0.25">
      <c r="A14">
        <f t="shared" si="10"/>
        <v>9</v>
      </c>
      <c r="B14">
        <f t="shared" si="10"/>
        <v>2026</v>
      </c>
      <c r="C14" s="16">
        <f>MIN(MAX($A14-Inputs!$I$116,0),1)*Inputs!$I$117</f>
        <v>0</v>
      </c>
      <c r="D14" s="16">
        <f>MIN(MAX($A14-Inputs!$I$116,0),1)*Inputs!$I$118</f>
        <v>0</v>
      </c>
      <c r="E14" s="16">
        <f>MIN(MAX($A14-Inputs!$I$116,0),1)*Inputs!$I$119</f>
        <v>0</v>
      </c>
      <c r="F14" s="16">
        <f>MIN(MAX($A14-Inputs!$I$116,0),1)*Inputs!$I$120</f>
        <v>0</v>
      </c>
      <c r="G14" s="16">
        <f>MIN(MAX($A14-Inputs!$I$116,0),1)*Inputs!$I$121</f>
        <v>0</v>
      </c>
      <c r="H14" s="16">
        <f>MIN(MAX($A14-Inputs!$I$116,0),1)*Inputs!$I$122</f>
        <v>0</v>
      </c>
      <c r="I14" s="125">
        <f t="shared" si="0"/>
        <v>0</v>
      </c>
      <c r="J14" s="126">
        <f t="shared" si="1"/>
        <v>0</v>
      </c>
      <c r="K14" s="125">
        <f t="shared" si="2"/>
        <v>0</v>
      </c>
      <c r="L14" s="126">
        <f t="shared" si="3"/>
        <v>0</v>
      </c>
      <c r="M14" s="125">
        <f t="shared" si="4"/>
        <v>0</v>
      </c>
      <c r="N14" s="16">
        <f t="shared" si="5"/>
        <v>0</v>
      </c>
      <c r="O14" s="16">
        <f t="shared" si="6"/>
        <v>0</v>
      </c>
      <c r="P14" s="16">
        <f t="shared" si="7"/>
        <v>0</v>
      </c>
      <c r="Q14" s="16">
        <f t="shared" si="8"/>
        <v>0</v>
      </c>
      <c r="R14" s="13">
        <f t="shared" si="9"/>
        <v>0</v>
      </c>
    </row>
    <row r="15" spans="1:19" x14ac:dyDescent="0.25">
      <c r="A15">
        <f t="shared" si="10"/>
        <v>10</v>
      </c>
      <c r="B15">
        <f t="shared" si="10"/>
        <v>2027</v>
      </c>
      <c r="C15" s="16">
        <f>MIN(MAX($A15-Inputs!$I$116,0),1)*Inputs!$I$117</f>
        <v>0</v>
      </c>
      <c r="D15" s="16">
        <f>MIN(MAX($A15-Inputs!$I$116,0),1)*Inputs!$I$118</f>
        <v>0</v>
      </c>
      <c r="E15" s="16">
        <f>MIN(MAX($A15-Inputs!$I$116,0),1)*Inputs!$I$119</f>
        <v>0</v>
      </c>
      <c r="F15" s="16">
        <f>MIN(MAX($A15-Inputs!$I$116,0),1)*Inputs!$I$120</f>
        <v>0</v>
      </c>
      <c r="G15" s="16">
        <f>MIN(MAX($A15-Inputs!$I$116,0),1)*Inputs!$I$121</f>
        <v>0</v>
      </c>
      <c r="H15" s="16">
        <f>MIN(MAX($A15-Inputs!$I$116,0),1)*Inputs!$I$122</f>
        <v>0</v>
      </c>
      <c r="I15" s="125">
        <f t="shared" si="0"/>
        <v>0</v>
      </c>
      <c r="J15" s="126">
        <f t="shared" si="1"/>
        <v>0</v>
      </c>
      <c r="K15" s="125">
        <f t="shared" si="2"/>
        <v>0</v>
      </c>
      <c r="L15" s="126">
        <f t="shared" si="3"/>
        <v>0</v>
      </c>
      <c r="M15" s="125">
        <f t="shared" si="4"/>
        <v>0</v>
      </c>
      <c r="N15" s="16">
        <f t="shared" si="5"/>
        <v>0</v>
      </c>
      <c r="O15" s="16">
        <f t="shared" si="6"/>
        <v>0</v>
      </c>
      <c r="P15" s="16">
        <f t="shared" si="7"/>
        <v>0</v>
      </c>
      <c r="Q15" s="16">
        <f t="shared" si="8"/>
        <v>0</v>
      </c>
      <c r="R15" s="13">
        <f t="shared" si="9"/>
        <v>0</v>
      </c>
    </row>
    <row r="16" spans="1:19" x14ac:dyDescent="0.25">
      <c r="A16">
        <f t="shared" si="10"/>
        <v>11</v>
      </c>
      <c r="B16">
        <f t="shared" si="10"/>
        <v>2028</v>
      </c>
      <c r="C16" s="16">
        <f>MIN(MAX($A16-Inputs!$I$116,0),1)*Inputs!$I$117</f>
        <v>0.5</v>
      </c>
      <c r="D16" s="16">
        <f>MIN(MAX($A16-Inputs!$I$116,0),1)*Inputs!$I$118</f>
        <v>0.25</v>
      </c>
      <c r="E16" s="16">
        <f>MIN(MAX($A16-Inputs!$I$116,0),1)*Inputs!$I$119</f>
        <v>0.1</v>
      </c>
      <c r="F16" s="16">
        <f>MIN(MAX($A16-Inputs!$I$116,0),1)*Inputs!$I$120</f>
        <v>0.25</v>
      </c>
      <c r="G16" s="16">
        <f>MIN(MAX($A16-Inputs!$I$116,0),1)*Inputs!$I$121</f>
        <v>0.1</v>
      </c>
      <c r="H16" s="16">
        <f>MIN(MAX($A16-Inputs!$I$116,0),1)*Inputs!$I$122</f>
        <v>0.05</v>
      </c>
      <c r="I16" s="125">
        <f t="shared" si="0"/>
        <v>0.1014955357142857</v>
      </c>
      <c r="J16" s="126">
        <f t="shared" si="1"/>
        <v>0.19437499999999996</v>
      </c>
      <c r="K16" s="125">
        <f t="shared" si="2"/>
        <v>2.0999999999999998E-2</v>
      </c>
      <c r="L16" s="126">
        <f t="shared" si="3"/>
        <v>0.17544642857142856</v>
      </c>
      <c r="M16" s="125">
        <f t="shared" si="4"/>
        <v>8.0178571428571432E-2</v>
      </c>
      <c r="N16" s="16">
        <f t="shared" si="5"/>
        <v>5.0127551020408161E-2</v>
      </c>
      <c r="O16" s="16">
        <f t="shared" si="6"/>
        <v>0.12531887755102042</v>
      </c>
      <c r="P16" s="16">
        <f t="shared" si="7"/>
        <v>1.6035714285714289E-2</v>
      </c>
      <c r="Q16" s="16">
        <f t="shared" si="8"/>
        <v>6.4142857142857154E-2</v>
      </c>
      <c r="R16" s="13">
        <f t="shared" si="9"/>
        <v>9.6214285714285724E-3</v>
      </c>
    </row>
    <row r="17" spans="1:18" x14ac:dyDescent="0.25">
      <c r="A17">
        <f t="shared" si="10"/>
        <v>12</v>
      </c>
      <c r="B17">
        <f t="shared" si="10"/>
        <v>2029</v>
      </c>
      <c r="C17" s="16">
        <f>MIN(MAX($A17-Inputs!$I$116,0),1)*Inputs!$I$117</f>
        <v>0.5</v>
      </c>
      <c r="D17" s="16">
        <f>MIN(MAX($A17-Inputs!$I$116,0),1)*Inputs!$I$118</f>
        <v>0.25</v>
      </c>
      <c r="E17" s="16">
        <f>MIN(MAX($A17-Inputs!$I$116,0),1)*Inputs!$I$119</f>
        <v>0.1</v>
      </c>
      <c r="F17" s="16">
        <f>MIN(MAX($A17-Inputs!$I$116,0),1)*Inputs!$I$120</f>
        <v>0.25</v>
      </c>
      <c r="G17" s="16">
        <f>MIN(MAX($A17-Inputs!$I$116,0),1)*Inputs!$I$121</f>
        <v>0.1</v>
      </c>
      <c r="H17" s="16">
        <f>MIN(MAX($A17-Inputs!$I$116,0),1)*Inputs!$I$122</f>
        <v>0.05</v>
      </c>
      <c r="I17" s="125">
        <f t="shared" si="0"/>
        <v>0.1014955357142857</v>
      </c>
      <c r="J17" s="126">
        <f t="shared" si="1"/>
        <v>0.19437499999999996</v>
      </c>
      <c r="K17" s="125">
        <f t="shared" si="2"/>
        <v>2.0999999999999998E-2</v>
      </c>
      <c r="L17" s="126">
        <f t="shared" si="3"/>
        <v>0.17544642857142856</v>
      </c>
      <c r="M17" s="125">
        <f t="shared" si="4"/>
        <v>8.0178571428571432E-2</v>
      </c>
      <c r="N17" s="16">
        <f t="shared" si="5"/>
        <v>5.0127551020408161E-2</v>
      </c>
      <c r="O17" s="16">
        <f t="shared" si="6"/>
        <v>0.12531887755102042</v>
      </c>
      <c r="P17" s="16">
        <f t="shared" si="7"/>
        <v>1.6035714285714289E-2</v>
      </c>
      <c r="Q17" s="16">
        <f t="shared" si="8"/>
        <v>6.4142857142857154E-2</v>
      </c>
      <c r="R17" s="13">
        <f t="shared" si="9"/>
        <v>9.6214285714285724E-3</v>
      </c>
    </row>
    <row r="18" spans="1:18" x14ac:dyDescent="0.25">
      <c r="A18">
        <f t="shared" si="10"/>
        <v>13</v>
      </c>
      <c r="B18">
        <f t="shared" si="10"/>
        <v>2030</v>
      </c>
      <c r="C18" s="16">
        <f>MIN(MAX($A18-Inputs!$I$116,0),1)*Inputs!$I$117</f>
        <v>0.5</v>
      </c>
      <c r="D18" s="16">
        <f>MIN(MAX($A18-Inputs!$I$116,0),1)*Inputs!$I$118</f>
        <v>0.25</v>
      </c>
      <c r="E18" s="16">
        <f>MIN(MAX($A18-Inputs!$I$116,0),1)*Inputs!$I$119</f>
        <v>0.1</v>
      </c>
      <c r="F18" s="16">
        <f>MIN(MAX($A18-Inputs!$I$116,0),1)*Inputs!$I$120</f>
        <v>0.25</v>
      </c>
      <c r="G18" s="16">
        <f>MIN(MAX($A18-Inputs!$I$116,0),1)*Inputs!$I$121</f>
        <v>0.1</v>
      </c>
      <c r="H18" s="16">
        <f>MIN(MAX($A18-Inputs!$I$116,0),1)*Inputs!$I$122</f>
        <v>0.05</v>
      </c>
      <c r="I18" s="125">
        <f t="shared" si="0"/>
        <v>0.1014955357142857</v>
      </c>
      <c r="J18" s="126">
        <f t="shared" si="1"/>
        <v>0.19437499999999996</v>
      </c>
      <c r="K18" s="125">
        <f t="shared" si="2"/>
        <v>2.0999999999999998E-2</v>
      </c>
      <c r="L18" s="126">
        <f t="shared" si="3"/>
        <v>0.17544642857142856</v>
      </c>
      <c r="M18" s="125">
        <f t="shared" si="4"/>
        <v>8.0178571428571432E-2</v>
      </c>
      <c r="N18" s="16">
        <f t="shared" si="5"/>
        <v>5.0127551020408161E-2</v>
      </c>
      <c r="O18" s="16">
        <f t="shared" si="6"/>
        <v>0.12531887755102042</v>
      </c>
      <c r="P18" s="16">
        <f t="shared" si="7"/>
        <v>1.6035714285714289E-2</v>
      </c>
      <c r="Q18" s="16">
        <f t="shared" si="8"/>
        <v>6.4142857142857154E-2</v>
      </c>
      <c r="R18" s="13">
        <f t="shared" si="9"/>
        <v>9.6214285714285724E-3</v>
      </c>
    </row>
    <row r="19" spans="1:18" x14ac:dyDescent="0.25">
      <c r="A19">
        <f t="shared" si="10"/>
        <v>14</v>
      </c>
      <c r="B19">
        <f t="shared" si="10"/>
        <v>2031</v>
      </c>
      <c r="C19" s="16">
        <f>MIN(MAX($A19-Inputs!$I$116,0),1)*Inputs!$I$117</f>
        <v>0.5</v>
      </c>
      <c r="D19" s="16">
        <f>MIN(MAX($A19-Inputs!$I$116,0),1)*Inputs!$I$118</f>
        <v>0.25</v>
      </c>
      <c r="E19" s="16">
        <f>MIN(MAX($A19-Inputs!$I$116,0),1)*Inputs!$I$119</f>
        <v>0.1</v>
      </c>
      <c r="F19" s="16">
        <f>MIN(MAX($A19-Inputs!$I$116,0),1)*Inputs!$I$120</f>
        <v>0.25</v>
      </c>
      <c r="G19" s="16">
        <f>MIN(MAX($A19-Inputs!$I$116,0),1)*Inputs!$I$121</f>
        <v>0.1</v>
      </c>
      <c r="H19" s="16">
        <f>MIN(MAX($A19-Inputs!$I$116,0),1)*Inputs!$I$122</f>
        <v>0.05</v>
      </c>
      <c r="I19" s="125">
        <f t="shared" si="0"/>
        <v>0.1014955357142857</v>
      </c>
      <c r="J19" s="126">
        <f t="shared" si="1"/>
        <v>0.19437499999999996</v>
      </c>
      <c r="K19" s="125">
        <f t="shared" si="2"/>
        <v>2.0999999999999998E-2</v>
      </c>
      <c r="L19" s="126">
        <f t="shared" si="3"/>
        <v>0.17544642857142856</v>
      </c>
      <c r="M19" s="125">
        <f t="shared" si="4"/>
        <v>8.0178571428571432E-2</v>
      </c>
      <c r="N19" s="16">
        <f t="shared" si="5"/>
        <v>5.0127551020408161E-2</v>
      </c>
      <c r="O19" s="16">
        <f t="shared" si="6"/>
        <v>0.12531887755102042</v>
      </c>
      <c r="P19" s="16">
        <f t="shared" si="7"/>
        <v>1.6035714285714289E-2</v>
      </c>
      <c r="Q19" s="16">
        <f t="shared" si="8"/>
        <v>6.4142857142857154E-2</v>
      </c>
      <c r="R19" s="13">
        <f t="shared" si="9"/>
        <v>9.6214285714285724E-3</v>
      </c>
    </row>
    <row r="20" spans="1:18" x14ac:dyDescent="0.25">
      <c r="A20">
        <f t="shared" si="10"/>
        <v>15</v>
      </c>
      <c r="B20">
        <f t="shared" si="10"/>
        <v>2032</v>
      </c>
      <c r="C20" s="16">
        <f>MIN(MAX($A20-Inputs!$I$116,0),1)*Inputs!$I$117</f>
        <v>0.5</v>
      </c>
      <c r="D20" s="16">
        <f>MIN(MAX($A20-Inputs!$I$116,0),1)*Inputs!$I$118</f>
        <v>0.25</v>
      </c>
      <c r="E20" s="16">
        <f>MIN(MAX($A20-Inputs!$I$116,0),1)*Inputs!$I$119</f>
        <v>0.1</v>
      </c>
      <c r="F20" s="16">
        <f>MIN(MAX($A20-Inputs!$I$116,0),1)*Inputs!$I$120</f>
        <v>0.25</v>
      </c>
      <c r="G20" s="16">
        <f>MIN(MAX($A20-Inputs!$I$116,0),1)*Inputs!$I$121</f>
        <v>0.1</v>
      </c>
      <c r="H20" s="16">
        <f>MIN(MAX($A20-Inputs!$I$116,0),1)*Inputs!$I$122</f>
        <v>0.05</v>
      </c>
      <c r="I20" s="125">
        <f t="shared" si="0"/>
        <v>0.1014955357142857</v>
      </c>
      <c r="J20" s="126">
        <f t="shared" si="1"/>
        <v>0.19437499999999996</v>
      </c>
      <c r="K20" s="125">
        <f t="shared" si="2"/>
        <v>2.0999999999999998E-2</v>
      </c>
      <c r="L20" s="126">
        <f t="shared" si="3"/>
        <v>0.17544642857142856</v>
      </c>
      <c r="M20" s="125">
        <f t="shared" si="4"/>
        <v>8.0178571428571432E-2</v>
      </c>
      <c r="N20" s="16">
        <f t="shared" si="5"/>
        <v>5.0127551020408161E-2</v>
      </c>
      <c r="O20" s="16">
        <f t="shared" si="6"/>
        <v>0.12531887755102042</v>
      </c>
      <c r="P20" s="16">
        <f t="shared" si="7"/>
        <v>1.6035714285714289E-2</v>
      </c>
      <c r="Q20" s="16">
        <f t="shared" si="8"/>
        <v>6.4142857142857154E-2</v>
      </c>
      <c r="R20" s="13">
        <f t="shared" si="9"/>
        <v>9.6214285714285724E-3</v>
      </c>
    </row>
    <row r="21" spans="1:18" x14ac:dyDescent="0.25">
      <c r="A21">
        <f t="shared" si="10"/>
        <v>16</v>
      </c>
      <c r="B21">
        <f t="shared" si="10"/>
        <v>2033</v>
      </c>
      <c r="C21" s="16">
        <f>MIN(MAX($A21-Inputs!$I$116,0),1)*Inputs!$I$117</f>
        <v>0.5</v>
      </c>
      <c r="D21" s="16">
        <f>MIN(MAX($A21-Inputs!$I$116,0),1)*Inputs!$I$118</f>
        <v>0.25</v>
      </c>
      <c r="E21" s="16">
        <f>MIN(MAX($A21-Inputs!$I$116,0),1)*Inputs!$I$119</f>
        <v>0.1</v>
      </c>
      <c r="F21" s="16">
        <f>MIN(MAX($A21-Inputs!$I$116,0),1)*Inputs!$I$120</f>
        <v>0.25</v>
      </c>
      <c r="G21" s="16">
        <f>MIN(MAX($A21-Inputs!$I$116,0),1)*Inputs!$I$121</f>
        <v>0.1</v>
      </c>
      <c r="H21" s="16">
        <f>MIN(MAX($A21-Inputs!$I$116,0),1)*Inputs!$I$122</f>
        <v>0.05</v>
      </c>
      <c r="I21" s="125">
        <f t="shared" si="0"/>
        <v>0.1014955357142857</v>
      </c>
      <c r="J21" s="126">
        <f t="shared" si="1"/>
        <v>0.19437499999999996</v>
      </c>
      <c r="K21" s="125">
        <f t="shared" si="2"/>
        <v>2.0999999999999998E-2</v>
      </c>
      <c r="L21" s="126">
        <f t="shared" si="3"/>
        <v>0.17544642857142856</v>
      </c>
      <c r="M21" s="125">
        <f t="shared" si="4"/>
        <v>8.0178571428571432E-2</v>
      </c>
      <c r="N21" s="16">
        <f t="shared" si="5"/>
        <v>5.0127551020408161E-2</v>
      </c>
      <c r="O21" s="16">
        <f t="shared" si="6"/>
        <v>0.12531887755102042</v>
      </c>
      <c r="P21" s="16">
        <f t="shared" si="7"/>
        <v>1.6035714285714289E-2</v>
      </c>
      <c r="Q21" s="16">
        <f t="shared" si="8"/>
        <v>6.4142857142857154E-2</v>
      </c>
      <c r="R21" s="13">
        <f t="shared" si="9"/>
        <v>9.6214285714285724E-3</v>
      </c>
    </row>
    <row r="22" spans="1:18" x14ac:dyDescent="0.25">
      <c r="A22">
        <f t="shared" si="10"/>
        <v>17</v>
      </c>
      <c r="B22">
        <f t="shared" si="10"/>
        <v>2034</v>
      </c>
      <c r="C22" s="16">
        <f>MIN(MAX($A22-Inputs!$I$116,0),1)*Inputs!$I$117</f>
        <v>0.5</v>
      </c>
      <c r="D22" s="16">
        <f>MIN(MAX($A22-Inputs!$I$116,0),1)*Inputs!$I$118</f>
        <v>0.25</v>
      </c>
      <c r="E22" s="16">
        <f>MIN(MAX($A22-Inputs!$I$116,0),1)*Inputs!$I$119</f>
        <v>0.1</v>
      </c>
      <c r="F22" s="16">
        <f>MIN(MAX($A22-Inputs!$I$116,0),1)*Inputs!$I$120</f>
        <v>0.25</v>
      </c>
      <c r="G22" s="16">
        <f>MIN(MAX($A22-Inputs!$I$116,0),1)*Inputs!$I$121</f>
        <v>0.1</v>
      </c>
      <c r="H22" s="16">
        <f>MIN(MAX($A22-Inputs!$I$116,0),1)*Inputs!$I$122</f>
        <v>0.05</v>
      </c>
      <c r="I22" s="125">
        <f t="shared" si="0"/>
        <v>0.1014955357142857</v>
      </c>
      <c r="J22" s="126">
        <f t="shared" si="1"/>
        <v>0.19437499999999996</v>
      </c>
      <c r="K22" s="125">
        <f t="shared" si="2"/>
        <v>2.0999999999999998E-2</v>
      </c>
      <c r="L22" s="126">
        <f t="shared" si="3"/>
        <v>0.17544642857142856</v>
      </c>
      <c r="M22" s="125">
        <f t="shared" si="4"/>
        <v>8.0178571428571432E-2</v>
      </c>
      <c r="N22" s="16">
        <f t="shared" si="5"/>
        <v>5.0127551020408161E-2</v>
      </c>
      <c r="O22" s="16">
        <f t="shared" si="6"/>
        <v>0.12531887755102042</v>
      </c>
      <c r="P22" s="16">
        <f t="shared" si="7"/>
        <v>1.6035714285714289E-2</v>
      </c>
      <c r="Q22" s="16">
        <f t="shared" si="8"/>
        <v>6.4142857142857154E-2</v>
      </c>
      <c r="R22" s="13">
        <f t="shared" si="9"/>
        <v>9.6214285714285724E-3</v>
      </c>
    </row>
    <row r="23" spans="1:18" x14ac:dyDescent="0.25">
      <c r="A23">
        <f t="shared" si="10"/>
        <v>18</v>
      </c>
      <c r="B23">
        <f t="shared" si="10"/>
        <v>2035</v>
      </c>
      <c r="C23" s="16">
        <f>MIN(MAX($A23-Inputs!$I$116,0),1)*Inputs!$I$117</f>
        <v>0.5</v>
      </c>
      <c r="D23" s="16">
        <f>MIN(MAX($A23-Inputs!$I$116,0),1)*Inputs!$I$118</f>
        <v>0.25</v>
      </c>
      <c r="E23" s="16">
        <f>MIN(MAX($A23-Inputs!$I$116,0),1)*Inputs!$I$119</f>
        <v>0.1</v>
      </c>
      <c r="F23" s="16">
        <f>MIN(MAX($A23-Inputs!$I$116,0),1)*Inputs!$I$120</f>
        <v>0.25</v>
      </c>
      <c r="G23" s="16">
        <f>MIN(MAX($A23-Inputs!$I$116,0),1)*Inputs!$I$121</f>
        <v>0.1</v>
      </c>
      <c r="H23" s="16">
        <f>MIN(MAX($A23-Inputs!$I$116,0),1)*Inputs!$I$122</f>
        <v>0.05</v>
      </c>
      <c r="I23" s="125">
        <f t="shared" si="0"/>
        <v>0.1014955357142857</v>
      </c>
      <c r="J23" s="126">
        <f t="shared" si="1"/>
        <v>0.19437499999999996</v>
      </c>
      <c r="K23" s="125">
        <f t="shared" si="2"/>
        <v>2.0999999999999998E-2</v>
      </c>
      <c r="L23" s="126">
        <f t="shared" si="3"/>
        <v>0.17544642857142856</v>
      </c>
      <c r="M23" s="125">
        <f t="shared" si="4"/>
        <v>8.0178571428571432E-2</v>
      </c>
      <c r="N23" s="16">
        <f t="shared" si="5"/>
        <v>5.0127551020408161E-2</v>
      </c>
      <c r="O23" s="16">
        <f t="shared" si="6"/>
        <v>0.12531887755102042</v>
      </c>
      <c r="P23" s="16">
        <f t="shared" si="7"/>
        <v>1.6035714285714289E-2</v>
      </c>
      <c r="Q23" s="16">
        <f t="shared" si="8"/>
        <v>6.4142857142857154E-2</v>
      </c>
      <c r="R23" s="13">
        <f t="shared" si="9"/>
        <v>9.6214285714285724E-3</v>
      </c>
    </row>
    <row r="24" spans="1:18" x14ac:dyDescent="0.25">
      <c r="A24">
        <f t="shared" ref="A24:B39" si="11">A23+1</f>
        <v>19</v>
      </c>
      <c r="B24">
        <f t="shared" si="11"/>
        <v>2036</v>
      </c>
      <c r="C24" s="16">
        <f>MIN(MAX($A24-Inputs!$I$116,0),1)*Inputs!$I$117</f>
        <v>0.5</v>
      </c>
      <c r="D24" s="16">
        <f>MIN(MAX($A24-Inputs!$I$116,0),1)*Inputs!$I$118</f>
        <v>0.25</v>
      </c>
      <c r="E24" s="16">
        <f>MIN(MAX($A24-Inputs!$I$116,0),1)*Inputs!$I$119</f>
        <v>0.1</v>
      </c>
      <c r="F24" s="16">
        <f>MIN(MAX($A24-Inputs!$I$116,0),1)*Inputs!$I$120</f>
        <v>0.25</v>
      </c>
      <c r="G24" s="16">
        <f>MIN(MAX($A24-Inputs!$I$116,0),1)*Inputs!$I$121</f>
        <v>0.1</v>
      </c>
      <c r="H24" s="16">
        <f>MIN(MAX($A24-Inputs!$I$116,0),1)*Inputs!$I$122</f>
        <v>0.05</v>
      </c>
      <c r="I24" s="125">
        <f t="shared" si="0"/>
        <v>0.1014955357142857</v>
      </c>
      <c r="J24" s="126">
        <f t="shared" si="1"/>
        <v>0.19437499999999996</v>
      </c>
      <c r="K24" s="125">
        <f t="shared" si="2"/>
        <v>2.0999999999999998E-2</v>
      </c>
      <c r="L24" s="126">
        <f t="shared" si="3"/>
        <v>0.17544642857142856</v>
      </c>
      <c r="M24" s="125">
        <f t="shared" si="4"/>
        <v>8.0178571428571432E-2</v>
      </c>
      <c r="N24" s="16">
        <f t="shared" si="5"/>
        <v>5.0127551020408161E-2</v>
      </c>
      <c r="O24" s="16">
        <f t="shared" si="6"/>
        <v>0.12531887755102042</v>
      </c>
      <c r="P24" s="16">
        <f t="shared" si="7"/>
        <v>1.6035714285714289E-2</v>
      </c>
      <c r="Q24" s="16">
        <f t="shared" si="8"/>
        <v>6.4142857142857154E-2</v>
      </c>
      <c r="R24" s="13">
        <f t="shared" si="9"/>
        <v>9.6214285714285724E-3</v>
      </c>
    </row>
    <row r="25" spans="1:18" x14ac:dyDescent="0.25">
      <c r="A25">
        <f t="shared" si="11"/>
        <v>20</v>
      </c>
      <c r="B25">
        <f t="shared" si="11"/>
        <v>2037</v>
      </c>
      <c r="C25" s="16">
        <f>MIN(MAX($A25-Inputs!$I$116,0),1)*Inputs!$I$117</f>
        <v>0.5</v>
      </c>
      <c r="D25" s="16">
        <f>MIN(MAX($A25-Inputs!$I$116,0),1)*Inputs!$I$118</f>
        <v>0.25</v>
      </c>
      <c r="E25" s="16">
        <f>MIN(MAX($A25-Inputs!$I$116,0),1)*Inputs!$I$119</f>
        <v>0.1</v>
      </c>
      <c r="F25" s="16">
        <f>MIN(MAX($A25-Inputs!$I$116,0),1)*Inputs!$I$120</f>
        <v>0.25</v>
      </c>
      <c r="G25" s="16">
        <f>MIN(MAX($A25-Inputs!$I$116,0),1)*Inputs!$I$121</f>
        <v>0.1</v>
      </c>
      <c r="H25" s="16">
        <f>MIN(MAX($A25-Inputs!$I$116,0),1)*Inputs!$I$122</f>
        <v>0.05</v>
      </c>
      <c r="I25" s="125">
        <f t="shared" si="0"/>
        <v>0.1014955357142857</v>
      </c>
      <c r="J25" s="126">
        <f t="shared" si="1"/>
        <v>0.19437499999999996</v>
      </c>
      <c r="K25" s="125">
        <f t="shared" si="2"/>
        <v>2.0999999999999998E-2</v>
      </c>
      <c r="L25" s="126">
        <f t="shared" si="3"/>
        <v>0.17544642857142856</v>
      </c>
      <c r="M25" s="125">
        <f t="shared" si="4"/>
        <v>8.0178571428571432E-2</v>
      </c>
      <c r="N25" s="16">
        <f t="shared" si="5"/>
        <v>5.0127551020408161E-2</v>
      </c>
      <c r="O25" s="16">
        <f t="shared" si="6"/>
        <v>0.12531887755102042</v>
      </c>
      <c r="P25" s="16">
        <f t="shared" si="7"/>
        <v>1.6035714285714289E-2</v>
      </c>
      <c r="Q25" s="16">
        <f t="shared" si="8"/>
        <v>6.4142857142857154E-2</v>
      </c>
      <c r="R25" s="13">
        <f t="shared" si="9"/>
        <v>9.6214285714285724E-3</v>
      </c>
    </row>
    <row r="26" spans="1:18" x14ac:dyDescent="0.25">
      <c r="A26">
        <f t="shared" si="11"/>
        <v>21</v>
      </c>
      <c r="B26">
        <f t="shared" si="11"/>
        <v>2038</v>
      </c>
      <c r="C26" s="16">
        <f>MIN(MAX($A26-Inputs!$I$116,0),1)*Inputs!$I$117</f>
        <v>0.5</v>
      </c>
      <c r="D26" s="16">
        <f>MIN(MAX($A26-Inputs!$I$116,0),1)*Inputs!$I$118</f>
        <v>0.25</v>
      </c>
      <c r="E26" s="16">
        <f>MIN(MAX($A26-Inputs!$I$116,0),1)*Inputs!$I$119</f>
        <v>0.1</v>
      </c>
      <c r="F26" s="16">
        <f>MIN(MAX($A26-Inputs!$I$116,0),1)*Inputs!$I$120</f>
        <v>0.25</v>
      </c>
      <c r="G26" s="16">
        <f>MIN(MAX($A26-Inputs!$I$116,0),1)*Inputs!$I$121</f>
        <v>0.1</v>
      </c>
      <c r="H26" s="16">
        <f>MIN(MAX($A26-Inputs!$I$116,0),1)*Inputs!$I$122</f>
        <v>0.05</v>
      </c>
      <c r="I26" s="125">
        <f t="shared" si="0"/>
        <v>0.1014955357142857</v>
      </c>
      <c r="J26" s="126">
        <f t="shared" si="1"/>
        <v>0.19437499999999996</v>
      </c>
      <c r="K26" s="125">
        <f t="shared" si="2"/>
        <v>2.0999999999999998E-2</v>
      </c>
      <c r="L26" s="126">
        <f t="shared" si="3"/>
        <v>0.17544642857142856</v>
      </c>
      <c r="M26" s="125">
        <f t="shared" si="4"/>
        <v>8.0178571428571432E-2</v>
      </c>
      <c r="N26" s="16">
        <f t="shared" si="5"/>
        <v>5.0127551020408161E-2</v>
      </c>
      <c r="O26" s="16">
        <f t="shared" si="6"/>
        <v>0.12531887755102042</v>
      </c>
      <c r="P26" s="16">
        <f t="shared" si="7"/>
        <v>1.6035714285714289E-2</v>
      </c>
      <c r="Q26" s="16">
        <f t="shared" si="8"/>
        <v>6.4142857142857154E-2</v>
      </c>
      <c r="R26" s="13">
        <f t="shared" si="9"/>
        <v>9.6214285714285724E-3</v>
      </c>
    </row>
    <row r="27" spans="1:18" x14ac:dyDescent="0.25">
      <c r="A27">
        <f t="shared" si="11"/>
        <v>22</v>
      </c>
      <c r="B27">
        <f t="shared" si="11"/>
        <v>2039</v>
      </c>
      <c r="C27" s="16">
        <f>MIN(MAX($A27-Inputs!$I$116,0),1)*Inputs!$I$117</f>
        <v>0.5</v>
      </c>
      <c r="D27" s="16">
        <f>MIN(MAX($A27-Inputs!$I$116,0),1)*Inputs!$I$118</f>
        <v>0.25</v>
      </c>
      <c r="E27" s="16">
        <f>MIN(MAX($A27-Inputs!$I$116,0),1)*Inputs!$I$119</f>
        <v>0.1</v>
      </c>
      <c r="F27" s="16">
        <f>MIN(MAX($A27-Inputs!$I$116,0),1)*Inputs!$I$120</f>
        <v>0.25</v>
      </c>
      <c r="G27" s="16">
        <f>MIN(MAX($A27-Inputs!$I$116,0),1)*Inputs!$I$121</f>
        <v>0.1</v>
      </c>
      <c r="H27" s="16">
        <f>MIN(MAX($A27-Inputs!$I$116,0),1)*Inputs!$I$122</f>
        <v>0.05</v>
      </c>
      <c r="I27" s="125">
        <f t="shared" si="0"/>
        <v>0.1014955357142857</v>
      </c>
      <c r="J27" s="126">
        <f t="shared" si="1"/>
        <v>0.19437499999999996</v>
      </c>
      <c r="K27" s="125">
        <f t="shared" si="2"/>
        <v>2.0999999999999998E-2</v>
      </c>
      <c r="L27" s="126">
        <f t="shared" si="3"/>
        <v>0.17544642857142856</v>
      </c>
      <c r="M27" s="125">
        <f t="shared" si="4"/>
        <v>8.0178571428571432E-2</v>
      </c>
      <c r="N27" s="16">
        <f t="shared" si="5"/>
        <v>5.0127551020408161E-2</v>
      </c>
      <c r="O27" s="16">
        <f t="shared" si="6"/>
        <v>0.12531887755102042</v>
      </c>
      <c r="P27" s="16">
        <f t="shared" si="7"/>
        <v>1.6035714285714289E-2</v>
      </c>
      <c r="Q27" s="16">
        <f t="shared" si="8"/>
        <v>6.4142857142857154E-2</v>
      </c>
      <c r="R27" s="13">
        <f t="shared" si="9"/>
        <v>9.6214285714285724E-3</v>
      </c>
    </row>
    <row r="28" spans="1:18" x14ac:dyDescent="0.25">
      <c r="A28">
        <f t="shared" si="11"/>
        <v>23</v>
      </c>
      <c r="B28">
        <f t="shared" si="11"/>
        <v>2040</v>
      </c>
      <c r="C28" s="16">
        <f>MIN(MAX($A28-Inputs!$I$116,0),1)*Inputs!$I$117</f>
        <v>0.5</v>
      </c>
      <c r="D28" s="16">
        <f>MIN(MAX($A28-Inputs!$I$116,0),1)*Inputs!$I$118</f>
        <v>0.25</v>
      </c>
      <c r="E28" s="16">
        <f>MIN(MAX($A28-Inputs!$I$116,0),1)*Inputs!$I$119</f>
        <v>0.1</v>
      </c>
      <c r="F28" s="16">
        <f>MIN(MAX($A28-Inputs!$I$116,0),1)*Inputs!$I$120</f>
        <v>0.25</v>
      </c>
      <c r="G28" s="16">
        <f>MIN(MAX($A28-Inputs!$I$116,0),1)*Inputs!$I$121</f>
        <v>0.1</v>
      </c>
      <c r="H28" s="16">
        <f>MIN(MAX($A28-Inputs!$I$116,0),1)*Inputs!$I$122</f>
        <v>0.05</v>
      </c>
      <c r="I28" s="125">
        <f t="shared" si="0"/>
        <v>0.1014955357142857</v>
      </c>
      <c r="J28" s="126">
        <f t="shared" si="1"/>
        <v>0.19437499999999996</v>
      </c>
      <c r="K28" s="125">
        <f t="shared" si="2"/>
        <v>2.0999999999999998E-2</v>
      </c>
      <c r="L28" s="126">
        <f t="shared" si="3"/>
        <v>0.17544642857142856</v>
      </c>
      <c r="M28" s="125">
        <f t="shared" si="4"/>
        <v>8.0178571428571432E-2</v>
      </c>
      <c r="N28" s="16">
        <f t="shared" si="5"/>
        <v>5.0127551020408161E-2</v>
      </c>
      <c r="O28" s="16">
        <f t="shared" si="6"/>
        <v>0.12531887755102042</v>
      </c>
      <c r="P28" s="16">
        <f t="shared" si="7"/>
        <v>1.6035714285714289E-2</v>
      </c>
      <c r="Q28" s="16">
        <f t="shared" si="8"/>
        <v>6.4142857142857154E-2</v>
      </c>
      <c r="R28" s="13">
        <f t="shared" si="9"/>
        <v>9.6214285714285724E-3</v>
      </c>
    </row>
    <row r="29" spans="1:18" x14ac:dyDescent="0.25">
      <c r="A29">
        <f t="shared" si="11"/>
        <v>24</v>
      </c>
      <c r="B29">
        <f t="shared" si="11"/>
        <v>2041</v>
      </c>
      <c r="C29" s="16">
        <f>MIN(MAX($A29-Inputs!$I$116,0),1)*Inputs!$I$117</f>
        <v>0.5</v>
      </c>
      <c r="D29" s="16">
        <f>MIN(MAX($A29-Inputs!$I$116,0),1)*Inputs!$I$118</f>
        <v>0.25</v>
      </c>
      <c r="E29" s="16">
        <f>MIN(MAX($A29-Inputs!$I$116,0),1)*Inputs!$I$119</f>
        <v>0.1</v>
      </c>
      <c r="F29" s="16">
        <f>MIN(MAX($A29-Inputs!$I$116,0),1)*Inputs!$I$120</f>
        <v>0.25</v>
      </c>
      <c r="G29" s="16">
        <f>MIN(MAX($A29-Inputs!$I$116,0),1)*Inputs!$I$121</f>
        <v>0.1</v>
      </c>
      <c r="H29" s="16">
        <f>MIN(MAX($A29-Inputs!$I$116,0),1)*Inputs!$I$122</f>
        <v>0.05</v>
      </c>
      <c r="I29" s="125">
        <f t="shared" si="0"/>
        <v>0.1014955357142857</v>
      </c>
      <c r="J29" s="126">
        <f t="shared" si="1"/>
        <v>0.19437499999999996</v>
      </c>
      <c r="K29" s="125">
        <f t="shared" si="2"/>
        <v>2.0999999999999998E-2</v>
      </c>
      <c r="L29" s="126">
        <f t="shared" si="3"/>
        <v>0.17544642857142856</v>
      </c>
      <c r="M29" s="125">
        <f t="shared" si="4"/>
        <v>8.0178571428571432E-2</v>
      </c>
      <c r="N29" s="16">
        <f t="shared" si="5"/>
        <v>5.0127551020408161E-2</v>
      </c>
      <c r="O29" s="16">
        <f t="shared" si="6"/>
        <v>0.12531887755102042</v>
      </c>
      <c r="P29" s="16">
        <f t="shared" si="7"/>
        <v>1.6035714285714289E-2</v>
      </c>
      <c r="Q29" s="16">
        <f t="shared" si="8"/>
        <v>6.4142857142857154E-2</v>
      </c>
      <c r="R29" s="13">
        <f t="shared" si="9"/>
        <v>9.6214285714285724E-3</v>
      </c>
    </row>
    <row r="30" spans="1:18" x14ac:dyDescent="0.25">
      <c r="A30">
        <f t="shared" si="11"/>
        <v>25</v>
      </c>
      <c r="B30">
        <f t="shared" si="11"/>
        <v>2042</v>
      </c>
      <c r="C30" s="16">
        <f>MIN(MAX($A30-Inputs!$I$116,0),1)*Inputs!$I$117</f>
        <v>0.5</v>
      </c>
      <c r="D30" s="16">
        <f>MIN(MAX($A30-Inputs!$I$116,0),1)*Inputs!$I$118</f>
        <v>0.25</v>
      </c>
      <c r="E30" s="16">
        <f>MIN(MAX($A30-Inputs!$I$116,0),1)*Inputs!$I$119</f>
        <v>0.1</v>
      </c>
      <c r="F30" s="16">
        <f>MIN(MAX($A30-Inputs!$I$116,0),1)*Inputs!$I$120</f>
        <v>0.25</v>
      </c>
      <c r="G30" s="16">
        <f>MIN(MAX($A30-Inputs!$I$116,0),1)*Inputs!$I$121</f>
        <v>0.1</v>
      </c>
      <c r="H30" s="16">
        <f>MIN(MAX($A30-Inputs!$I$116,0),1)*Inputs!$I$122</f>
        <v>0.05</v>
      </c>
      <c r="I30" s="125">
        <f t="shared" si="0"/>
        <v>0.1014955357142857</v>
      </c>
      <c r="J30" s="126">
        <f t="shared" si="1"/>
        <v>0.19437499999999996</v>
      </c>
      <c r="K30" s="125">
        <f t="shared" si="2"/>
        <v>2.0999999999999998E-2</v>
      </c>
      <c r="L30" s="126">
        <f t="shared" si="3"/>
        <v>0.17544642857142856</v>
      </c>
      <c r="M30" s="125">
        <f t="shared" si="4"/>
        <v>8.0178571428571432E-2</v>
      </c>
      <c r="N30" s="16">
        <f t="shared" si="5"/>
        <v>5.0127551020408161E-2</v>
      </c>
      <c r="O30" s="16">
        <f t="shared" si="6"/>
        <v>0.12531887755102042</v>
      </c>
      <c r="P30" s="16">
        <f t="shared" si="7"/>
        <v>1.6035714285714289E-2</v>
      </c>
      <c r="Q30" s="16">
        <f t="shared" si="8"/>
        <v>6.4142857142857154E-2</v>
      </c>
      <c r="R30" s="13">
        <f t="shared" si="9"/>
        <v>9.6214285714285724E-3</v>
      </c>
    </row>
    <row r="31" spans="1:18" x14ac:dyDescent="0.25">
      <c r="A31">
        <f t="shared" si="11"/>
        <v>26</v>
      </c>
      <c r="B31">
        <f t="shared" si="11"/>
        <v>2043</v>
      </c>
      <c r="C31" s="16">
        <f>MIN(MAX($A31-Inputs!$I$116,0),1)*Inputs!$I$117</f>
        <v>0.5</v>
      </c>
      <c r="D31" s="16">
        <f>MIN(MAX($A31-Inputs!$I$116,0),1)*Inputs!$I$118</f>
        <v>0.25</v>
      </c>
      <c r="E31" s="16">
        <f>MIN(MAX($A31-Inputs!$I$116,0),1)*Inputs!$I$119</f>
        <v>0.1</v>
      </c>
      <c r="F31" s="16">
        <f>MIN(MAX($A31-Inputs!$I$116,0),1)*Inputs!$I$120</f>
        <v>0.25</v>
      </c>
      <c r="G31" s="16">
        <f>MIN(MAX($A31-Inputs!$I$116,0),1)*Inputs!$I$121</f>
        <v>0.1</v>
      </c>
      <c r="H31" s="16">
        <f>MIN(MAX($A31-Inputs!$I$116,0),1)*Inputs!$I$122</f>
        <v>0.05</v>
      </c>
      <c r="I31" s="125">
        <f t="shared" si="0"/>
        <v>0.1014955357142857</v>
      </c>
      <c r="J31" s="126">
        <f t="shared" si="1"/>
        <v>0.19437499999999996</v>
      </c>
      <c r="K31" s="125">
        <f t="shared" si="2"/>
        <v>2.0999999999999998E-2</v>
      </c>
      <c r="L31" s="126">
        <f t="shared" si="3"/>
        <v>0.17544642857142856</v>
      </c>
      <c r="M31" s="125">
        <f t="shared" si="4"/>
        <v>8.0178571428571432E-2</v>
      </c>
      <c r="N31" s="16">
        <f t="shared" si="5"/>
        <v>5.0127551020408161E-2</v>
      </c>
      <c r="O31" s="16">
        <f t="shared" si="6"/>
        <v>0.12531887755102042</v>
      </c>
      <c r="P31" s="16">
        <f t="shared" si="7"/>
        <v>1.6035714285714289E-2</v>
      </c>
      <c r="Q31" s="16">
        <f t="shared" si="8"/>
        <v>6.4142857142857154E-2</v>
      </c>
      <c r="R31" s="13">
        <f t="shared" si="9"/>
        <v>9.6214285714285724E-3</v>
      </c>
    </row>
    <row r="32" spans="1:18" x14ac:dyDescent="0.25">
      <c r="A32">
        <f t="shared" si="11"/>
        <v>27</v>
      </c>
      <c r="B32">
        <f t="shared" si="11"/>
        <v>2044</v>
      </c>
      <c r="C32" s="16">
        <f>MIN(MAX($A32-Inputs!$I$116,0),1)*Inputs!$I$117</f>
        <v>0.5</v>
      </c>
      <c r="D32" s="16">
        <f>MIN(MAX($A32-Inputs!$I$116,0),1)*Inputs!$I$118</f>
        <v>0.25</v>
      </c>
      <c r="E32" s="16">
        <f>MIN(MAX($A32-Inputs!$I$116,0),1)*Inputs!$I$119</f>
        <v>0.1</v>
      </c>
      <c r="F32" s="16">
        <f>MIN(MAX($A32-Inputs!$I$116,0),1)*Inputs!$I$120</f>
        <v>0.25</v>
      </c>
      <c r="G32" s="16">
        <f>MIN(MAX($A32-Inputs!$I$116,0),1)*Inputs!$I$121</f>
        <v>0.1</v>
      </c>
      <c r="H32" s="16">
        <f>MIN(MAX($A32-Inputs!$I$116,0),1)*Inputs!$I$122</f>
        <v>0.05</v>
      </c>
      <c r="I32" s="125">
        <f t="shared" si="0"/>
        <v>0.1014955357142857</v>
      </c>
      <c r="J32" s="126">
        <f t="shared" si="1"/>
        <v>0.19437499999999996</v>
      </c>
      <c r="K32" s="125">
        <f t="shared" si="2"/>
        <v>2.0999999999999998E-2</v>
      </c>
      <c r="L32" s="126">
        <f t="shared" si="3"/>
        <v>0.17544642857142856</v>
      </c>
      <c r="M32" s="125">
        <f t="shared" si="4"/>
        <v>8.0178571428571432E-2</v>
      </c>
      <c r="N32" s="16">
        <f t="shared" si="5"/>
        <v>5.0127551020408161E-2</v>
      </c>
      <c r="O32" s="16">
        <f t="shared" si="6"/>
        <v>0.12531887755102042</v>
      </c>
      <c r="P32" s="16">
        <f t="shared" si="7"/>
        <v>1.6035714285714289E-2</v>
      </c>
      <c r="Q32" s="16">
        <f t="shared" si="8"/>
        <v>6.4142857142857154E-2</v>
      </c>
      <c r="R32" s="13">
        <f t="shared" si="9"/>
        <v>9.6214285714285724E-3</v>
      </c>
    </row>
    <row r="33" spans="1:18" x14ac:dyDescent="0.25">
      <c r="A33">
        <f t="shared" si="11"/>
        <v>28</v>
      </c>
      <c r="B33">
        <f t="shared" si="11"/>
        <v>2045</v>
      </c>
      <c r="C33" s="16">
        <f>MIN(MAX($A33-Inputs!$I$116,0),1)*Inputs!$I$117</f>
        <v>0.5</v>
      </c>
      <c r="D33" s="16">
        <f>MIN(MAX($A33-Inputs!$I$116,0),1)*Inputs!$I$118</f>
        <v>0.25</v>
      </c>
      <c r="E33" s="16">
        <f>MIN(MAX($A33-Inputs!$I$116,0),1)*Inputs!$I$119</f>
        <v>0.1</v>
      </c>
      <c r="F33" s="16">
        <f>MIN(MAX($A33-Inputs!$I$116,0),1)*Inputs!$I$120</f>
        <v>0.25</v>
      </c>
      <c r="G33" s="16">
        <f>MIN(MAX($A33-Inputs!$I$116,0),1)*Inputs!$I$121</f>
        <v>0.1</v>
      </c>
      <c r="H33" s="16">
        <f>MIN(MAX($A33-Inputs!$I$116,0),1)*Inputs!$I$122</f>
        <v>0.05</v>
      </c>
      <c r="I33" s="125">
        <f t="shared" si="0"/>
        <v>0.1014955357142857</v>
      </c>
      <c r="J33" s="126">
        <f t="shared" si="1"/>
        <v>0.19437499999999996</v>
      </c>
      <c r="K33" s="125">
        <f t="shared" si="2"/>
        <v>2.0999999999999998E-2</v>
      </c>
      <c r="L33" s="126">
        <f t="shared" si="3"/>
        <v>0.17544642857142856</v>
      </c>
      <c r="M33" s="125">
        <f t="shared" si="4"/>
        <v>8.0178571428571432E-2</v>
      </c>
      <c r="N33" s="16">
        <f t="shared" si="5"/>
        <v>5.0127551020408161E-2</v>
      </c>
      <c r="O33" s="16">
        <f t="shared" si="6"/>
        <v>0.12531887755102042</v>
      </c>
      <c r="P33" s="16">
        <f t="shared" si="7"/>
        <v>1.6035714285714289E-2</v>
      </c>
      <c r="Q33" s="16">
        <f t="shared" si="8"/>
        <v>6.4142857142857154E-2</v>
      </c>
      <c r="R33" s="13">
        <f t="shared" si="9"/>
        <v>9.6214285714285724E-3</v>
      </c>
    </row>
    <row r="34" spans="1:18" x14ac:dyDescent="0.25">
      <c r="A34">
        <f t="shared" si="11"/>
        <v>29</v>
      </c>
      <c r="B34">
        <f t="shared" si="11"/>
        <v>2046</v>
      </c>
      <c r="C34" s="16">
        <f>MIN(MAX($A34-Inputs!$I$116,0),1)*Inputs!$I$117</f>
        <v>0.5</v>
      </c>
      <c r="D34" s="16">
        <f>MIN(MAX($A34-Inputs!$I$116,0),1)*Inputs!$I$118</f>
        <v>0.25</v>
      </c>
      <c r="E34" s="16">
        <f>MIN(MAX($A34-Inputs!$I$116,0),1)*Inputs!$I$119</f>
        <v>0.1</v>
      </c>
      <c r="F34" s="16">
        <f>MIN(MAX($A34-Inputs!$I$116,0),1)*Inputs!$I$120</f>
        <v>0.25</v>
      </c>
      <c r="G34" s="16">
        <f>MIN(MAX($A34-Inputs!$I$116,0),1)*Inputs!$I$121</f>
        <v>0.1</v>
      </c>
      <c r="H34" s="16">
        <f>MIN(MAX($A34-Inputs!$I$116,0),1)*Inputs!$I$122</f>
        <v>0.05</v>
      </c>
      <c r="I34" s="125">
        <f t="shared" si="0"/>
        <v>0.1014955357142857</v>
      </c>
      <c r="J34" s="126">
        <f t="shared" si="1"/>
        <v>0.19437499999999996</v>
      </c>
      <c r="K34" s="125">
        <f t="shared" si="2"/>
        <v>2.0999999999999998E-2</v>
      </c>
      <c r="L34" s="126">
        <f t="shared" si="3"/>
        <v>0.17544642857142856</v>
      </c>
      <c r="M34" s="125">
        <f t="shared" si="4"/>
        <v>8.0178571428571432E-2</v>
      </c>
      <c r="N34" s="16">
        <f t="shared" si="5"/>
        <v>5.0127551020408161E-2</v>
      </c>
      <c r="O34" s="16">
        <f t="shared" si="6"/>
        <v>0.12531887755102042</v>
      </c>
      <c r="P34" s="16">
        <f t="shared" si="7"/>
        <v>1.6035714285714289E-2</v>
      </c>
      <c r="Q34" s="16">
        <f t="shared" si="8"/>
        <v>6.4142857142857154E-2</v>
      </c>
      <c r="R34" s="13">
        <f t="shared" si="9"/>
        <v>9.6214285714285724E-3</v>
      </c>
    </row>
    <row r="35" spans="1:18" x14ac:dyDescent="0.25">
      <c r="A35">
        <f t="shared" si="11"/>
        <v>30</v>
      </c>
      <c r="B35">
        <f t="shared" si="11"/>
        <v>2047</v>
      </c>
      <c r="C35" s="16">
        <f>MIN(MAX($A35-Inputs!$I$116,0),1)*Inputs!$I$117</f>
        <v>0.5</v>
      </c>
      <c r="D35" s="16">
        <f>MIN(MAX($A35-Inputs!$I$116,0),1)*Inputs!$I$118</f>
        <v>0.25</v>
      </c>
      <c r="E35" s="16">
        <f>MIN(MAX($A35-Inputs!$I$116,0),1)*Inputs!$I$119</f>
        <v>0.1</v>
      </c>
      <c r="F35" s="16">
        <f>MIN(MAX($A35-Inputs!$I$116,0),1)*Inputs!$I$120</f>
        <v>0.25</v>
      </c>
      <c r="G35" s="16">
        <f>MIN(MAX($A35-Inputs!$I$116,0),1)*Inputs!$I$121</f>
        <v>0.1</v>
      </c>
      <c r="H35" s="16">
        <f>MIN(MAX($A35-Inputs!$I$116,0),1)*Inputs!$I$122</f>
        <v>0.05</v>
      </c>
      <c r="I35" s="125">
        <f t="shared" si="0"/>
        <v>0.1014955357142857</v>
      </c>
      <c r="J35" s="126">
        <f t="shared" si="1"/>
        <v>0.19437499999999996</v>
      </c>
      <c r="K35" s="125">
        <f t="shared" si="2"/>
        <v>2.0999999999999998E-2</v>
      </c>
      <c r="L35" s="126">
        <f t="shared" si="3"/>
        <v>0.17544642857142856</v>
      </c>
      <c r="M35" s="125">
        <f t="shared" si="4"/>
        <v>8.0178571428571432E-2</v>
      </c>
      <c r="N35" s="16">
        <f t="shared" si="5"/>
        <v>5.0127551020408161E-2</v>
      </c>
      <c r="O35" s="16">
        <f t="shared" si="6"/>
        <v>0.12531887755102042</v>
      </c>
      <c r="P35" s="16">
        <f t="shared" si="7"/>
        <v>1.6035714285714289E-2</v>
      </c>
      <c r="Q35" s="16">
        <f t="shared" si="8"/>
        <v>6.4142857142857154E-2</v>
      </c>
      <c r="R35" s="13">
        <f t="shared" si="9"/>
        <v>9.6214285714285724E-3</v>
      </c>
    </row>
    <row r="36" spans="1:18" x14ac:dyDescent="0.25">
      <c r="A36">
        <f t="shared" si="11"/>
        <v>31</v>
      </c>
      <c r="B36">
        <f t="shared" si="11"/>
        <v>2048</v>
      </c>
      <c r="C36" s="16">
        <f>MIN(MAX($A36-Inputs!$I$116,0),1)*Inputs!$I$117</f>
        <v>0.5</v>
      </c>
      <c r="D36" s="16">
        <f>MIN(MAX($A36-Inputs!$I$116,0),1)*Inputs!$I$118</f>
        <v>0.25</v>
      </c>
      <c r="E36" s="16">
        <f>MIN(MAX($A36-Inputs!$I$116,0),1)*Inputs!$I$119</f>
        <v>0.1</v>
      </c>
      <c r="F36" s="16">
        <f>MIN(MAX($A36-Inputs!$I$116,0),1)*Inputs!$I$120</f>
        <v>0.25</v>
      </c>
      <c r="G36" s="16">
        <f>MIN(MAX($A36-Inputs!$I$116,0),1)*Inputs!$I$121</f>
        <v>0.1</v>
      </c>
      <c r="H36" s="16">
        <f>MIN(MAX($A36-Inputs!$I$116,0),1)*Inputs!$I$122</f>
        <v>0.05</v>
      </c>
      <c r="I36" s="125">
        <f t="shared" si="0"/>
        <v>0.1014955357142857</v>
      </c>
      <c r="J36" s="126">
        <f t="shared" si="1"/>
        <v>0.19437499999999996</v>
      </c>
      <c r="K36" s="125">
        <f t="shared" si="2"/>
        <v>2.0999999999999998E-2</v>
      </c>
      <c r="L36" s="126">
        <f t="shared" si="3"/>
        <v>0.17544642857142856</v>
      </c>
      <c r="M36" s="125">
        <f t="shared" si="4"/>
        <v>8.0178571428571432E-2</v>
      </c>
      <c r="N36" s="16">
        <f t="shared" si="5"/>
        <v>5.0127551020408161E-2</v>
      </c>
      <c r="O36" s="16">
        <f t="shared" si="6"/>
        <v>0.12531887755102042</v>
      </c>
      <c r="P36" s="16">
        <f t="shared" si="7"/>
        <v>1.6035714285714289E-2</v>
      </c>
      <c r="Q36" s="16">
        <f t="shared" si="8"/>
        <v>6.4142857142857154E-2</v>
      </c>
      <c r="R36" s="13">
        <f t="shared" si="9"/>
        <v>9.6214285714285724E-3</v>
      </c>
    </row>
    <row r="37" spans="1:18" x14ac:dyDescent="0.25">
      <c r="A37">
        <f t="shared" si="11"/>
        <v>32</v>
      </c>
      <c r="B37">
        <f t="shared" si="11"/>
        <v>2049</v>
      </c>
      <c r="C37" s="16">
        <f>MIN(MAX($A37-Inputs!$I$116,0),1)*Inputs!$I$117</f>
        <v>0.5</v>
      </c>
      <c r="D37" s="16">
        <f>MIN(MAX($A37-Inputs!$I$116,0),1)*Inputs!$I$118</f>
        <v>0.25</v>
      </c>
      <c r="E37" s="16">
        <f>MIN(MAX($A37-Inputs!$I$116,0),1)*Inputs!$I$119</f>
        <v>0.1</v>
      </c>
      <c r="F37" s="16">
        <f>MIN(MAX($A37-Inputs!$I$116,0),1)*Inputs!$I$120</f>
        <v>0.25</v>
      </c>
      <c r="G37" s="16">
        <f>MIN(MAX($A37-Inputs!$I$116,0),1)*Inputs!$I$121</f>
        <v>0.1</v>
      </c>
      <c r="H37" s="16">
        <f>MIN(MAX($A37-Inputs!$I$116,0),1)*Inputs!$I$122</f>
        <v>0.05</v>
      </c>
      <c r="I37" s="125">
        <f t="shared" si="0"/>
        <v>0.1014955357142857</v>
      </c>
      <c r="J37" s="126">
        <f t="shared" si="1"/>
        <v>0.19437499999999996</v>
      </c>
      <c r="K37" s="125">
        <f t="shared" si="2"/>
        <v>2.0999999999999998E-2</v>
      </c>
      <c r="L37" s="126">
        <f t="shared" si="3"/>
        <v>0.17544642857142856</v>
      </c>
      <c r="M37" s="125">
        <f t="shared" si="4"/>
        <v>8.0178571428571432E-2</v>
      </c>
      <c r="N37" s="16">
        <f t="shared" si="5"/>
        <v>5.0127551020408161E-2</v>
      </c>
      <c r="O37" s="16">
        <f t="shared" si="6"/>
        <v>0.12531887755102042</v>
      </c>
      <c r="P37" s="16">
        <f t="shared" si="7"/>
        <v>1.6035714285714289E-2</v>
      </c>
      <c r="Q37" s="16">
        <f t="shared" si="8"/>
        <v>6.4142857142857154E-2</v>
      </c>
      <c r="R37" s="13">
        <f t="shared" si="9"/>
        <v>9.6214285714285724E-3</v>
      </c>
    </row>
    <row r="38" spans="1:18" x14ac:dyDescent="0.25">
      <c r="A38">
        <f t="shared" si="11"/>
        <v>33</v>
      </c>
      <c r="B38">
        <f t="shared" si="11"/>
        <v>2050</v>
      </c>
      <c r="C38" s="16">
        <f>MIN(MAX($A38-Inputs!$I$116,0),1)*Inputs!$I$117</f>
        <v>0.5</v>
      </c>
      <c r="D38" s="16">
        <f>MIN(MAX($A38-Inputs!$I$116,0),1)*Inputs!$I$118</f>
        <v>0.25</v>
      </c>
      <c r="E38" s="16">
        <f>MIN(MAX($A38-Inputs!$I$116,0),1)*Inputs!$I$119</f>
        <v>0.1</v>
      </c>
      <c r="F38" s="16">
        <f>MIN(MAX($A38-Inputs!$I$116,0),1)*Inputs!$I$120</f>
        <v>0.25</v>
      </c>
      <c r="G38" s="16">
        <f>MIN(MAX($A38-Inputs!$I$116,0),1)*Inputs!$I$121</f>
        <v>0.1</v>
      </c>
      <c r="H38" s="16">
        <f>MIN(MAX($A38-Inputs!$I$116,0),1)*Inputs!$I$122</f>
        <v>0.05</v>
      </c>
      <c r="I38" s="125">
        <f t="shared" si="0"/>
        <v>0.1014955357142857</v>
      </c>
      <c r="J38" s="126">
        <f t="shared" si="1"/>
        <v>0.19437499999999996</v>
      </c>
      <c r="K38" s="125">
        <f t="shared" si="2"/>
        <v>2.0999999999999998E-2</v>
      </c>
      <c r="L38" s="126">
        <f t="shared" si="3"/>
        <v>0.17544642857142856</v>
      </c>
      <c r="M38" s="125">
        <f t="shared" si="4"/>
        <v>8.0178571428571432E-2</v>
      </c>
      <c r="N38" s="16">
        <f t="shared" si="5"/>
        <v>5.0127551020408161E-2</v>
      </c>
      <c r="O38" s="16">
        <f t="shared" si="6"/>
        <v>0.12531887755102042</v>
      </c>
      <c r="P38" s="16">
        <f t="shared" si="7"/>
        <v>1.6035714285714289E-2</v>
      </c>
      <c r="Q38" s="16">
        <f t="shared" si="8"/>
        <v>6.4142857142857154E-2</v>
      </c>
      <c r="R38" s="13">
        <f t="shared" si="9"/>
        <v>9.6214285714285724E-3</v>
      </c>
    </row>
    <row r="39" spans="1:18" x14ac:dyDescent="0.25">
      <c r="A39">
        <f t="shared" si="11"/>
        <v>34</v>
      </c>
      <c r="B39">
        <f t="shared" si="11"/>
        <v>2051</v>
      </c>
      <c r="C39" s="16">
        <f>MIN(MAX($A39-Inputs!$I$116,0),1)*Inputs!$I$117</f>
        <v>0.5</v>
      </c>
      <c r="D39" s="16">
        <f>MIN(MAX($A39-Inputs!$I$116,0),1)*Inputs!$I$118</f>
        <v>0.25</v>
      </c>
      <c r="E39" s="16">
        <f>MIN(MAX($A39-Inputs!$I$116,0),1)*Inputs!$I$119</f>
        <v>0.1</v>
      </c>
      <c r="F39" s="16">
        <f>MIN(MAX($A39-Inputs!$I$116,0),1)*Inputs!$I$120</f>
        <v>0.25</v>
      </c>
      <c r="G39" s="16">
        <f>MIN(MAX($A39-Inputs!$I$116,0),1)*Inputs!$I$121</f>
        <v>0.1</v>
      </c>
      <c r="H39" s="16">
        <f>MIN(MAX($A39-Inputs!$I$116,0),1)*Inputs!$I$122</f>
        <v>0.05</v>
      </c>
      <c r="I39" s="125">
        <f t="shared" si="0"/>
        <v>0.1014955357142857</v>
      </c>
      <c r="J39" s="126">
        <f t="shared" si="1"/>
        <v>0.19437499999999996</v>
      </c>
      <c r="K39" s="125">
        <f t="shared" si="2"/>
        <v>2.0999999999999998E-2</v>
      </c>
      <c r="L39" s="126">
        <f t="shared" si="3"/>
        <v>0.17544642857142856</v>
      </c>
      <c r="M39" s="125">
        <f t="shared" si="4"/>
        <v>8.0178571428571432E-2</v>
      </c>
      <c r="N39" s="16">
        <f t="shared" si="5"/>
        <v>5.0127551020408161E-2</v>
      </c>
      <c r="O39" s="16">
        <f t="shared" si="6"/>
        <v>0.12531887755102042</v>
      </c>
      <c r="P39" s="16">
        <f t="shared" si="7"/>
        <v>1.6035714285714289E-2</v>
      </c>
      <c r="Q39" s="16">
        <f t="shared" si="8"/>
        <v>6.4142857142857154E-2</v>
      </c>
      <c r="R39" s="13">
        <f t="shared" si="9"/>
        <v>9.6214285714285724E-3</v>
      </c>
    </row>
    <row r="40" spans="1:18" x14ac:dyDescent="0.25">
      <c r="A40">
        <f t="shared" ref="A40:B55" si="12">A39+1</f>
        <v>35</v>
      </c>
      <c r="B40">
        <f t="shared" si="12"/>
        <v>2052</v>
      </c>
      <c r="C40" s="16">
        <f>MIN(MAX($A40-Inputs!$I$116,0),1)*Inputs!$I$117</f>
        <v>0.5</v>
      </c>
      <c r="D40" s="16">
        <f>MIN(MAX($A40-Inputs!$I$116,0),1)*Inputs!$I$118</f>
        <v>0.25</v>
      </c>
      <c r="E40" s="16">
        <f>MIN(MAX($A40-Inputs!$I$116,0),1)*Inputs!$I$119</f>
        <v>0.1</v>
      </c>
      <c r="F40" s="16">
        <f>MIN(MAX($A40-Inputs!$I$116,0),1)*Inputs!$I$120</f>
        <v>0.25</v>
      </c>
      <c r="G40" s="16">
        <f>MIN(MAX($A40-Inputs!$I$116,0),1)*Inputs!$I$121</f>
        <v>0.1</v>
      </c>
      <c r="H40" s="16">
        <f>MIN(MAX($A40-Inputs!$I$116,0),1)*Inputs!$I$122</f>
        <v>0.05</v>
      </c>
      <c r="I40" s="125">
        <f t="shared" si="0"/>
        <v>0.1014955357142857</v>
      </c>
      <c r="J40" s="126">
        <f t="shared" si="1"/>
        <v>0.19437499999999996</v>
      </c>
      <c r="K40" s="125">
        <f t="shared" si="2"/>
        <v>2.0999999999999998E-2</v>
      </c>
      <c r="L40" s="126">
        <f t="shared" si="3"/>
        <v>0.17544642857142856</v>
      </c>
      <c r="M40" s="125">
        <f t="shared" si="4"/>
        <v>8.0178571428571432E-2</v>
      </c>
      <c r="N40" s="16">
        <f t="shared" si="5"/>
        <v>5.0127551020408161E-2</v>
      </c>
      <c r="O40" s="16">
        <f t="shared" si="6"/>
        <v>0.12531887755102042</v>
      </c>
      <c r="P40" s="16">
        <f t="shared" si="7"/>
        <v>1.6035714285714289E-2</v>
      </c>
      <c r="Q40" s="16">
        <f t="shared" si="8"/>
        <v>6.4142857142857154E-2</v>
      </c>
      <c r="R40" s="13">
        <f t="shared" si="9"/>
        <v>9.6214285714285724E-3</v>
      </c>
    </row>
    <row r="41" spans="1:18" x14ac:dyDescent="0.25">
      <c r="A41">
        <f t="shared" si="12"/>
        <v>36</v>
      </c>
      <c r="B41">
        <f t="shared" si="12"/>
        <v>2053</v>
      </c>
      <c r="C41" s="16">
        <f>MIN(MAX($A41-Inputs!$I$116,0),1)*Inputs!$I$117</f>
        <v>0.5</v>
      </c>
      <c r="D41" s="16">
        <f>MIN(MAX($A41-Inputs!$I$116,0),1)*Inputs!$I$118</f>
        <v>0.25</v>
      </c>
      <c r="E41" s="16">
        <f>MIN(MAX($A41-Inputs!$I$116,0),1)*Inputs!$I$119</f>
        <v>0.1</v>
      </c>
      <c r="F41" s="16">
        <f>MIN(MAX($A41-Inputs!$I$116,0),1)*Inputs!$I$120</f>
        <v>0.25</v>
      </c>
      <c r="G41" s="16">
        <f>MIN(MAX($A41-Inputs!$I$116,0),1)*Inputs!$I$121</f>
        <v>0.1</v>
      </c>
      <c r="H41" s="16">
        <f>MIN(MAX($A41-Inputs!$I$116,0),1)*Inputs!$I$122</f>
        <v>0.05</v>
      </c>
      <c r="I41" s="125">
        <f t="shared" si="0"/>
        <v>0.1014955357142857</v>
      </c>
      <c r="J41" s="126">
        <f t="shared" si="1"/>
        <v>0.19437499999999996</v>
      </c>
      <c r="K41" s="125">
        <f t="shared" si="2"/>
        <v>2.0999999999999998E-2</v>
      </c>
      <c r="L41" s="126">
        <f t="shared" si="3"/>
        <v>0.17544642857142856</v>
      </c>
      <c r="M41" s="125">
        <f t="shared" si="4"/>
        <v>8.0178571428571432E-2</v>
      </c>
      <c r="N41" s="16">
        <f t="shared" si="5"/>
        <v>5.0127551020408161E-2</v>
      </c>
      <c r="O41" s="16">
        <f t="shared" si="6"/>
        <v>0.12531887755102042</v>
      </c>
      <c r="P41" s="16">
        <f t="shared" si="7"/>
        <v>1.6035714285714289E-2</v>
      </c>
      <c r="Q41" s="16">
        <f t="shared" si="8"/>
        <v>6.4142857142857154E-2</v>
      </c>
      <c r="R41" s="13">
        <f t="shared" si="9"/>
        <v>9.6214285714285724E-3</v>
      </c>
    </row>
    <row r="42" spans="1:18" x14ac:dyDescent="0.25">
      <c r="A42">
        <f t="shared" si="12"/>
        <v>37</v>
      </c>
      <c r="B42">
        <f t="shared" si="12"/>
        <v>2054</v>
      </c>
      <c r="C42" s="16">
        <f>MIN(MAX($A42-Inputs!$I$116,0),1)*Inputs!$I$117</f>
        <v>0.5</v>
      </c>
      <c r="D42" s="16">
        <f>MIN(MAX($A42-Inputs!$I$116,0),1)*Inputs!$I$118</f>
        <v>0.25</v>
      </c>
      <c r="E42" s="16">
        <f>MIN(MAX($A42-Inputs!$I$116,0),1)*Inputs!$I$119</f>
        <v>0.1</v>
      </c>
      <c r="F42" s="16">
        <f>MIN(MAX($A42-Inputs!$I$116,0),1)*Inputs!$I$120</f>
        <v>0.25</v>
      </c>
      <c r="G42" s="16">
        <f>MIN(MAX($A42-Inputs!$I$116,0),1)*Inputs!$I$121</f>
        <v>0.1</v>
      </c>
      <c r="H42" s="16">
        <f>MIN(MAX($A42-Inputs!$I$116,0),1)*Inputs!$I$122</f>
        <v>0.05</v>
      </c>
      <c r="I42" s="125">
        <f t="shared" si="0"/>
        <v>0.1014955357142857</v>
      </c>
      <c r="J42" s="126">
        <f t="shared" si="1"/>
        <v>0.19437499999999996</v>
      </c>
      <c r="K42" s="125">
        <f t="shared" si="2"/>
        <v>2.0999999999999998E-2</v>
      </c>
      <c r="L42" s="126">
        <f t="shared" si="3"/>
        <v>0.17544642857142856</v>
      </c>
      <c r="M42" s="125">
        <f t="shared" si="4"/>
        <v>8.0178571428571432E-2</v>
      </c>
      <c r="N42" s="16">
        <f t="shared" si="5"/>
        <v>5.0127551020408161E-2</v>
      </c>
      <c r="O42" s="16">
        <f t="shared" si="6"/>
        <v>0.12531887755102042</v>
      </c>
      <c r="P42" s="16">
        <f t="shared" si="7"/>
        <v>1.6035714285714289E-2</v>
      </c>
      <c r="Q42" s="16">
        <f t="shared" si="8"/>
        <v>6.4142857142857154E-2</v>
      </c>
      <c r="R42" s="13">
        <f t="shared" si="9"/>
        <v>9.6214285714285724E-3</v>
      </c>
    </row>
    <row r="43" spans="1:18" x14ac:dyDescent="0.25">
      <c r="A43">
        <f t="shared" si="12"/>
        <v>38</v>
      </c>
      <c r="B43">
        <f t="shared" si="12"/>
        <v>2055</v>
      </c>
      <c r="C43" s="16">
        <f>MIN(MAX($A43-Inputs!$I$116,0),1)*Inputs!$I$117</f>
        <v>0.5</v>
      </c>
      <c r="D43" s="16">
        <f>MIN(MAX($A43-Inputs!$I$116,0),1)*Inputs!$I$118</f>
        <v>0.25</v>
      </c>
      <c r="E43" s="16">
        <f>MIN(MAX($A43-Inputs!$I$116,0),1)*Inputs!$I$119</f>
        <v>0.1</v>
      </c>
      <c r="F43" s="16">
        <f>MIN(MAX($A43-Inputs!$I$116,0),1)*Inputs!$I$120</f>
        <v>0.25</v>
      </c>
      <c r="G43" s="16">
        <f>MIN(MAX($A43-Inputs!$I$116,0),1)*Inputs!$I$121</f>
        <v>0.1</v>
      </c>
      <c r="H43" s="16">
        <f>MIN(MAX($A43-Inputs!$I$116,0),1)*Inputs!$I$122</f>
        <v>0.05</v>
      </c>
      <c r="I43" s="125">
        <f t="shared" si="0"/>
        <v>0.1014955357142857</v>
      </c>
      <c r="J43" s="126">
        <f t="shared" si="1"/>
        <v>0.19437499999999996</v>
      </c>
      <c r="K43" s="125">
        <f t="shared" si="2"/>
        <v>2.0999999999999998E-2</v>
      </c>
      <c r="L43" s="126">
        <f t="shared" si="3"/>
        <v>0.17544642857142856</v>
      </c>
      <c r="M43" s="125">
        <f t="shared" si="4"/>
        <v>8.0178571428571432E-2</v>
      </c>
      <c r="N43" s="16">
        <f t="shared" si="5"/>
        <v>5.0127551020408161E-2</v>
      </c>
      <c r="O43" s="16">
        <f t="shared" si="6"/>
        <v>0.12531887755102042</v>
      </c>
      <c r="P43" s="16">
        <f t="shared" si="7"/>
        <v>1.6035714285714289E-2</v>
      </c>
      <c r="Q43" s="16">
        <f t="shared" si="8"/>
        <v>6.4142857142857154E-2</v>
      </c>
      <c r="R43" s="13">
        <f t="shared" si="9"/>
        <v>9.6214285714285724E-3</v>
      </c>
    </row>
    <row r="44" spans="1:18" x14ac:dyDescent="0.25">
      <c r="A44">
        <f t="shared" si="12"/>
        <v>39</v>
      </c>
      <c r="B44">
        <f t="shared" si="12"/>
        <v>2056</v>
      </c>
      <c r="C44" s="16">
        <f>MIN(MAX($A44-Inputs!$I$116,0),1)*Inputs!$I$117</f>
        <v>0.5</v>
      </c>
      <c r="D44" s="16">
        <f>MIN(MAX($A44-Inputs!$I$116,0),1)*Inputs!$I$118</f>
        <v>0.25</v>
      </c>
      <c r="E44" s="16">
        <f>MIN(MAX($A44-Inputs!$I$116,0),1)*Inputs!$I$119</f>
        <v>0.1</v>
      </c>
      <c r="F44" s="16">
        <f>MIN(MAX($A44-Inputs!$I$116,0),1)*Inputs!$I$120</f>
        <v>0.25</v>
      </c>
      <c r="G44" s="16">
        <f>MIN(MAX($A44-Inputs!$I$116,0),1)*Inputs!$I$121</f>
        <v>0.1</v>
      </c>
      <c r="H44" s="16">
        <f>MIN(MAX($A44-Inputs!$I$116,0),1)*Inputs!$I$122</f>
        <v>0.05</v>
      </c>
      <c r="I44" s="125">
        <f t="shared" si="0"/>
        <v>0.1014955357142857</v>
      </c>
      <c r="J44" s="126">
        <f t="shared" si="1"/>
        <v>0.19437499999999996</v>
      </c>
      <c r="K44" s="125">
        <f t="shared" si="2"/>
        <v>2.0999999999999998E-2</v>
      </c>
      <c r="L44" s="126">
        <f t="shared" si="3"/>
        <v>0.17544642857142856</v>
      </c>
      <c r="M44" s="125">
        <f t="shared" si="4"/>
        <v>8.0178571428571432E-2</v>
      </c>
      <c r="N44" s="16">
        <f t="shared" si="5"/>
        <v>5.0127551020408161E-2</v>
      </c>
      <c r="O44" s="16">
        <f t="shared" si="6"/>
        <v>0.12531887755102042</v>
      </c>
      <c r="P44" s="16">
        <f t="shared" si="7"/>
        <v>1.6035714285714289E-2</v>
      </c>
      <c r="Q44" s="16">
        <f t="shared" si="8"/>
        <v>6.4142857142857154E-2</v>
      </c>
      <c r="R44" s="13">
        <f t="shared" si="9"/>
        <v>9.6214285714285724E-3</v>
      </c>
    </row>
    <row r="45" spans="1:18" x14ac:dyDescent="0.25">
      <c r="A45">
        <f t="shared" si="12"/>
        <v>40</v>
      </c>
      <c r="B45">
        <f t="shared" si="12"/>
        <v>2057</v>
      </c>
      <c r="C45" s="16">
        <f>MIN(MAX($A45-Inputs!$I$116,0),1)*Inputs!$I$117</f>
        <v>0.5</v>
      </c>
      <c r="D45" s="16">
        <f>MIN(MAX($A45-Inputs!$I$116,0),1)*Inputs!$I$118</f>
        <v>0.25</v>
      </c>
      <c r="E45" s="16">
        <f>MIN(MAX($A45-Inputs!$I$116,0),1)*Inputs!$I$119</f>
        <v>0.1</v>
      </c>
      <c r="F45" s="16">
        <f>MIN(MAX($A45-Inputs!$I$116,0),1)*Inputs!$I$120</f>
        <v>0.25</v>
      </c>
      <c r="G45" s="16">
        <f>MIN(MAX($A45-Inputs!$I$116,0),1)*Inputs!$I$121</f>
        <v>0.1</v>
      </c>
      <c r="H45" s="16">
        <f>MIN(MAX($A45-Inputs!$I$116,0),1)*Inputs!$I$122</f>
        <v>0.05</v>
      </c>
      <c r="I45" s="125">
        <f t="shared" si="0"/>
        <v>0.1014955357142857</v>
      </c>
      <c r="J45" s="126">
        <f t="shared" si="1"/>
        <v>0.19437499999999996</v>
      </c>
      <c r="K45" s="125">
        <f t="shared" si="2"/>
        <v>2.0999999999999998E-2</v>
      </c>
      <c r="L45" s="126">
        <f t="shared" si="3"/>
        <v>0.17544642857142856</v>
      </c>
      <c r="M45" s="125">
        <f t="shared" si="4"/>
        <v>8.0178571428571432E-2</v>
      </c>
      <c r="N45" s="16">
        <f t="shared" si="5"/>
        <v>5.0127551020408161E-2</v>
      </c>
      <c r="O45" s="16">
        <f t="shared" si="6"/>
        <v>0.12531887755102042</v>
      </c>
      <c r="P45" s="16">
        <f t="shared" si="7"/>
        <v>1.6035714285714289E-2</v>
      </c>
      <c r="Q45" s="16">
        <f t="shared" si="8"/>
        <v>6.4142857142857154E-2</v>
      </c>
      <c r="R45" s="13">
        <f t="shared" si="9"/>
        <v>9.6214285714285724E-3</v>
      </c>
    </row>
    <row r="46" spans="1:18" x14ac:dyDescent="0.25">
      <c r="A46">
        <f t="shared" si="12"/>
        <v>41</v>
      </c>
      <c r="B46">
        <f t="shared" si="12"/>
        <v>2058</v>
      </c>
      <c r="C46" s="16">
        <f>MIN(MAX($A46-Inputs!$I$116,0),1)*Inputs!$I$117</f>
        <v>0.5</v>
      </c>
      <c r="D46" s="16">
        <f>MIN(MAX($A46-Inputs!$I$116,0),1)*Inputs!$I$118</f>
        <v>0.25</v>
      </c>
      <c r="E46" s="16">
        <f>MIN(MAX($A46-Inputs!$I$116,0),1)*Inputs!$I$119</f>
        <v>0.1</v>
      </c>
      <c r="F46" s="16">
        <f>MIN(MAX($A46-Inputs!$I$116,0),1)*Inputs!$I$120</f>
        <v>0.25</v>
      </c>
      <c r="G46" s="16">
        <f>MIN(MAX($A46-Inputs!$I$116,0),1)*Inputs!$I$121</f>
        <v>0.1</v>
      </c>
      <c r="H46" s="16">
        <f>MIN(MAX($A46-Inputs!$I$116,0),1)*Inputs!$I$122</f>
        <v>0.05</v>
      </c>
      <c r="I46" s="125">
        <f t="shared" si="0"/>
        <v>0.1014955357142857</v>
      </c>
      <c r="J46" s="126">
        <f t="shared" si="1"/>
        <v>0.19437499999999996</v>
      </c>
      <c r="K46" s="125">
        <f t="shared" si="2"/>
        <v>2.0999999999999998E-2</v>
      </c>
      <c r="L46" s="126">
        <f t="shared" si="3"/>
        <v>0.17544642857142856</v>
      </c>
      <c r="M46" s="125">
        <f t="shared" si="4"/>
        <v>8.0178571428571432E-2</v>
      </c>
      <c r="N46" s="16">
        <f t="shared" si="5"/>
        <v>5.0127551020408161E-2</v>
      </c>
      <c r="O46" s="16">
        <f t="shared" si="6"/>
        <v>0.12531887755102042</v>
      </c>
      <c r="P46" s="16">
        <f t="shared" si="7"/>
        <v>1.6035714285714289E-2</v>
      </c>
      <c r="Q46" s="16">
        <f t="shared" si="8"/>
        <v>6.4142857142857154E-2</v>
      </c>
      <c r="R46" s="13">
        <f t="shared" si="9"/>
        <v>9.6214285714285724E-3</v>
      </c>
    </row>
    <row r="47" spans="1:18" x14ac:dyDescent="0.25">
      <c r="A47">
        <f t="shared" si="12"/>
        <v>42</v>
      </c>
      <c r="B47">
        <f t="shared" si="12"/>
        <v>2059</v>
      </c>
      <c r="C47" s="16">
        <f>MIN(MAX($A47-Inputs!$I$116,0),1)*Inputs!$I$117</f>
        <v>0.5</v>
      </c>
      <c r="D47" s="16">
        <f>MIN(MAX($A47-Inputs!$I$116,0),1)*Inputs!$I$118</f>
        <v>0.25</v>
      </c>
      <c r="E47" s="16">
        <f>MIN(MAX($A47-Inputs!$I$116,0),1)*Inputs!$I$119</f>
        <v>0.1</v>
      </c>
      <c r="F47" s="16">
        <f>MIN(MAX($A47-Inputs!$I$116,0),1)*Inputs!$I$120</f>
        <v>0.25</v>
      </c>
      <c r="G47" s="16">
        <f>MIN(MAX($A47-Inputs!$I$116,0),1)*Inputs!$I$121</f>
        <v>0.1</v>
      </c>
      <c r="H47" s="16">
        <f>MIN(MAX($A47-Inputs!$I$116,0),1)*Inputs!$I$122</f>
        <v>0.05</v>
      </c>
      <c r="I47" s="125">
        <f t="shared" si="0"/>
        <v>0.1014955357142857</v>
      </c>
      <c r="J47" s="126">
        <f t="shared" si="1"/>
        <v>0.19437499999999996</v>
      </c>
      <c r="K47" s="125">
        <f t="shared" si="2"/>
        <v>2.0999999999999998E-2</v>
      </c>
      <c r="L47" s="126">
        <f t="shared" si="3"/>
        <v>0.17544642857142856</v>
      </c>
      <c r="M47" s="125">
        <f t="shared" si="4"/>
        <v>8.0178571428571432E-2</v>
      </c>
      <c r="N47" s="16">
        <f t="shared" si="5"/>
        <v>5.0127551020408161E-2</v>
      </c>
      <c r="O47" s="16">
        <f t="shared" si="6"/>
        <v>0.12531887755102042</v>
      </c>
      <c r="P47" s="16">
        <f t="shared" si="7"/>
        <v>1.6035714285714289E-2</v>
      </c>
      <c r="Q47" s="16">
        <f t="shared" si="8"/>
        <v>6.4142857142857154E-2</v>
      </c>
      <c r="R47" s="13">
        <f t="shared" si="9"/>
        <v>9.6214285714285724E-3</v>
      </c>
    </row>
    <row r="48" spans="1:18" x14ac:dyDescent="0.25">
      <c r="A48">
        <f t="shared" si="12"/>
        <v>43</v>
      </c>
      <c r="B48">
        <f t="shared" si="12"/>
        <v>2060</v>
      </c>
      <c r="C48" s="16">
        <f>MIN(MAX($A48-Inputs!$I$116,0),1)*Inputs!$I$117</f>
        <v>0.5</v>
      </c>
      <c r="D48" s="16">
        <f>MIN(MAX($A48-Inputs!$I$116,0),1)*Inputs!$I$118</f>
        <v>0.25</v>
      </c>
      <c r="E48" s="16">
        <f>MIN(MAX($A48-Inputs!$I$116,0),1)*Inputs!$I$119</f>
        <v>0.1</v>
      </c>
      <c r="F48" s="16">
        <f>MIN(MAX($A48-Inputs!$I$116,0),1)*Inputs!$I$120</f>
        <v>0.25</v>
      </c>
      <c r="G48" s="16">
        <f>MIN(MAX($A48-Inputs!$I$116,0),1)*Inputs!$I$121</f>
        <v>0.1</v>
      </c>
      <c r="H48" s="16">
        <f>MIN(MAX($A48-Inputs!$I$116,0),1)*Inputs!$I$122</f>
        <v>0.05</v>
      </c>
      <c r="I48" s="125">
        <f t="shared" si="0"/>
        <v>0.1014955357142857</v>
      </c>
      <c r="J48" s="126">
        <f t="shared" si="1"/>
        <v>0.19437499999999996</v>
      </c>
      <c r="K48" s="125">
        <f t="shared" si="2"/>
        <v>2.0999999999999998E-2</v>
      </c>
      <c r="L48" s="126">
        <f t="shared" si="3"/>
        <v>0.17544642857142856</v>
      </c>
      <c r="M48" s="125">
        <f t="shared" si="4"/>
        <v>8.0178571428571432E-2</v>
      </c>
      <c r="N48" s="16">
        <f t="shared" si="5"/>
        <v>5.0127551020408161E-2</v>
      </c>
      <c r="O48" s="16">
        <f t="shared" si="6"/>
        <v>0.12531887755102042</v>
      </c>
      <c r="P48" s="16">
        <f t="shared" si="7"/>
        <v>1.6035714285714289E-2</v>
      </c>
      <c r="Q48" s="16">
        <f t="shared" si="8"/>
        <v>6.4142857142857154E-2</v>
      </c>
      <c r="R48" s="13">
        <f t="shared" si="9"/>
        <v>9.6214285714285724E-3</v>
      </c>
    </row>
    <row r="49" spans="1:18" x14ac:dyDescent="0.25">
      <c r="A49">
        <f t="shared" si="12"/>
        <v>44</v>
      </c>
      <c r="B49">
        <f t="shared" si="12"/>
        <v>2061</v>
      </c>
      <c r="C49" s="16">
        <f>MIN(MAX($A49-Inputs!$I$116,0),1)*Inputs!$I$117</f>
        <v>0.5</v>
      </c>
      <c r="D49" s="16">
        <f>MIN(MAX($A49-Inputs!$I$116,0),1)*Inputs!$I$118</f>
        <v>0.25</v>
      </c>
      <c r="E49" s="16">
        <f>MIN(MAX($A49-Inputs!$I$116,0),1)*Inputs!$I$119</f>
        <v>0.1</v>
      </c>
      <c r="F49" s="16">
        <f>MIN(MAX($A49-Inputs!$I$116,0),1)*Inputs!$I$120</f>
        <v>0.25</v>
      </c>
      <c r="G49" s="16">
        <f>MIN(MAX($A49-Inputs!$I$116,0),1)*Inputs!$I$121</f>
        <v>0.1</v>
      </c>
      <c r="H49" s="16">
        <f>MIN(MAX($A49-Inputs!$I$116,0),1)*Inputs!$I$122</f>
        <v>0.05</v>
      </c>
      <c r="I49" s="125">
        <f t="shared" si="0"/>
        <v>0.1014955357142857</v>
      </c>
      <c r="J49" s="126">
        <f t="shared" si="1"/>
        <v>0.19437499999999996</v>
      </c>
      <c r="K49" s="125">
        <f t="shared" si="2"/>
        <v>2.0999999999999998E-2</v>
      </c>
      <c r="L49" s="126">
        <f t="shared" si="3"/>
        <v>0.17544642857142856</v>
      </c>
      <c r="M49" s="125">
        <f t="shared" si="4"/>
        <v>8.0178571428571432E-2</v>
      </c>
      <c r="N49" s="16">
        <f t="shared" si="5"/>
        <v>5.0127551020408161E-2</v>
      </c>
      <c r="O49" s="16">
        <f t="shared" si="6"/>
        <v>0.12531887755102042</v>
      </c>
      <c r="P49" s="16">
        <f t="shared" si="7"/>
        <v>1.6035714285714289E-2</v>
      </c>
      <c r="Q49" s="16">
        <f t="shared" si="8"/>
        <v>6.4142857142857154E-2</v>
      </c>
      <c r="R49" s="13">
        <f t="shared" si="9"/>
        <v>9.6214285714285724E-3</v>
      </c>
    </row>
    <row r="50" spans="1:18" x14ac:dyDescent="0.25">
      <c r="A50">
        <f t="shared" si="12"/>
        <v>45</v>
      </c>
      <c r="B50">
        <f t="shared" si="12"/>
        <v>2062</v>
      </c>
      <c r="C50" s="16">
        <f>MIN(MAX($A50-Inputs!$I$116,0),1)*Inputs!$I$117</f>
        <v>0.5</v>
      </c>
      <c r="D50" s="16">
        <f>MIN(MAX($A50-Inputs!$I$116,0),1)*Inputs!$I$118</f>
        <v>0.25</v>
      </c>
      <c r="E50" s="16">
        <f>MIN(MAX($A50-Inputs!$I$116,0),1)*Inputs!$I$119</f>
        <v>0.1</v>
      </c>
      <c r="F50" s="16">
        <f>MIN(MAX($A50-Inputs!$I$116,0),1)*Inputs!$I$120</f>
        <v>0.25</v>
      </c>
      <c r="G50" s="16">
        <f>MIN(MAX($A50-Inputs!$I$116,0),1)*Inputs!$I$121</f>
        <v>0.1</v>
      </c>
      <c r="H50" s="16">
        <f>MIN(MAX($A50-Inputs!$I$116,0),1)*Inputs!$I$122</f>
        <v>0.05</v>
      </c>
      <c r="I50" s="125">
        <f t="shared" si="0"/>
        <v>0.1014955357142857</v>
      </c>
      <c r="J50" s="126">
        <f t="shared" si="1"/>
        <v>0.19437499999999996</v>
      </c>
      <c r="K50" s="125">
        <f t="shared" si="2"/>
        <v>2.0999999999999998E-2</v>
      </c>
      <c r="L50" s="126">
        <f t="shared" si="3"/>
        <v>0.17544642857142856</v>
      </c>
      <c r="M50" s="125">
        <f t="shared" si="4"/>
        <v>8.0178571428571432E-2</v>
      </c>
      <c r="N50" s="16">
        <f t="shared" si="5"/>
        <v>5.0127551020408161E-2</v>
      </c>
      <c r="O50" s="16">
        <f t="shared" si="6"/>
        <v>0.12531887755102042</v>
      </c>
      <c r="P50" s="16">
        <f t="shared" si="7"/>
        <v>1.6035714285714289E-2</v>
      </c>
      <c r="Q50" s="16">
        <f t="shared" si="8"/>
        <v>6.4142857142857154E-2</v>
      </c>
      <c r="R50" s="13">
        <f t="shared" si="9"/>
        <v>9.6214285714285724E-3</v>
      </c>
    </row>
    <row r="51" spans="1:18" x14ac:dyDescent="0.25">
      <c r="A51">
        <f t="shared" si="12"/>
        <v>46</v>
      </c>
      <c r="B51">
        <f t="shared" si="12"/>
        <v>2063</v>
      </c>
      <c r="C51" s="16">
        <f>MIN(MAX($A51-Inputs!$I$116,0),1)*Inputs!$I$117</f>
        <v>0.5</v>
      </c>
      <c r="D51" s="16">
        <f>MIN(MAX($A51-Inputs!$I$116,0),1)*Inputs!$I$118</f>
        <v>0.25</v>
      </c>
      <c r="E51" s="16">
        <f>MIN(MAX($A51-Inputs!$I$116,0),1)*Inputs!$I$119</f>
        <v>0.1</v>
      </c>
      <c r="F51" s="16">
        <f>MIN(MAX($A51-Inputs!$I$116,0),1)*Inputs!$I$120</f>
        <v>0.25</v>
      </c>
      <c r="G51" s="16">
        <f>MIN(MAX($A51-Inputs!$I$116,0),1)*Inputs!$I$121</f>
        <v>0.1</v>
      </c>
      <c r="H51" s="16">
        <f>MIN(MAX($A51-Inputs!$I$116,0),1)*Inputs!$I$122</f>
        <v>0.05</v>
      </c>
      <c r="I51" s="125">
        <f t="shared" si="0"/>
        <v>0.1014955357142857</v>
      </c>
      <c r="J51" s="126">
        <f t="shared" si="1"/>
        <v>0.19437499999999996</v>
      </c>
      <c r="K51" s="125">
        <f t="shared" si="2"/>
        <v>2.0999999999999998E-2</v>
      </c>
      <c r="L51" s="126">
        <f t="shared" si="3"/>
        <v>0.17544642857142856</v>
      </c>
      <c r="M51" s="125">
        <f t="shared" si="4"/>
        <v>8.0178571428571432E-2</v>
      </c>
      <c r="N51" s="16">
        <f t="shared" si="5"/>
        <v>5.0127551020408161E-2</v>
      </c>
      <c r="O51" s="16">
        <f t="shared" si="6"/>
        <v>0.12531887755102042</v>
      </c>
      <c r="P51" s="16">
        <f t="shared" si="7"/>
        <v>1.6035714285714289E-2</v>
      </c>
      <c r="Q51" s="16">
        <f t="shared" si="8"/>
        <v>6.4142857142857154E-2</v>
      </c>
      <c r="R51" s="13">
        <f t="shared" si="9"/>
        <v>9.6214285714285724E-3</v>
      </c>
    </row>
    <row r="52" spans="1:18" x14ac:dyDescent="0.25">
      <c r="A52">
        <f t="shared" si="12"/>
        <v>47</v>
      </c>
      <c r="B52">
        <f t="shared" si="12"/>
        <v>2064</v>
      </c>
      <c r="C52" s="16">
        <f>MIN(MAX($A52-Inputs!$I$116,0),1)*Inputs!$I$117</f>
        <v>0.5</v>
      </c>
      <c r="D52" s="16">
        <f>MIN(MAX($A52-Inputs!$I$116,0),1)*Inputs!$I$118</f>
        <v>0.25</v>
      </c>
      <c r="E52" s="16">
        <f>MIN(MAX($A52-Inputs!$I$116,0),1)*Inputs!$I$119</f>
        <v>0.1</v>
      </c>
      <c r="F52" s="16">
        <f>MIN(MAX($A52-Inputs!$I$116,0),1)*Inputs!$I$120</f>
        <v>0.25</v>
      </c>
      <c r="G52" s="16">
        <f>MIN(MAX($A52-Inputs!$I$116,0),1)*Inputs!$I$121</f>
        <v>0.1</v>
      </c>
      <c r="H52" s="16">
        <f>MIN(MAX($A52-Inputs!$I$116,0),1)*Inputs!$I$122</f>
        <v>0.05</v>
      </c>
      <c r="I52" s="125">
        <f t="shared" si="0"/>
        <v>0.1014955357142857</v>
      </c>
      <c r="J52" s="126">
        <f t="shared" si="1"/>
        <v>0.19437499999999996</v>
      </c>
      <c r="K52" s="125">
        <f t="shared" si="2"/>
        <v>2.0999999999999998E-2</v>
      </c>
      <c r="L52" s="126">
        <f t="shared" si="3"/>
        <v>0.17544642857142856</v>
      </c>
      <c r="M52" s="125">
        <f t="shared" si="4"/>
        <v>8.0178571428571432E-2</v>
      </c>
      <c r="N52" s="16">
        <f t="shared" si="5"/>
        <v>5.0127551020408161E-2</v>
      </c>
      <c r="O52" s="16">
        <f t="shared" si="6"/>
        <v>0.12531887755102042</v>
      </c>
      <c r="P52" s="16">
        <f t="shared" si="7"/>
        <v>1.6035714285714289E-2</v>
      </c>
      <c r="Q52" s="16">
        <f t="shared" si="8"/>
        <v>6.4142857142857154E-2</v>
      </c>
      <c r="R52" s="13">
        <f t="shared" si="9"/>
        <v>9.6214285714285724E-3</v>
      </c>
    </row>
    <row r="53" spans="1:18" x14ac:dyDescent="0.25">
      <c r="A53">
        <f t="shared" si="12"/>
        <v>48</v>
      </c>
      <c r="B53">
        <f t="shared" si="12"/>
        <v>2065</v>
      </c>
      <c r="C53" s="16">
        <f>MIN(MAX($A53-Inputs!$I$116,0),1)*Inputs!$I$117</f>
        <v>0.5</v>
      </c>
      <c r="D53" s="16">
        <f>MIN(MAX($A53-Inputs!$I$116,0),1)*Inputs!$I$118</f>
        <v>0.25</v>
      </c>
      <c r="E53" s="16">
        <f>MIN(MAX($A53-Inputs!$I$116,0),1)*Inputs!$I$119</f>
        <v>0.1</v>
      </c>
      <c r="F53" s="16">
        <f>MIN(MAX($A53-Inputs!$I$116,0),1)*Inputs!$I$120</f>
        <v>0.25</v>
      </c>
      <c r="G53" s="16">
        <f>MIN(MAX($A53-Inputs!$I$116,0),1)*Inputs!$I$121</f>
        <v>0.1</v>
      </c>
      <c r="H53" s="16">
        <f>MIN(MAX($A53-Inputs!$I$116,0),1)*Inputs!$I$122</f>
        <v>0.05</v>
      </c>
      <c r="I53" s="125">
        <f t="shared" si="0"/>
        <v>0.1014955357142857</v>
      </c>
      <c r="J53" s="126">
        <f t="shared" si="1"/>
        <v>0.19437499999999996</v>
      </c>
      <c r="K53" s="125">
        <f t="shared" si="2"/>
        <v>2.0999999999999998E-2</v>
      </c>
      <c r="L53" s="126">
        <f t="shared" si="3"/>
        <v>0.17544642857142856</v>
      </c>
      <c r="M53" s="125">
        <f t="shared" si="4"/>
        <v>8.0178571428571432E-2</v>
      </c>
      <c r="N53" s="16">
        <f t="shared" si="5"/>
        <v>5.0127551020408161E-2</v>
      </c>
      <c r="O53" s="16">
        <f t="shared" si="6"/>
        <v>0.12531887755102042</v>
      </c>
      <c r="P53" s="16">
        <f t="shared" si="7"/>
        <v>1.6035714285714289E-2</v>
      </c>
      <c r="Q53" s="16">
        <f t="shared" si="8"/>
        <v>6.4142857142857154E-2</v>
      </c>
      <c r="R53" s="13">
        <f t="shared" si="9"/>
        <v>9.6214285714285724E-3</v>
      </c>
    </row>
    <row r="54" spans="1:18" x14ac:dyDescent="0.25">
      <c r="A54">
        <f t="shared" si="12"/>
        <v>49</v>
      </c>
      <c r="B54">
        <f t="shared" si="12"/>
        <v>2066</v>
      </c>
      <c r="C54" s="16">
        <f>MIN(MAX($A54-Inputs!$I$116,0),1)*Inputs!$I$117</f>
        <v>0.5</v>
      </c>
      <c r="D54" s="16">
        <f>MIN(MAX($A54-Inputs!$I$116,0),1)*Inputs!$I$118</f>
        <v>0.25</v>
      </c>
      <c r="E54" s="16">
        <f>MIN(MAX($A54-Inputs!$I$116,0),1)*Inputs!$I$119</f>
        <v>0.1</v>
      </c>
      <c r="F54" s="16">
        <f>MIN(MAX($A54-Inputs!$I$116,0),1)*Inputs!$I$120</f>
        <v>0.25</v>
      </c>
      <c r="G54" s="16">
        <f>MIN(MAX($A54-Inputs!$I$116,0),1)*Inputs!$I$121</f>
        <v>0.1</v>
      </c>
      <c r="H54" s="16">
        <f>MIN(MAX($A54-Inputs!$I$116,0),1)*Inputs!$I$122</f>
        <v>0.05</v>
      </c>
      <c r="I54" s="125">
        <f t="shared" si="0"/>
        <v>0.1014955357142857</v>
      </c>
      <c r="J54" s="126">
        <f t="shared" si="1"/>
        <v>0.19437499999999996</v>
      </c>
      <c r="K54" s="125">
        <f t="shared" si="2"/>
        <v>2.0999999999999998E-2</v>
      </c>
      <c r="L54" s="126">
        <f t="shared" si="3"/>
        <v>0.17544642857142856</v>
      </c>
      <c r="M54" s="125">
        <f t="shared" si="4"/>
        <v>8.0178571428571432E-2</v>
      </c>
      <c r="N54" s="16">
        <f t="shared" si="5"/>
        <v>5.0127551020408161E-2</v>
      </c>
      <c r="O54" s="16">
        <f t="shared" si="6"/>
        <v>0.12531887755102042</v>
      </c>
      <c r="P54" s="16">
        <f t="shared" si="7"/>
        <v>1.6035714285714289E-2</v>
      </c>
      <c r="Q54" s="16">
        <f t="shared" si="8"/>
        <v>6.4142857142857154E-2</v>
      </c>
      <c r="R54" s="13">
        <f t="shared" si="9"/>
        <v>9.6214285714285724E-3</v>
      </c>
    </row>
    <row r="55" spans="1:18" x14ac:dyDescent="0.25">
      <c r="A55">
        <f t="shared" si="12"/>
        <v>50</v>
      </c>
      <c r="B55">
        <f t="shared" si="12"/>
        <v>2067</v>
      </c>
      <c r="C55" s="16">
        <f>MIN(MAX($A55-Inputs!$I$116,0),1)*Inputs!$I$117</f>
        <v>0.5</v>
      </c>
      <c r="D55" s="16">
        <f>MIN(MAX($A55-Inputs!$I$116,0),1)*Inputs!$I$118</f>
        <v>0.25</v>
      </c>
      <c r="E55" s="16">
        <f>MIN(MAX($A55-Inputs!$I$116,0),1)*Inputs!$I$119</f>
        <v>0.1</v>
      </c>
      <c r="F55" s="16">
        <f>MIN(MAX($A55-Inputs!$I$116,0),1)*Inputs!$I$120</f>
        <v>0.25</v>
      </c>
      <c r="G55" s="16">
        <f>MIN(MAX($A55-Inputs!$I$116,0),1)*Inputs!$I$121</f>
        <v>0.1</v>
      </c>
      <c r="H55" s="16">
        <f>MIN(MAX($A55-Inputs!$I$116,0),1)*Inputs!$I$122</f>
        <v>0.05</v>
      </c>
      <c r="I55" s="125">
        <f t="shared" si="0"/>
        <v>0.1014955357142857</v>
      </c>
      <c r="J55" s="126">
        <f t="shared" si="1"/>
        <v>0.19437499999999996</v>
      </c>
      <c r="K55" s="125">
        <f t="shared" si="2"/>
        <v>2.0999999999999998E-2</v>
      </c>
      <c r="L55" s="126">
        <f t="shared" si="3"/>
        <v>0.17544642857142856</v>
      </c>
      <c r="M55" s="125">
        <f t="shared" si="4"/>
        <v>8.0178571428571432E-2</v>
      </c>
      <c r="N55" s="16">
        <f t="shared" si="5"/>
        <v>5.0127551020408161E-2</v>
      </c>
      <c r="O55" s="16">
        <f t="shared" si="6"/>
        <v>0.12531887755102042</v>
      </c>
      <c r="P55" s="16">
        <f t="shared" si="7"/>
        <v>1.6035714285714289E-2</v>
      </c>
      <c r="Q55" s="16">
        <f t="shared" si="8"/>
        <v>6.4142857142857154E-2</v>
      </c>
      <c r="R55" s="13">
        <f t="shared" si="9"/>
        <v>9.6214285714285724E-3</v>
      </c>
    </row>
    <row r="56" spans="1:18" x14ac:dyDescent="0.25">
      <c r="A56">
        <f t="shared" ref="A56:B58" si="13">A55+1</f>
        <v>51</v>
      </c>
      <c r="B56">
        <f t="shared" si="13"/>
        <v>2068</v>
      </c>
      <c r="C56" s="16">
        <f>MIN(MAX($A56-Inputs!$I$116,0),1)*Inputs!$I$117</f>
        <v>0.5</v>
      </c>
      <c r="D56" s="16">
        <f>MIN(MAX($A56-Inputs!$I$116,0),1)*Inputs!$I$118</f>
        <v>0.25</v>
      </c>
      <c r="E56" s="16">
        <f>MIN(MAX($A56-Inputs!$I$116,0),1)*Inputs!$I$119</f>
        <v>0.1</v>
      </c>
      <c r="F56" s="16">
        <f>MIN(MAX($A56-Inputs!$I$116,0),1)*Inputs!$I$120</f>
        <v>0.25</v>
      </c>
      <c r="G56" s="16">
        <f>MIN(MAX($A56-Inputs!$I$116,0),1)*Inputs!$I$121</f>
        <v>0.1</v>
      </c>
      <c r="H56" s="16">
        <f>MIN(MAX($A56-Inputs!$I$116,0),1)*Inputs!$I$122</f>
        <v>0.05</v>
      </c>
      <c r="I56" s="125">
        <f t="shared" si="0"/>
        <v>0.1014955357142857</v>
      </c>
      <c r="J56" s="126">
        <f t="shared" si="1"/>
        <v>0.19437499999999996</v>
      </c>
      <c r="K56" s="125">
        <f t="shared" si="2"/>
        <v>2.0999999999999998E-2</v>
      </c>
      <c r="L56" s="126">
        <f t="shared" si="3"/>
        <v>0.17544642857142856</v>
      </c>
      <c r="M56" s="125">
        <f t="shared" si="4"/>
        <v>8.0178571428571432E-2</v>
      </c>
      <c r="N56" s="16">
        <f t="shared" si="5"/>
        <v>5.0127551020408161E-2</v>
      </c>
      <c r="O56" s="16">
        <f t="shared" si="6"/>
        <v>0.12531887755102042</v>
      </c>
      <c r="P56" s="16">
        <f t="shared" si="7"/>
        <v>1.6035714285714289E-2</v>
      </c>
      <c r="Q56" s="16">
        <f t="shared" si="8"/>
        <v>6.4142857142857154E-2</v>
      </c>
      <c r="R56" s="13">
        <f t="shared" si="9"/>
        <v>9.6214285714285724E-3</v>
      </c>
    </row>
    <row r="57" spans="1:18" x14ac:dyDescent="0.25">
      <c r="A57">
        <f t="shared" si="13"/>
        <v>52</v>
      </c>
      <c r="B57">
        <f t="shared" si="13"/>
        <v>2069</v>
      </c>
      <c r="C57" s="16">
        <f>MIN(MAX($A57-Inputs!$I$116,0),1)*Inputs!$I$117</f>
        <v>0.5</v>
      </c>
      <c r="D57" s="16">
        <f>MIN(MAX($A57-Inputs!$I$116,0),1)*Inputs!$I$118</f>
        <v>0.25</v>
      </c>
      <c r="E57" s="16">
        <f>MIN(MAX($A57-Inputs!$I$116,0),1)*Inputs!$I$119</f>
        <v>0.1</v>
      </c>
      <c r="F57" s="16">
        <f>MIN(MAX($A57-Inputs!$I$116,0),1)*Inputs!$I$120</f>
        <v>0.25</v>
      </c>
      <c r="G57" s="16">
        <f>MIN(MAX($A57-Inputs!$I$116,0),1)*Inputs!$I$121</f>
        <v>0.1</v>
      </c>
      <c r="H57" s="16">
        <f>MIN(MAX($A57-Inputs!$I$116,0),1)*Inputs!$I$122</f>
        <v>0.05</v>
      </c>
      <c r="I57" s="125">
        <f t="shared" si="0"/>
        <v>0.1014955357142857</v>
      </c>
      <c r="J57" s="126">
        <f t="shared" si="1"/>
        <v>0.19437499999999996</v>
      </c>
      <c r="K57" s="125">
        <f t="shared" si="2"/>
        <v>2.0999999999999998E-2</v>
      </c>
      <c r="L57" s="126">
        <f t="shared" si="3"/>
        <v>0.17544642857142856</v>
      </c>
      <c r="M57" s="125">
        <f t="shared" si="4"/>
        <v>8.0178571428571432E-2</v>
      </c>
      <c r="N57" s="16">
        <f t="shared" si="5"/>
        <v>5.0127551020408161E-2</v>
      </c>
      <c r="O57" s="16">
        <f t="shared" si="6"/>
        <v>0.12531887755102042</v>
      </c>
      <c r="P57" s="16">
        <f t="shared" si="7"/>
        <v>1.6035714285714289E-2</v>
      </c>
      <c r="Q57" s="16">
        <f t="shared" si="8"/>
        <v>6.4142857142857154E-2</v>
      </c>
      <c r="R57" s="13">
        <f t="shared" si="9"/>
        <v>9.6214285714285724E-3</v>
      </c>
    </row>
    <row r="58" spans="1:18" x14ac:dyDescent="0.25">
      <c r="A58">
        <f t="shared" si="13"/>
        <v>53</v>
      </c>
      <c r="B58">
        <f t="shared" si="13"/>
        <v>2070</v>
      </c>
      <c r="C58" s="16">
        <f>MIN(MAX($A58-Inputs!$I$116,0),1)*Inputs!$I$117</f>
        <v>0.5</v>
      </c>
      <c r="D58" s="16">
        <f>MIN(MAX($A58-Inputs!$I$116,0),1)*Inputs!$I$118</f>
        <v>0.25</v>
      </c>
      <c r="E58" s="16">
        <f>MIN(MAX($A58-Inputs!$I$116,0),1)*Inputs!$I$119</f>
        <v>0.1</v>
      </c>
      <c r="F58" s="16">
        <f>MIN(MAX($A58-Inputs!$I$116,0),1)*Inputs!$I$120</f>
        <v>0.25</v>
      </c>
      <c r="G58" s="16">
        <f>MIN(MAX($A58-Inputs!$I$116,0),1)*Inputs!$I$121</f>
        <v>0.1</v>
      </c>
      <c r="H58" s="16">
        <f>MIN(MAX($A58-Inputs!$I$116,0),1)*Inputs!$I$122</f>
        <v>0.05</v>
      </c>
      <c r="I58" s="125">
        <f t="shared" si="0"/>
        <v>0.1014955357142857</v>
      </c>
      <c r="J58" s="126">
        <f t="shared" si="1"/>
        <v>0.19437499999999996</v>
      </c>
      <c r="K58" s="125">
        <f t="shared" si="2"/>
        <v>2.0999999999999998E-2</v>
      </c>
      <c r="L58" s="126">
        <f t="shared" si="3"/>
        <v>0.17544642857142856</v>
      </c>
      <c r="M58" s="125">
        <f t="shared" si="4"/>
        <v>8.0178571428571432E-2</v>
      </c>
      <c r="N58" s="16">
        <f t="shared" si="5"/>
        <v>5.0127551020408161E-2</v>
      </c>
      <c r="O58" s="16">
        <f t="shared" si="6"/>
        <v>0.12531887755102042</v>
      </c>
      <c r="P58" s="16">
        <f t="shared" si="7"/>
        <v>1.6035714285714289E-2</v>
      </c>
      <c r="Q58" s="16">
        <f t="shared" si="8"/>
        <v>6.4142857142857154E-2</v>
      </c>
      <c r="R58" s="13">
        <f t="shared" si="9"/>
        <v>9.6214285714285724E-3</v>
      </c>
    </row>
  </sheetData>
  <mergeCells count="2">
    <mergeCell ref="N3:O3"/>
    <mergeCell ref="P3:Q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67"/>
  <sheetViews>
    <sheetView zoomScaleNormal="100" workbookViewId="0">
      <selection activeCell="C16" sqref="C16"/>
    </sheetView>
  </sheetViews>
  <sheetFormatPr defaultRowHeight="15" x14ac:dyDescent="0.25"/>
  <cols>
    <col min="1" max="1" width="6" customWidth="1"/>
    <col min="5" max="5" width="8.5703125" customWidth="1"/>
    <col min="6" max="6" width="10.85546875" customWidth="1"/>
  </cols>
  <sheetData>
    <row r="1" spans="1:26" ht="15.75" x14ac:dyDescent="0.25">
      <c r="A1" s="26" t="s">
        <v>127</v>
      </c>
    </row>
    <row r="2" spans="1:26" x14ac:dyDescent="0.25">
      <c r="A2" s="7" t="s">
        <v>137</v>
      </c>
      <c r="D2" s="172" t="s">
        <v>103</v>
      </c>
      <c r="E2" s="172"/>
      <c r="F2" s="172"/>
      <c r="I2" s="172" t="s">
        <v>104</v>
      </c>
      <c r="J2" s="172"/>
      <c r="K2" s="172"/>
    </row>
    <row r="3" spans="1:26" x14ac:dyDescent="0.25">
      <c r="A3" t="s">
        <v>138</v>
      </c>
      <c r="D3" s="65">
        <v>1.5</v>
      </c>
      <c r="E3" s="65">
        <f>3/5</f>
        <v>0.6</v>
      </c>
      <c r="F3" s="65">
        <v>1</v>
      </c>
      <c r="I3" s="65">
        <v>1.2</v>
      </c>
      <c r="J3" s="65">
        <f>3/5</f>
        <v>0.6</v>
      </c>
      <c r="K3" s="65">
        <v>1</v>
      </c>
    </row>
    <row r="4" spans="1:26" x14ac:dyDescent="0.25">
      <c r="A4" t="s">
        <v>139</v>
      </c>
      <c r="D4" s="65">
        <v>1</v>
      </c>
      <c r="E4" s="65">
        <v>0.5</v>
      </c>
      <c r="F4" s="65">
        <v>0.25</v>
      </c>
      <c r="I4" s="65">
        <v>0.6</v>
      </c>
      <c r="J4" s="65">
        <v>0.4</v>
      </c>
      <c r="K4" s="65">
        <v>0.25</v>
      </c>
    </row>
    <row r="5" spans="1:26" x14ac:dyDescent="0.25">
      <c r="A5" t="s">
        <v>141</v>
      </c>
      <c r="D5" s="68">
        <v>0</v>
      </c>
      <c r="E5" s="68">
        <v>0.2</v>
      </c>
      <c r="F5" s="68">
        <v>0.1</v>
      </c>
      <c r="I5" s="68">
        <v>0</v>
      </c>
      <c r="J5" s="68">
        <v>0.2</v>
      </c>
      <c r="K5" s="68">
        <v>0.1</v>
      </c>
    </row>
    <row r="6" spans="1:26" x14ac:dyDescent="0.25">
      <c r="A6" t="s">
        <v>140</v>
      </c>
      <c r="D6" s="68">
        <v>0.2</v>
      </c>
      <c r="E6" s="68">
        <v>0.2</v>
      </c>
      <c r="F6" s="68">
        <v>0.1</v>
      </c>
      <c r="I6" s="68">
        <v>0.2</v>
      </c>
      <c r="J6" s="68">
        <v>0.2</v>
      </c>
      <c r="K6" s="68">
        <v>0.1</v>
      </c>
    </row>
    <row r="7" spans="1:26" x14ac:dyDescent="0.25">
      <c r="D7" s="65"/>
      <c r="E7" s="65"/>
      <c r="F7" s="65"/>
      <c r="I7" s="65"/>
      <c r="J7" s="65"/>
      <c r="K7" s="65"/>
    </row>
    <row r="8" spans="1:26" x14ac:dyDescent="0.25">
      <c r="A8" s="7" t="s">
        <v>197</v>
      </c>
      <c r="B8" s="12"/>
      <c r="D8">
        <f>Inputs!I5*D3</f>
        <v>1.5</v>
      </c>
      <c r="E8">
        <f>Inputs!I6*E3</f>
        <v>3</v>
      </c>
      <c r="F8">
        <f>Inputs!I7*F3</f>
        <v>15</v>
      </c>
      <c r="H8" s="12"/>
      <c r="I8">
        <f>Inputs!I8*I3</f>
        <v>1.2</v>
      </c>
      <c r="J8">
        <f>Inputs!I9*J3</f>
        <v>3</v>
      </c>
      <c r="K8">
        <f>Inputs!I10*K3</f>
        <v>17</v>
      </c>
    </row>
    <row r="9" spans="1:26" x14ac:dyDescent="0.25">
      <c r="B9" s="12"/>
      <c r="D9">
        <v>0.5</v>
      </c>
      <c r="E9">
        <v>0.5</v>
      </c>
      <c r="F9">
        <v>1.75</v>
      </c>
      <c r="H9" s="12"/>
      <c r="I9">
        <v>0.5</v>
      </c>
      <c r="J9">
        <v>0.5</v>
      </c>
      <c r="K9">
        <v>1.6</v>
      </c>
      <c r="Z9" s="7"/>
    </row>
    <row r="10" spans="1:26" x14ac:dyDescent="0.25">
      <c r="B10" s="12"/>
      <c r="D10">
        <v>5.35</v>
      </c>
      <c r="E10">
        <v>5.7</v>
      </c>
      <c r="F10">
        <v>0.8</v>
      </c>
      <c r="H10" s="12"/>
      <c r="I10">
        <v>5.52</v>
      </c>
      <c r="J10">
        <v>5.8</v>
      </c>
      <c r="K10">
        <v>0.8</v>
      </c>
    </row>
    <row r="11" spans="1:26" x14ac:dyDescent="0.25">
      <c r="B11" s="12"/>
      <c r="D11">
        <v>1</v>
      </c>
      <c r="E11">
        <v>1.1000000000000001</v>
      </c>
      <c r="F11">
        <v>60</v>
      </c>
      <c r="H11" s="12"/>
      <c r="I11">
        <v>1</v>
      </c>
      <c r="J11">
        <v>1.1000000000000001</v>
      </c>
      <c r="K11">
        <v>59</v>
      </c>
    </row>
    <row r="12" spans="1:26" x14ac:dyDescent="0.25">
      <c r="B12" s="12"/>
      <c r="D12">
        <v>0.1</v>
      </c>
      <c r="E12">
        <v>0.35</v>
      </c>
      <c r="F12">
        <v>0</v>
      </c>
      <c r="H12" s="12"/>
      <c r="I12">
        <v>1</v>
      </c>
      <c r="J12">
        <v>10</v>
      </c>
      <c r="K12">
        <v>0</v>
      </c>
    </row>
    <row r="13" spans="1:26" x14ac:dyDescent="0.25">
      <c r="B13" s="12"/>
      <c r="D13">
        <f>Inputs!I14*D4</f>
        <v>1</v>
      </c>
      <c r="E13">
        <f>Inputs!I15*E4</f>
        <v>2</v>
      </c>
      <c r="F13">
        <f>Inputs!I16*F4</f>
        <v>2</v>
      </c>
      <c r="H13" s="12"/>
      <c r="I13">
        <f>Inputs!I17*I4</f>
        <v>0.6</v>
      </c>
      <c r="J13">
        <f>Inputs!I18*J4</f>
        <v>1.2000000000000002</v>
      </c>
      <c r="K13">
        <f>Inputs!I19*K4</f>
        <v>2</v>
      </c>
    </row>
    <row r="14" spans="1:26" x14ac:dyDescent="0.25">
      <c r="B14" s="1" t="s">
        <v>97</v>
      </c>
      <c r="C14" s="1" t="s">
        <v>99</v>
      </c>
      <c r="D14" s="1" t="s">
        <v>100</v>
      </c>
      <c r="E14" s="1" t="s">
        <v>101</v>
      </c>
      <c r="F14" s="1" t="s">
        <v>102</v>
      </c>
      <c r="G14" s="1" t="s">
        <v>98</v>
      </c>
      <c r="H14" s="1" t="s">
        <v>99</v>
      </c>
      <c r="I14" s="1" t="s">
        <v>100</v>
      </c>
      <c r="J14" s="1" t="s">
        <v>101</v>
      </c>
      <c r="K14" s="1" t="s">
        <v>102</v>
      </c>
      <c r="L14" s="1" t="s">
        <v>98</v>
      </c>
    </row>
    <row r="15" spans="1:26" x14ac:dyDescent="0.25">
      <c r="A15">
        <v>1</v>
      </c>
      <c r="B15">
        <f>City!B3</f>
        <v>2018</v>
      </c>
      <c r="C15" s="13">
        <f>MAX(1-G15,0)</f>
        <v>0.99984576920405754</v>
      </c>
      <c r="D15" s="14">
        <f>MAX(POWER(MAX($A15-D$13,0)/D$8+D$9,D$10)*EXP(-(MAX($A15-D$13,0)/D$8+D$11)-(E15*E15*E15*E15+F15*F15*F15)/D$12)*(1+Dedicate!$E5*D$5)*(1+Connect!$E5*D$6)/100,0)</f>
        <v>9.0197612339455296E-5</v>
      </c>
      <c r="E15" s="14">
        <f>MIN(MAX(POWER(MAX($A15-E$13,0)/E$8+E$9,E$10)*EXP(-(MAX($A15-E$13,0)/E$8+E$11)-F15*F15*F15/E$12)*(1+Dedicate!$E5*E$5)*(1+Connect!$E5*E$6)/100,0),1)</f>
        <v>6.403318360296229E-5</v>
      </c>
      <c r="F15" s="14">
        <f>MIN(MAX((((MAX($A15-F$13,0)/F$8-F$9)/SQRT(1+POWER(MAX($A15-F$13,0)/F$8-F$9,2))+F$10)*F$11)*(1+Dedicate!$E5*F$5)*(1+Connect!$E5*F$6)/100,0),1)</f>
        <v>0</v>
      </c>
      <c r="G15" s="14">
        <f>MIN(E15+F15+D15,1)</f>
        <v>1.542307959424176E-4</v>
      </c>
      <c r="H15" s="13">
        <f>MAX(1-L15,0)</f>
        <v>0.99897673608351623</v>
      </c>
      <c r="I15" s="14">
        <f>MAX(POWER(MAX($A15-I$13,0)/I$8+I$9,I$10)*EXP(-(MAX($A15-I$13,0)/I$8+I$11)-(J15*J15*J15*J15+K15*K15*K15)/I$12)*(1+Dedicate!$E5*I$5)*(1+Connect!$E5/5*I$6)/100,0)</f>
        <v>9.6351884362913184E-4</v>
      </c>
      <c r="J15" s="14">
        <f>MIN(MAX(POWER(MAX($A15-J$13,0)/J$8+J$9,J$10)*EXP(-(MAX($A15-J$13,0)/J$8+J$11)-K15*K15*K15/J$12)*(1+Dedicate!$E5*J$5)*(1+Connect!$E5*J$6)/100,0),1)</f>
        <v>5.9745072854697574E-5</v>
      </c>
      <c r="K15" s="14">
        <f>MIN(MAX((((MAX($A15-K$13,0)/K$8-K$9)/SQRT(1+POWER(MAX($A15-K$13,0)/K$8-K$9,2))+K$10)*K$11)*(1+Dedicate!$E5*K$5)*(1+Connect!$E5*K$6)/100,0),1)</f>
        <v>0</v>
      </c>
      <c r="L15" s="14">
        <f>MIN(J15+K15+I15,1)</f>
        <v>1.0232639164838293E-3</v>
      </c>
    </row>
    <row r="16" spans="1:26" x14ac:dyDescent="0.25">
      <c r="A16">
        <f>A15+1</f>
        <v>2</v>
      </c>
      <c r="B16">
        <f>B15+1</f>
        <v>2019</v>
      </c>
      <c r="C16" s="13">
        <f t="shared" ref="C16:C67" si="0">MAX(1-G16,0)</f>
        <v>0.99562731710330665</v>
      </c>
      <c r="D16" s="14">
        <f>MAX(POWER(MAX($A16-D$13,0)/D$8+D$9,D$10)*EXP(-(MAX($A16-D$13,0)/D$8+D$11)-(E16*E16*E16*E16+F16*F16*F16)/D$12)*(1+Dedicate!$E6*D$5)*(1+Connect!$E6*D$6)/100,0)</f>
        <v>4.3086497130903354E-3</v>
      </c>
      <c r="E16" s="14">
        <f>MIN(MAX(POWER(MAX($A16-E$13,0)/E$8+E$9,E$10)*EXP(-(MAX($A16-E$13,0)/E$8+E$11)-F16*F16*F16/E$12)*(1+Dedicate!$E6*E$5)*(1+Connect!$E6*E$6)/100,0),1)</f>
        <v>6.403318360296229E-5</v>
      </c>
      <c r="F16" s="14">
        <f>MIN(MAX((((MAX($A16-F$13,0)/F$8-F$9)/SQRT(1+POWER(MAX($A16-F$13,0)/F$8-F$9,2))+F$10)*F$11)*(1+Dedicate!$E6*F$5)*(1+Connect!$E6*F$6)/100,0),1)</f>
        <v>0</v>
      </c>
      <c r="G16" s="14">
        <f t="shared" ref="G16:G67" si="1">MIN(E16+F16+D16,1)</f>
        <v>4.3726828966932979E-3</v>
      </c>
      <c r="H16" s="13">
        <f t="shared" ref="H16:H67" si="2">MAX(1-L16,0)</f>
        <v>0.98023930793722502</v>
      </c>
      <c r="I16" s="14">
        <f>MAX(POWER(MAX($A16-I$13,0)/I$8+I$9,I$10)*EXP(-(MAX($A16-I$13,0)/I$8+I$11)-(J16*J16*J16*J16+K16*K16*K16)/I$12)*(1+Dedicate!$E6*I$5)*(1+Connect!$E6/5*I$6)/100,0)</f>
        <v>1.9214704965523563E-2</v>
      </c>
      <c r="J16" s="14">
        <f>MIN(MAX(POWER(MAX($A16-J$13,0)/J$8+J$9,J$10)*EXP(-(MAX($A16-J$13,0)/J$8+J$11)-K16*K16*K16/J$12)*(1+Dedicate!$E6*J$5)*(1+Connect!$E6*J$6)/100,0),1)</f>
        <v>5.4598709725145228E-4</v>
      </c>
      <c r="K16" s="14">
        <f>MIN(MAX((((MAX($A16-K$13,0)/K$8-K$9)/SQRT(1+POWER(MAX($A16-K$13,0)/K$8-K$9,2))+K$10)*K$11)*(1+Dedicate!$E6*K$5)*(1+Connect!$E6*K$6)/100,0),1)</f>
        <v>0</v>
      </c>
      <c r="L16" s="14">
        <f t="shared" ref="L16:L67" si="3">MIN(J16+K16+I16,1)</f>
        <v>1.9760692062775014E-2</v>
      </c>
    </row>
    <row r="17" spans="1:12" x14ac:dyDescent="0.25">
      <c r="A17">
        <f t="shared" ref="A17:B32" si="4">A16+1</f>
        <v>3</v>
      </c>
      <c r="B17">
        <f t="shared" si="4"/>
        <v>2020</v>
      </c>
      <c r="C17" s="13">
        <f t="shared" si="0"/>
        <v>0.97432568088129945</v>
      </c>
      <c r="D17" s="14">
        <f>MAX(POWER(MAX($A17-D$13,0)/D$8+D$9,D$10)*EXP(-(MAX($A17-D$13,0)/D$8+D$11)-(E17*E17*E17*E17+F17*F17*F17)/D$12)*(1+Dedicate!$E7*D$5)*(1+Connect!$E7*D$6)/100,0)</f>
        <v>2.4830638368554658E-2</v>
      </c>
      <c r="E17" s="14">
        <f>MIN(MAX(POWER(MAX($A17-E$13,0)/E$8+E$9,E$10)*EXP(-(MAX($A17-E$13,0)/E$8+E$11)-F17*F17*F17/E$12)*(1+Dedicate!$E7*E$5)*(1+Connect!$E7*E$6)/100,0),1)</f>
        <v>8.4368075014587508E-4</v>
      </c>
      <c r="F17" s="14">
        <f>MIN(MAX((((MAX($A17-F$13,0)/F$8-F$9)/SQRT(1+POWER(MAX($A17-F$13,0)/F$8-F$9,2))+F$10)*F$11)*(1+Dedicate!$E7*F$5)*(1+Connect!$E7*F$6)/100,0),1)</f>
        <v>0</v>
      </c>
      <c r="G17" s="14">
        <f t="shared" si="1"/>
        <v>2.5674319118700533E-2</v>
      </c>
      <c r="H17" s="13">
        <f t="shared" si="2"/>
        <v>0.91852770660994698</v>
      </c>
      <c r="I17" s="14">
        <f>MAX(POWER(MAX($A17-I$13,0)/I$8+I$9,I$10)*EXP(-(MAX($A17-I$13,0)/I$8+I$11)-(J17*J17*J17*J17+K17*K17*K17)/I$12)*(1+Dedicate!$E7*I$5)*(1+Connect!$E7/5*I$6)/100,0)</f>
        <v>7.8297050482102976E-2</v>
      </c>
      <c r="J17" s="14">
        <f>MIN(MAX(POWER(MAX($A17-J$13,0)/J$8+J$9,J$10)*EXP(-(MAX($A17-J$13,0)/J$8+J$11)-K17*K17*K17/J$12)*(1+Dedicate!$E7*J$5)*(1+Connect!$E7*J$6)/100,0),1)</f>
        <v>3.1752429079499956E-3</v>
      </c>
      <c r="K17" s="14">
        <f>MIN(MAX((((MAX($A17-K$13,0)/K$8-K$9)/SQRT(1+POWER(MAX($A17-K$13,0)/K$8-K$9,2))+K$10)*K$11)*(1+Dedicate!$E7*K$5)*(1+Connect!$E7*K$6)/100,0),1)</f>
        <v>0</v>
      </c>
      <c r="L17" s="14">
        <f t="shared" si="3"/>
        <v>8.1472293390052977E-2</v>
      </c>
    </row>
    <row r="18" spans="1:12" x14ac:dyDescent="0.25">
      <c r="A18">
        <f t="shared" si="4"/>
        <v>4</v>
      </c>
      <c r="B18">
        <f t="shared" si="4"/>
        <v>2021</v>
      </c>
      <c r="C18" s="13">
        <f t="shared" si="0"/>
        <v>0.92888204474317293</v>
      </c>
      <c r="D18" s="14">
        <f>MAX(POWER(MAX($A18-D$13,0)/D$8+D$9,D$10)*EXP(-(MAX($A18-D$13,0)/D$8+D$11)-(E18*E18*E18*E18+F18*F18*F18)/D$12)*(1+Dedicate!$E8*D$5)*(1+Connect!$E8*D$6)/100,0)</f>
        <v>6.7003208456452495E-2</v>
      </c>
      <c r="E18" s="14">
        <f>MIN(MAX(POWER(MAX($A18-E$13,0)/E$8+E$9,E$10)*EXP(-(MAX($A18-E$13,0)/E$8+E$11)-F18*F18*F18/E$12)*(1+Dedicate!$E8*E$5)*(1+Connect!$E8*E$6)/100,0),1)</f>
        <v>4.114746800374566E-3</v>
      </c>
      <c r="F18" s="14">
        <f>MIN(MAX((((MAX($A18-F$13,0)/F$8-F$9)/SQRT(1+POWER(MAX($A18-F$13,0)/F$8-F$9,2))+F$10)*F$11)*(1+Dedicate!$E8*F$5)*(1+Connect!$E8*F$6)/100,0),1)</f>
        <v>0</v>
      </c>
      <c r="G18" s="14">
        <f t="shared" si="1"/>
        <v>7.1117955256827056E-2</v>
      </c>
      <c r="H18" s="13">
        <f t="shared" si="2"/>
        <v>0.82290692280028355</v>
      </c>
      <c r="I18" s="14">
        <f>MAX(POWER(MAX($A18-I$13,0)/I$8+I$9,I$10)*EXP(-(MAX($A18-I$13,0)/I$8+I$11)-(J18*J18*J18*J18+K18*K18*K18)/I$12)*(1+Dedicate!$E8*I$5)*(1+Connect!$E8/5*I$6)/100,0)</f>
        <v>0.16653102478293502</v>
      </c>
      <c r="J18" s="14">
        <f>MIN(MAX(POWER(MAX($A18-J$13,0)/J$8+J$9,J$10)*EXP(-(MAX($A18-J$13,0)/J$8+J$11)-K18*K18*K18/J$12)*(1+Dedicate!$E8*J$5)*(1+Connect!$E8*J$6)/100,0),1)</f>
        <v>1.0562052416781447E-2</v>
      </c>
      <c r="K18" s="14">
        <f>MIN(MAX((((MAX($A18-K$13,0)/K$8-K$9)/SQRT(1+POWER(MAX($A18-K$13,0)/K$8-K$9,2))+K$10)*K$11)*(1+Dedicate!$E8*K$5)*(1+Connect!$E8*K$6)/100,0),1)</f>
        <v>0</v>
      </c>
      <c r="L18" s="14">
        <f t="shared" si="3"/>
        <v>0.17709307719971648</v>
      </c>
    </row>
    <row r="19" spans="1:12" x14ac:dyDescent="0.25">
      <c r="A19">
        <f t="shared" si="4"/>
        <v>5</v>
      </c>
      <c r="B19">
        <f t="shared" si="4"/>
        <v>2022</v>
      </c>
      <c r="C19" s="13">
        <f t="shared" si="0"/>
        <v>0.86580354390002046</v>
      </c>
      <c r="D19" s="14">
        <f>MAX(POWER(MAX($A19-D$13,0)/D$8+D$9,D$10)*EXP(-(MAX($A19-D$13,0)/D$8+D$11)-(E19*E19*E19*E19+F19*F19*F19)/D$12)*(1+Dedicate!$E9*D$5)*(1+Connect!$E9*D$6)/100,0)</f>
        <v>0.12184546625552699</v>
      </c>
      <c r="E19" s="14">
        <f>MIN(MAX(POWER(MAX($A19-E$13,0)/E$8+E$9,E$10)*EXP(-(MAX($A19-E$13,0)/E$8+E$11)-F19*F19*F19/E$12)*(1+Dedicate!$E9*E$5)*(1+Connect!$E9*E$6)/100,0),1)</f>
        <v>1.2350989844452541E-2</v>
      </c>
      <c r="F19" s="14">
        <f>MIN(MAX((((MAX($A19-F$13,0)/F$8-F$9)/SQRT(1+POWER(MAX($A19-F$13,0)/F$8-F$9,2))+F$10)*F$11)*(1+Dedicate!$E9*F$5)*(1+Connect!$E9*F$6)/100,0),1)</f>
        <v>0</v>
      </c>
      <c r="G19" s="14">
        <f t="shared" si="1"/>
        <v>0.13419645609997952</v>
      </c>
      <c r="H19" s="13">
        <f t="shared" si="2"/>
        <v>0.7265087012999506</v>
      </c>
      <c r="I19" s="14">
        <f>MAX(POWER(MAX($A19-I$13,0)/I$8+I$9,I$10)*EXP(-(MAX($A19-I$13,0)/I$8+I$11)-(J19*J19*J19*J19+K19*K19*K19)/I$12)*(1+Dedicate!$E9*I$5)*(1+Connect!$E9/5*I$6)/100,0)</f>
        <v>0.24804254652640964</v>
      </c>
      <c r="J19" s="14">
        <f>MIN(MAX(POWER(MAX($A19-J$13,0)/J$8+J$9,J$10)*EXP(-(MAX($A19-J$13,0)/J$8+J$11)-K19*K19*K19/J$12)*(1+Dedicate!$E9*J$5)*(1+Connect!$E9*J$6)/100,0),1)</f>
        <v>2.5448752173639778E-2</v>
      </c>
      <c r="K19" s="14">
        <f>MIN(MAX((((MAX($A19-K$13,0)/K$8-K$9)/SQRT(1+POWER(MAX($A19-K$13,0)/K$8-K$9,2))+K$10)*K$11)*(1+Dedicate!$E9*K$5)*(1+Connect!$E9*K$6)/100,0),1)</f>
        <v>0</v>
      </c>
      <c r="L19" s="14">
        <f t="shared" si="3"/>
        <v>0.2734912987000494</v>
      </c>
    </row>
    <row r="20" spans="1:12" x14ac:dyDescent="0.25">
      <c r="A20">
        <f t="shared" si="4"/>
        <v>6</v>
      </c>
      <c r="B20">
        <f t="shared" si="4"/>
        <v>2023</v>
      </c>
      <c r="C20" s="13">
        <f t="shared" si="0"/>
        <v>0.79836663027200039</v>
      </c>
      <c r="D20" s="14">
        <f>MAX(POWER(MAX($A20-D$13,0)/D$8+D$9,D$10)*EXP(-(MAX($A20-D$13,0)/D$8+D$11)-(E20*E20*E20*E20+F20*F20*F20)/D$12)*(1+Dedicate!$E10*D$5)*(1+Connect!$E10*D$6)/100,0)</f>
        <v>0.17385588362964924</v>
      </c>
      <c r="E20" s="14">
        <f>MIN(MAX(POWER(MAX($A20-E$13,0)/E$8+E$9,E$10)*EXP(-(MAX($A20-E$13,0)/E$8+E$11)-F20*F20*F20/E$12)*(1+Dedicate!$E10*E$5)*(1+Connect!$E10*E$6)/100,0),1)</f>
        <v>2.7777486098350384E-2</v>
      </c>
      <c r="F20" s="14">
        <f>MIN(MAX((((MAX($A20-F$13,0)/F$8-F$9)/SQRT(1+POWER(MAX($A20-F$13,0)/F$8-F$9,2))+F$10)*F$11)*(1+Dedicate!$E10*F$5)*(1+Connect!$E10*F$6)/100,0),1)</f>
        <v>0</v>
      </c>
      <c r="G20" s="14">
        <f t="shared" si="1"/>
        <v>0.20163336972799961</v>
      </c>
      <c r="H20" s="13">
        <f t="shared" si="2"/>
        <v>0.65539732269185735</v>
      </c>
      <c r="I20" s="14">
        <f>MAX(POWER(MAX($A20-I$13,0)/I$8+I$9,I$10)*EXP(-(MAX($A20-I$13,0)/I$8+I$11)-(J20*J20*J20*J20+K20*K20*K20)/I$12)*(1+Dedicate!$E10*I$5)*(1+Connect!$E10/5*I$6)/100,0)</f>
        <v>0.29491178353550562</v>
      </c>
      <c r="J20" s="14">
        <f>MIN(MAX(POWER(MAX($A20-J$13,0)/J$8+J$9,J$10)*EXP(-(MAX($A20-J$13,0)/J$8+J$11)-K20*K20*K20/J$12)*(1+Dedicate!$E10*J$5)*(1+Connect!$E10*J$6)/100,0),1)</f>
        <v>4.9690893772637044E-2</v>
      </c>
      <c r="K20" s="14">
        <f>MIN(MAX((((MAX($A20-K$13,0)/K$8-K$9)/SQRT(1+POWER(MAX($A20-K$13,0)/K$8-K$9,2))+K$10)*K$11)*(1+Dedicate!$E10*K$5)*(1+Connect!$E10*K$6)/100,0),1)</f>
        <v>0</v>
      </c>
      <c r="L20" s="14">
        <f t="shared" si="3"/>
        <v>0.34460267730814265</v>
      </c>
    </row>
    <row r="21" spans="1:12" x14ac:dyDescent="0.25">
      <c r="A21">
        <f t="shared" si="4"/>
        <v>7</v>
      </c>
      <c r="B21">
        <f t="shared" si="4"/>
        <v>2024</v>
      </c>
      <c r="C21" s="13">
        <f t="shared" si="0"/>
        <v>0.73795481371300153</v>
      </c>
      <c r="D21" s="14">
        <f>MAX(POWER(MAX($A21-D$13,0)/D$8+D$9,D$10)*EXP(-(MAX($A21-D$13,0)/D$8+D$11)-(E21*E21*E21*E21+F21*F21*F21)/D$12)*(1+Dedicate!$E11*D$5)*(1+Connect!$E11*D$6)/100,0)</f>
        <v>0.21046689929198956</v>
      </c>
      <c r="E21" s="14">
        <f>MIN(MAX(POWER(MAX($A21-E$13,0)/E$8+E$9,E$10)*EXP(-(MAX($A21-E$13,0)/E$8+E$11)-F21*F21*F21/E$12)*(1+Dedicate!$E11*E$5)*(1+Connect!$E11*E$6)/100,0),1)</f>
        <v>5.157828699500893E-2</v>
      </c>
      <c r="F21" s="14">
        <f>MIN(MAX((((MAX($A21-F$13,0)/F$8-F$9)/SQRT(1+POWER(MAX($A21-F$13,0)/F$8-F$9,2))+F$10)*F$11)*(1+Dedicate!$E11*F$5)*(1+Connect!$E11*F$6)/100,0),1)</f>
        <v>0</v>
      </c>
      <c r="G21" s="14">
        <f t="shared" si="1"/>
        <v>0.26204518628699847</v>
      </c>
      <c r="H21" s="13">
        <f t="shared" si="2"/>
        <v>0.61262501558239724</v>
      </c>
      <c r="I21" s="14">
        <f>MAX(POWER(MAX($A21-I$13,0)/I$8+I$9,I$10)*EXP(-(MAX($A21-I$13,0)/I$8+I$11)-(J21*J21*J21*J21+K21*K21*K21)/I$12)*(1+Dedicate!$E11*I$5)*(1+Connect!$E11/5*I$6)/100,0)</f>
        <v>0.30012880011952398</v>
      </c>
      <c r="J21" s="14">
        <f>MIN(MAX(POWER(MAX($A21-J$13,0)/J$8+J$9,J$10)*EXP(-(MAX($A21-J$13,0)/J$8+J$11)-K21*K21*K21/J$12)*(1+Dedicate!$E11*J$5)*(1+Connect!$E11*J$6)/100,0),1)</f>
        <v>8.3677631874436054E-2</v>
      </c>
      <c r="K21" s="14">
        <f>MIN(MAX((((MAX($A21-K$13,0)/K$8-K$9)/SQRT(1+POWER(MAX($A21-K$13,0)/K$8-K$9,2))+K$10)*K$11)*(1+Dedicate!$E11*K$5)*(1+Connect!$E11*K$6)/100,0),1)</f>
        <v>3.5685524236427411E-3</v>
      </c>
      <c r="L21" s="14">
        <f t="shared" si="3"/>
        <v>0.38737498441760276</v>
      </c>
    </row>
    <row r="22" spans="1:12" x14ac:dyDescent="0.25">
      <c r="A22">
        <f t="shared" si="4"/>
        <v>8</v>
      </c>
      <c r="B22">
        <f t="shared" si="4"/>
        <v>2025</v>
      </c>
      <c r="C22" s="13">
        <f t="shared" si="0"/>
        <v>0.69026609143603135</v>
      </c>
      <c r="D22" s="14">
        <f>MAX(POWER(MAX($A22-D$13,0)/D$8+D$9,D$10)*EXP(-(MAX($A22-D$13,0)/D$8+D$11)-(E22*E22*E22*E22+F22*F22*F22)/D$12)*(1+Dedicate!$E12*D$5)*(1+Connect!$E12*D$6)/100,0)</f>
        <v>0.22618415840856351</v>
      </c>
      <c r="E22" s="14">
        <f>MIN(MAX(POWER(MAX($A22-E$13,0)/E$8+E$9,E$10)*EXP(-(MAX($A22-E$13,0)/E$8+E$11)-F22*F22*F22/E$12)*(1+Dedicate!$E12*E$5)*(1+Connect!$E12*E$6)/100,0),1)</f>
        <v>8.3549750155405167E-2</v>
      </c>
      <c r="F22" s="14">
        <f>MIN(MAX((((MAX($A22-F$13,0)/F$8-F$9)/SQRT(1+POWER(MAX($A22-F$13,0)/F$8-F$9,2))+F$10)*F$11)*(1+Dedicate!$E12*F$5)*(1+Connect!$E12*F$6)/100,0),1)</f>
        <v>0</v>
      </c>
      <c r="G22" s="14">
        <f t="shared" si="1"/>
        <v>0.30973390856396865</v>
      </c>
      <c r="H22" s="13">
        <f t="shared" si="2"/>
        <v>0.58950608584339637</v>
      </c>
      <c r="I22" s="14">
        <f>MAX(POWER(MAX($A22-I$13,0)/I$8+I$9,I$10)*EXP(-(MAX($A22-I$13,0)/I$8+I$11)-(J22*J22*J22*J22+K22*K22*K22)/I$12)*(1+Dedicate!$E12*I$5)*(1+Connect!$E12/5*I$6)/100,0)</f>
        <v>0.27253446910722245</v>
      </c>
      <c r="J22" s="14">
        <f>MIN(MAX(POWER(MAX($A22-J$13,0)/J$8+J$9,J$10)*EXP(-(MAX($A22-J$13,0)/J$8+J$11)-K22*K22*K22/J$12)*(1+Dedicate!$E12*J$5)*(1+Connect!$E12*J$6)/100,0),1)</f>
        <v>0.12624809479125582</v>
      </c>
      <c r="K22" s="14">
        <f>MIN(MAX((((MAX($A22-K$13,0)/K$8-K$9)/SQRT(1+POWER(MAX($A22-K$13,0)/K$8-K$9,2))+K$10)*K$11)*(1+Dedicate!$E12*K$5)*(1+Connect!$E12*K$6)/100,0),1)</f>
        <v>1.1711350258125384E-2</v>
      </c>
      <c r="L22" s="14">
        <f t="shared" si="3"/>
        <v>0.41049391415660363</v>
      </c>
    </row>
    <row r="23" spans="1:12" x14ac:dyDescent="0.25">
      <c r="A23">
        <f t="shared" si="4"/>
        <v>9</v>
      </c>
      <c r="B23">
        <f t="shared" si="4"/>
        <v>2026</v>
      </c>
      <c r="C23" s="13">
        <f t="shared" si="0"/>
        <v>0.64719290213075542</v>
      </c>
      <c r="D23" s="14">
        <f>MAX(POWER(MAX($A23-D$13,0)/D$8+D$9,D$10)*EXP(-(MAX($A23-D$13,0)/D$8+D$11)-(E23*E23*E23*E23+F23*F23*F23)/D$12)*(1+Dedicate!$E13*D$5)*(1+Connect!$E13*D$6)/100,0)</f>
        <v>0.22294806109337248</v>
      </c>
      <c r="E23" s="14">
        <f>MIN(MAX(POWER(MAX($A23-E$13,0)/E$8+E$9,E$10)*EXP(-(MAX($A23-E$13,0)/E$8+E$11)-F23*F23*F23/E$12)*(1+Dedicate!$E13*E$5)*(1+Connect!$E13*E$6)/100,0),1)</f>
        <v>0.12311370107992543</v>
      </c>
      <c r="F23" s="14">
        <f>MIN(MAX((((MAX($A23-F$13,0)/F$8-F$9)/SQRT(1+POWER(MAX($A23-F$13,0)/F$8-F$9,2))+F$10)*F$11)*(1+Dedicate!$E13*F$5)*(1+Connect!$E13*F$6)/100,0),1)</f>
        <v>6.7453356959466578E-3</v>
      </c>
      <c r="G23" s="14">
        <f t="shared" si="1"/>
        <v>0.35280709786924458</v>
      </c>
      <c r="H23" s="13">
        <f t="shared" si="2"/>
        <v>0.57604408289969933</v>
      </c>
      <c r="I23" s="14">
        <f>MAX(POWER(MAX($A23-I$13,0)/I$8+I$9,I$10)*EXP(-(MAX($A23-I$13,0)/I$8+I$11)-(J23*J23*J23*J23+K23*K23*K23)/I$12)*(1+Dedicate!$E13*I$5)*(1+Connect!$E13/5*I$6)/100,0)</f>
        <v>0.22697367113978706</v>
      </c>
      <c r="J23" s="14">
        <f>MIN(MAX(POWER(MAX($A23-J$13,0)/J$8+J$9,J$10)*EXP(-(MAX($A23-J$13,0)/J$8+J$11)-K23*K23*K23/J$12)*(1+Dedicate!$E13*J$5)*(1+Connect!$E13*J$6)/100,0),1)</f>
        <v>0.17631758255381147</v>
      </c>
      <c r="K23" s="14">
        <f>MIN(MAX((((MAX($A23-K$13,0)/K$8-K$9)/SQRT(1+POWER(MAX($A23-K$13,0)/K$8-K$9,2))+K$10)*K$11)*(1+Dedicate!$E13*K$5)*(1+Connect!$E13*K$6)/100,0),1)</f>
        <v>2.066466340670221E-2</v>
      </c>
      <c r="L23" s="14">
        <f t="shared" si="3"/>
        <v>0.42395591710030073</v>
      </c>
    </row>
    <row r="24" spans="1:12" x14ac:dyDescent="0.25">
      <c r="A24">
        <f t="shared" si="4"/>
        <v>10</v>
      </c>
      <c r="B24">
        <f t="shared" si="4"/>
        <v>2027</v>
      </c>
      <c r="C24" s="13">
        <f t="shared" si="0"/>
        <v>0.61030306704523674</v>
      </c>
      <c r="D24" s="14">
        <f>MAX(POWER(MAX($A24-D$13,0)/D$8+D$9,D$10)*EXP(-(MAX($A24-D$13,0)/D$8+D$11)-(E24*E24*E24*E24+F24*F24*F24)/D$12)*(1+Dedicate!$E14*D$5)*(1+Connect!$E14*D$6)/100,0)</f>
        <v>0.20466177620843407</v>
      </c>
      <c r="E24" s="14">
        <f>MIN(MAX(POWER(MAX($A24-E$13,0)/E$8+E$9,E$10)*EXP(-(MAX($A24-E$13,0)/E$8+E$11)-F24*F24*F24/E$12)*(1+Dedicate!$E14*E$5)*(1+Connect!$E14*E$6)/100,0),1)</f>
        <v>0.16839263248291708</v>
      </c>
      <c r="F24" s="14">
        <f>MIN(MAX((((MAX($A24-F$13,0)/F$8-F$9)/SQRT(1+POWER(MAX($A24-F$13,0)/F$8-F$9,2))+F$10)*F$11)*(1+Dedicate!$E14*F$5)*(1+Connect!$E14*F$6)/100,0),1)</f>
        <v>1.6642524263412124E-2</v>
      </c>
      <c r="G24" s="14">
        <f t="shared" si="1"/>
        <v>0.38969693295476326</v>
      </c>
      <c r="H24" s="13">
        <f t="shared" si="2"/>
        <v>0.56169088716953508</v>
      </c>
      <c r="I24" s="14">
        <f>MAX(POWER(MAX($A24-I$13,0)/I$8+I$9,I$10)*EXP(-(MAX($A24-I$13,0)/I$8+I$11)-(J24*J24*J24*J24+K24*K24*K24)/I$12)*(1+Dedicate!$E14*I$5)*(1+Connect!$E14/5*I$6)/100,0)</f>
        <v>0.17640294642530752</v>
      </c>
      <c r="J24" s="14">
        <f>MIN(MAX(POWER(MAX($A24-J$13,0)/J$8+J$9,J$10)*EXP(-(MAX($A24-J$13,0)/J$8+J$11)-K24*K24*K24/J$12)*(1+Dedicate!$E14*J$5)*(1+Connect!$E14*J$6)/100,0),1)</f>
        <v>0.23133158345916058</v>
      </c>
      <c r="K24" s="14">
        <f>MIN(MAX((((MAX($A24-K$13,0)/K$8-K$9)/SQRT(1+POWER(MAX($A24-K$13,0)/K$8-K$9,2))+K$10)*K$11)*(1+Dedicate!$E14*K$5)*(1+Connect!$E14*K$6)/100,0),1)</f>
        <v>3.057458294599685E-2</v>
      </c>
      <c r="L24" s="14">
        <f t="shared" si="3"/>
        <v>0.43830911283046492</v>
      </c>
    </row>
    <row r="25" spans="1:12" x14ac:dyDescent="0.25">
      <c r="A25">
        <f t="shared" si="4"/>
        <v>11</v>
      </c>
      <c r="B25">
        <f t="shared" si="4"/>
        <v>2028</v>
      </c>
      <c r="C25" s="13">
        <f t="shared" si="0"/>
        <v>0.58010082515552297</v>
      </c>
      <c r="D25" s="14">
        <f>MAX(POWER(MAX($A25-D$13,0)/D$8+D$9,D$10)*EXP(-(MAX($A25-D$13,0)/D$8+D$11)-(E25*E25*E25*E25+F25*F25*F25)/D$12)*(1+Dedicate!$E15*D$5)*(1+Connect!$E15*D$6)/100,0)</f>
        <v>0.17608764443939115</v>
      </c>
      <c r="E25" s="14">
        <f>MIN(MAX(POWER(MAX($A25-E$13,0)/E$8+E$9,E$10)*EXP(-(MAX($A25-E$13,0)/E$8+E$11)-F25*F25*F25/E$12)*(1+Dedicate!$E15*E$5)*(1+Connect!$E15*E$6)/100,0),1)</f>
        <v>0.2161254796167329</v>
      </c>
      <c r="F25" s="14">
        <f>MIN(MAX((((MAX($A25-F$13,0)/F$8-F$9)/SQRT(1+POWER(MAX($A25-F$13,0)/F$8-F$9,2))+F$10)*F$11)*(1+Dedicate!$E15*F$5)*(1+Connect!$E15*F$6)/100,0),1)</f>
        <v>2.7686050788352977E-2</v>
      </c>
      <c r="G25" s="14">
        <f t="shared" si="1"/>
        <v>0.41989917484447703</v>
      </c>
      <c r="H25" s="13">
        <f t="shared" si="2"/>
        <v>0.54179532991201174</v>
      </c>
      <c r="I25" s="14">
        <f>MAX(POWER(MAX($A25-I$13,0)/I$8+I$9,I$10)*EXP(-(MAX($A25-I$13,0)/I$8+I$11)-(J25*J25*J25*J25+K25*K25*K25)/I$12)*(1+Dedicate!$E15*I$5)*(1+Connect!$E15/5*I$6)/100,0)</f>
        <v>0.1294319865439556</v>
      </c>
      <c r="J25" s="14">
        <f>MIN(MAX(POWER(MAX($A25-J$13,0)/J$8+J$9,J$10)*EXP(-(MAX($A25-J$13,0)/J$8+J$11)-K25*K25*K25/J$12)*(1+Dedicate!$E15*J$5)*(1+Connect!$E15*J$6)/100,0),1)</f>
        <v>0.28726398258760383</v>
      </c>
      <c r="K25" s="14">
        <f>MIN(MAX((((MAX($A25-K$13,0)/K$8-K$9)/SQRT(1+POWER(MAX($A25-K$13,0)/K$8-K$9,2))+K$10)*K$11)*(1+Dedicate!$E15*K$5)*(1+Connect!$E15*K$6)/100,0),1)</f>
        <v>4.1508700956428779E-2</v>
      </c>
      <c r="L25" s="14">
        <f t="shared" si="3"/>
        <v>0.45820467008798821</v>
      </c>
    </row>
    <row r="26" spans="1:12" x14ac:dyDescent="0.25">
      <c r="A26">
        <f t="shared" si="4"/>
        <v>12</v>
      </c>
      <c r="B26">
        <f t="shared" si="4"/>
        <v>2029</v>
      </c>
      <c r="C26" s="13">
        <f t="shared" si="0"/>
        <v>0.55389767930271572</v>
      </c>
      <c r="D26" s="14">
        <f>MAX(POWER(MAX($A26-D$13,0)/D$8+D$9,D$10)*EXP(-(MAX($A26-D$13,0)/D$8+D$11)-(E26*E26*E26*E26+F26*F26*F26)/D$12)*(1+Dedicate!$E16*D$5)*(1+Connect!$E16*D$6)/100,0)</f>
        <v>0.14278106030526999</v>
      </c>
      <c r="E26" s="14">
        <f>MIN(MAX(POWER(MAX($A26-E$13,0)/E$8+E$9,E$10)*EXP(-(MAX($A26-E$13,0)/E$8+E$11)-F26*F26*F26/E$12)*(1+Dedicate!$E16*E$5)*(1+Connect!$E16*E$6)/100,0),1)</f>
        <v>0.26330840721001381</v>
      </c>
      <c r="F26" s="14">
        <f>MIN(MAX((((MAX($A26-F$13,0)/F$8-F$9)/SQRT(1+POWER(MAX($A26-F$13,0)/F$8-F$9,2))+F$10)*F$11)*(1+Dedicate!$E16*F$5)*(1+Connect!$E16*F$6)/100,0),1)</f>
        <v>4.0012853182000443E-2</v>
      </c>
      <c r="G26" s="14">
        <f t="shared" si="1"/>
        <v>0.44610232069728423</v>
      </c>
      <c r="H26" s="13">
        <f t="shared" si="2"/>
        <v>0.51517397572783019</v>
      </c>
      <c r="I26" s="14">
        <f>MAX(POWER(MAX($A26-I$13,0)/I$8+I$9,I$10)*EXP(-(MAX($A26-I$13,0)/I$8+I$11)-(J26*J26*J26*J26+K26*K26*K26)/I$12)*(1+Dedicate!$E16*I$5)*(1+Connect!$E16/5*I$6)/100,0)</f>
        <v>9.0464426632779663E-2</v>
      </c>
      <c r="J26" s="14">
        <f>MIN(MAX(POWER(MAX($A26-J$13,0)/J$8+J$9,J$10)*EXP(-(MAX($A26-J$13,0)/J$8+J$11)-K26*K26*K26/J$12)*(1+Dedicate!$E16*J$5)*(1+Connect!$E16*J$6)/100,0),1)</f>
        <v>0.34078895274520143</v>
      </c>
      <c r="K26" s="14">
        <f>MIN(MAX((((MAX($A26-K$13,0)/K$8-K$9)/SQRT(1+POWER(MAX($A26-K$13,0)/K$8-K$9,2))+K$10)*K$11)*(1+Dedicate!$E16*K$5)*(1+Connect!$E16*K$6)/100,0),1)</f>
        <v>5.3572644894188795E-2</v>
      </c>
      <c r="L26" s="14">
        <f t="shared" si="3"/>
        <v>0.48482602427216986</v>
      </c>
    </row>
    <row r="27" spans="1:12" x14ac:dyDescent="0.25">
      <c r="A27">
        <f t="shared" si="4"/>
        <v>13</v>
      </c>
      <c r="B27">
        <f t="shared" si="4"/>
        <v>2030</v>
      </c>
      <c r="C27" s="13">
        <f t="shared" si="0"/>
        <v>0.5294087801442604</v>
      </c>
      <c r="D27" s="14">
        <f>MAX(POWER(MAX($A27-D$13,0)/D$8+D$9,D$10)*EXP(-(MAX($A27-D$13,0)/D$8+D$11)-(E27*E27*E27*E27+F27*F27*F27)/D$12)*(1+Dedicate!$E17*D$5)*(1+Connect!$E17*D$6)/100,0)</f>
        <v>0.10967599418094114</v>
      </c>
      <c r="E27" s="14">
        <f>MIN(MAX(POWER(MAX($A27-E$13,0)/E$8+E$9,E$10)*EXP(-(MAX($A27-E$13,0)/E$8+E$11)-F27*F27*F27/E$12)*(1+Dedicate!$E17*E$5)*(1+Connect!$E17*E$6)/100,0),1)</f>
        <v>0.30714154844646702</v>
      </c>
      <c r="F27" s="14">
        <f>MIN(MAX((((MAX($A27-F$13,0)/F$8-F$9)/SQRT(1+POWER(MAX($A27-F$13,0)/F$8-F$9,2))+F$10)*F$11)*(1+Dedicate!$E17*F$5)*(1+Connect!$E17*F$6)/100,0),1)</f>
        <v>5.3773677228331485E-2</v>
      </c>
      <c r="G27" s="14">
        <f t="shared" si="1"/>
        <v>0.47059121985573965</v>
      </c>
      <c r="H27" s="13">
        <f t="shared" si="2"/>
        <v>0.48344944035451054</v>
      </c>
      <c r="I27" s="14">
        <f>MAX(POWER(MAX($A27-I$13,0)/I$8+I$9,I$10)*EXP(-(MAX($A27-I$13,0)/I$8+I$11)-(J27*J27*J27*J27+K27*K27*K27)/I$12)*(1+Dedicate!$E17*I$5)*(1+Connect!$E17/5*I$6)/100,0)</f>
        <v>6.0672686571413094E-2</v>
      </c>
      <c r="J27" s="14">
        <f>MIN(MAX(POWER(MAX($A27-J$13,0)/J$8+J$9,J$10)*EXP(-(MAX($A27-J$13,0)/J$8+J$11)-K27*K27*K27/J$12)*(1+Dedicate!$E17*J$5)*(1+Connect!$E17*J$6)/100,0),1)</f>
        <v>0.38899764754959504</v>
      </c>
      <c r="K27" s="14">
        <f>MIN(MAX((((MAX($A27-K$13,0)/K$8-K$9)/SQRT(1+POWER(MAX($A27-K$13,0)/K$8-K$9,2))+K$10)*K$11)*(1+Dedicate!$E17*K$5)*(1+Connect!$E17*K$6)/100,0),1)</f>
        <v>6.6880225524481321E-2</v>
      </c>
      <c r="L27" s="14">
        <f t="shared" si="3"/>
        <v>0.51655055964548946</v>
      </c>
    </row>
    <row r="28" spans="1:12" x14ac:dyDescent="0.25">
      <c r="A28">
        <f t="shared" si="4"/>
        <v>14</v>
      </c>
      <c r="B28">
        <f t="shared" si="4"/>
        <v>2031</v>
      </c>
      <c r="C28" s="13">
        <f t="shared" si="0"/>
        <v>0.50603840127053101</v>
      </c>
      <c r="D28" s="14">
        <f>MAX(POWER(MAX($A28-D$13,0)/D$8+D$9,D$10)*EXP(-(MAX($A28-D$13,0)/D$8+D$11)-(E28*E28*E28*E28+F28*F28*F28)/D$12)*(1+Dedicate!$E18*D$5)*(1+Connect!$E18*D$6)/100,0)</f>
        <v>8.0573261515859584E-2</v>
      </c>
      <c r="E28" s="14">
        <f>MIN(MAX(POWER(MAX($A28-E$13,0)/E$8+E$9,E$10)*EXP(-(MAX($A28-E$13,0)/E$8+E$11)-F28*F28*F28/E$12)*(1+Dedicate!$E18*E$5)*(1+Connect!$E18*E$6)/100,0),1)</f>
        <v>0.34435067151352328</v>
      </c>
      <c r="F28" s="14">
        <f>MIN(MAX((((MAX($A28-F$13,0)/F$8-F$9)/SQRT(1+POWER(MAX($A28-F$13,0)/F$8-F$9,2))+F$10)*F$11)*(1+Dedicate!$E18*F$5)*(1+Connect!$E18*F$6)/100,0),1)</f>
        <v>6.9037665700086098E-2</v>
      </c>
      <c r="G28" s="14">
        <f t="shared" si="1"/>
        <v>0.49396159872946893</v>
      </c>
      <c r="H28" s="13">
        <f t="shared" si="2"/>
        <v>0.45077953412160854</v>
      </c>
      <c r="I28" s="14">
        <f>MAX(POWER(MAX($A28-I$13,0)/I$8+I$9,I$10)*EXP(-(MAX($A28-I$13,0)/I$8+I$11)-(J28*J28*J28*J28+K28*K28*K28)/I$12)*(1+Dedicate!$E18*I$5)*(1+Connect!$E18/5*I$6)/100,0)</f>
        <v>3.9321819449523406E-2</v>
      </c>
      <c r="J28" s="14">
        <f>MIN(MAX(POWER(MAX($A28-J$13,0)/J$8+J$9,J$10)*EXP(-(MAX($A28-J$13,0)/J$8+J$11)-K28*K28*K28/J$12)*(1+Dedicate!$E18*J$5)*(1+Connect!$E18*J$6)/100,0),1)</f>
        <v>0.42845806332473335</v>
      </c>
      <c r="K28" s="14">
        <f>MIN(MAX((((MAX($A28-K$13,0)/K$8-K$9)/SQRT(1+POWER(MAX($A28-K$13,0)/K$8-K$9,2))+K$10)*K$11)*(1+Dedicate!$E18*K$5)*(1+Connect!$E18*K$6)/100,0),1)</f>
        <v>8.1440583104134726E-2</v>
      </c>
      <c r="L28" s="14">
        <f t="shared" si="3"/>
        <v>0.54922046587839146</v>
      </c>
    </row>
    <row r="29" spans="1:12" x14ac:dyDescent="0.25">
      <c r="A29">
        <f t="shared" si="4"/>
        <v>15</v>
      </c>
      <c r="B29">
        <f t="shared" si="4"/>
        <v>2032</v>
      </c>
      <c r="C29" s="13">
        <f t="shared" si="0"/>
        <v>0.48340001027825985</v>
      </c>
      <c r="D29" s="14">
        <f>MAX(POWER(MAX($A29-D$13,0)/D$8+D$9,D$10)*EXP(-(MAX($A29-D$13,0)/D$8+D$11)-(E29*E29*E29*E29+F29*F29*F29)/D$12)*(1+Dedicate!$E19*D$5)*(1+Connect!$E19*D$6)/100,0)</f>
        <v>5.7343752176999697E-2</v>
      </c>
      <c r="E29" s="14">
        <f>MIN(MAX(POWER(MAX($A29-E$13,0)/E$8+E$9,E$10)*EXP(-(MAX($A29-E$13,0)/E$8+E$11)-F29*F29*F29/E$12)*(1+Dedicate!$E19*E$5)*(1+Connect!$E19*E$6)/100,0),1)</f>
        <v>0.37330547308313072</v>
      </c>
      <c r="F29" s="14">
        <f>MIN(MAX((((MAX($A29-F$13,0)/F$8-F$9)/SQRT(1+POWER(MAX($A29-F$13,0)/F$8-F$9,2))+F$10)*F$11)*(1+Dedicate!$E19*F$5)*(1+Connect!$E19*F$6)/100,0),1)</f>
        <v>8.5950764461609749E-2</v>
      </c>
      <c r="G29" s="14">
        <f t="shared" si="1"/>
        <v>0.51659998972174015</v>
      </c>
      <c r="H29" s="13">
        <f t="shared" si="2"/>
        <v>0.42002813187069066</v>
      </c>
      <c r="I29" s="14">
        <f>MAX(POWER(MAX($A29-I$13,0)/I$8+I$9,I$10)*EXP(-(MAX($A29-I$13,0)/I$8+I$11)-(J29*J29*J29*J29+K29*K29*K29)/I$12)*(1+Dedicate!$E19*I$5)*(1+Connect!$E19/5*I$6)/100,0)</f>
        <v>2.4785398108619537E-2</v>
      </c>
      <c r="J29" s="14">
        <f>MIN(MAX(POWER(MAX($A29-J$13,0)/J$8+J$9,J$10)*EXP(-(MAX($A29-J$13,0)/J$8+J$11)-K29*K29*K29/J$12)*(1+Dedicate!$E19*J$5)*(1+Connect!$E19*J$6)/100,0),1)</f>
        <v>0.4578264355725738</v>
      </c>
      <c r="K29" s="14">
        <f>MIN(MAX((((MAX($A29-K$13,0)/K$8-K$9)/SQRT(1+POWER(MAX($A29-K$13,0)/K$8-K$9,2))+K$10)*K$11)*(1+Dedicate!$E19*K$5)*(1+Connect!$E19*K$6)/100,0),1)</f>
        <v>9.7360034448115945E-2</v>
      </c>
      <c r="L29" s="14">
        <f t="shared" si="3"/>
        <v>0.57997186812930934</v>
      </c>
    </row>
    <row r="30" spans="1:12" x14ac:dyDescent="0.25">
      <c r="A30">
        <f t="shared" si="4"/>
        <v>16</v>
      </c>
      <c r="B30">
        <f t="shared" si="4"/>
        <v>2033</v>
      </c>
      <c r="C30" s="13">
        <f t="shared" si="0"/>
        <v>0.46163099571614385</v>
      </c>
      <c r="D30" s="14">
        <f>MAX(POWER(MAX($A30-D$13,0)/D$8+D$9,D$10)*EXP(-(MAX($A30-D$13,0)/D$8+D$11)-(E30*E30*E30*E30+F30*F30*F30)/D$12)*(1+Dedicate!$E20*D$5)*(1+Connect!$E20*D$6)/100,0)</f>
        <v>4.0044839081750515E-2</v>
      </c>
      <c r="E30" s="14">
        <f>MIN(MAX(POWER(MAX($A30-E$13,0)/E$8+E$9,E$10)*EXP(-(MAX($A30-E$13,0)/E$8+E$11)-F30*F30*F30/E$12)*(1+Dedicate!$E20*E$5)*(1+Connect!$E20*E$6)/100,0),1)</f>
        <v>0.39358860637259924</v>
      </c>
      <c r="F30" s="14">
        <f>MIN(MAX((((MAX($A30-F$13,0)/F$8-F$9)/SQRT(1+POWER(MAX($A30-F$13,0)/F$8-F$9,2))+F$10)*F$11)*(1+Dedicate!$E20*F$5)*(1+Connect!$E20*F$6)/100,0),1)</f>
        <v>0.10473555882950639</v>
      </c>
      <c r="G30" s="14">
        <f t="shared" si="1"/>
        <v>0.53836900428385615</v>
      </c>
      <c r="H30" s="13">
        <f t="shared" si="2"/>
        <v>0.39273060865479736</v>
      </c>
      <c r="I30" s="14">
        <f>MAX(POWER(MAX($A30-I$13,0)/I$8+I$9,I$10)*EXP(-(MAX($A30-I$13,0)/I$8+I$11)-(J30*J30*J30*J30+K30*K30*K30)/I$12)*(1+Dedicate!$E20*I$5)*(1+Connect!$E20/5*I$6)/100,0)</f>
        <v>1.5275570085040968E-2</v>
      </c>
      <c r="J30" s="14">
        <f>MIN(MAX(POWER(MAX($A30-J$13,0)/J$8+J$9,J$10)*EXP(-(MAX($A30-J$13,0)/J$8+J$11)-K30*K30*K30/J$12)*(1+Dedicate!$E20*J$5)*(1+Connect!$E20*J$6)/100,0),1)</f>
        <v>0.47717295116283814</v>
      </c>
      <c r="K30" s="14">
        <f>MIN(MAX((((MAX($A30-K$13,0)/K$8-K$9)/SQRT(1+POWER(MAX($A30-K$13,0)/K$8-K$9,2))+K$10)*K$11)*(1+Dedicate!$E20*K$5)*(1+Connect!$E20*K$6)/100,0),1)</f>
        <v>0.1148208700973235</v>
      </c>
      <c r="L30" s="14">
        <f t="shared" si="3"/>
        <v>0.60726939134520264</v>
      </c>
    </row>
    <row r="31" spans="1:12" x14ac:dyDescent="0.25">
      <c r="A31">
        <f t="shared" si="4"/>
        <v>17</v>
      </c>
      <c r="B31">
        <f t="shared" si="4"/>
        <v>2034</v>
      </c>
      <c r="C31" s="13">
        <f t="shared" si="0"/>
        <v>0.44184665886579433</v>
      </c>
      <c r="D31" s="14">
        <f>MAX(POWER(MAX($A31-D$13,0)/D$8+D$9,D$10)*EXP(-(MAX($A31-D$13,0)/D$8+D$11)-(E31*E31*E31*E31+F31*F31*F31)/D$12)*(1+Dedicate!$E21*D$5)*(1+Connect!$E21*D$6)/100,0)</f>
        <v>2.7750290379685127E-2</v>
      </c>
      <c r="E31" s="14">
        <f>MIN(MAX(POWER(MAX($A31-E$13,0)/E$8+E$9,E$10)*EXP(-(MAX($A31-E$13,0)/E$8+E$11)-F31*F31*F31/E$12)*(1+Dedicate!$E21*E$5)*(1+Connect!$E21*E$6)/100,0),1)</f>
        <v>0.40483427932594912</v>
      </c>
      <c r="F31" s="14">
        <f>MIN(MAX((((MAX($A31-F$13,0)/F$8-F$9)/SQRT(1+POWER(MAX($A31-F$13,0)/F$8-F$9,2))+F$10)*F$11)*(1+Dedicate!$E21*F$5)*(1+Connect!$E21*F$6)/100,0),1)</f>
        <v>0.12556877142857148</v>
      </c>
      <c r="G31" s="14">
        <f t="shared" si="1"/>
        <v>0.55815334113420567</v>
      </c>
      <c r="H31" s="13">
        <f t="shared" si="2"/>
        <v>0.37027595441439287</v>
      </c>
      <c r="I31" s="14">
        <f>MAX(POWER(MAX($A31-I$13,0)/I$8+I$9,I$10)*EXP(-(MAX($A31-I$13,0)/I$8+I$11)-(J31*J31*J31*J31+K31*K31*K31)/I$12)*(1+Dedicate!$E21*I$5)*(1+Connect!$E21/5*I$6)/100,0)</f>
        <v>9.2448749991699171E-3</v>
      </c>
      <c r="J31" s="14">
        <f>MIN(MAX(POWER(MAX($A31-J$13,0)/J$8+J$9,J$10)*EXP(-(MAX($A31-J$13,0)/J$8+J$11)-K31*K31*K31/J$12)*(1+Dedicate!$E21*J$5)*(1+Connect!$E21*J$6)/100,0),1)</f>
        <v>0.48653556893206579</v>
      </c>
      <c r="K31" s="14">
        <f>MIN(MAX((((MAX($A31-K$13,0)/K$8-K$9)/SQRT(1+POWER(MAX($A31-K$13,0)/K$8-K$9,2))+K$10)*K$11)*(1+Dedicate!$E21*K$5)*(1+Connect!$E21*K$6)/100,0),1)</f>
        <v>0.13394360165437141</v>
      </c>
      <c r="L31" s="14">
        <f t="shared" si="3"/>
        <v>0.62972404558560713</v>
      </c>
    </row>
    <row r="32" spans="1:12" x14ac:dyDescent="0.25">
      <c r="A32">
        <f t="shared" si="4"/>
        <v>18</v>
      </c>
      <c r="B32">
        <f t="shared" si="4"/>
        <v>2035</v>
      </c>
      <c r="C32" s="13">
        <f t="shared" si="0"/>
        <v>0.42498958964515454</v>
      </c>
      <c r="D32" s="14">
        <f>MAX(POWER(MAX($A32-D$13,0)/D$8+D$9,D$10)*EXP(-(MAX($A32-D$13,0)/D$8+D$11)-(E32*E32*E32*E32+F32*F32*F32)/D$12)*(1+Dedicate!$E22*D$5)*(1+Connect!$E22*D$6)/100,0)</f>
        <v>1.9200623648231233E-2</v>
      </c>
      <c r="E32" s="14">
        <f>MIN(MAX(POWER(MAX($A32-E$13,0)/E$8+E$9,E$10)*EXP(-(MAX($A32-E$13,0)/E$8+E$11)-F32*F32*F32/E$12)*(1+Dedicate!$E22*E$5)*(1+Connect!$E22*E$6)/100,0),1)</f>
        <v>0.40718573206422304</v>
      </c>
      <c r="F32" s="14">
        <f>MIN(MAX((((MAX($A32-F$13,0)/F$8-F$9)/SQRT(1+POWER(MAX($A32-F$13,0)/F$8-F$9,2))+F$10)*F$11)*(1+Dedicate!$E22*F$5)*(1+Connect!$E22*F$6)/100,0),1)</f>
        <v>0.14862405464239117</v>
      </c>
      <c r="G32" s="14">
        <f t="shared" si="1"/>
        <v>0.57501041035484546</v>
      </c>
      <c r="H32" s="13">
        <f t="shared" si="2"/>
        <v>0.35314881504833784</v>
      </c>
      <c r="I32" s="14">
        <f>MAX(POWER(MAX($A32-I$13,0)/I$8+I$9,I$10)*EXP(-(MAX($A32-I$13,0)/I$8+I$11)-(J32*J32*J32*J32+K32*K32*K32)/I$12)*(1+Dedicate!$E22*I$5)*(1+Connect!$E22/5*I$6)/100,0)</f>
        <v>5.5098398084763188E-3</v>
      </c>
      <c r="J32" s="14">
        <f>MIN(MAX(POWER(MAX($A32-J$13,0)/J$8+J$9,J$10)*EXP(-(MAX($A32-J$13,0)/J$8+J$11)-K32*K32*K32/J$12)*(1+Dedicate!$E22*J$5)*(1+Connect!$E22*J$6)/100,0),1)</f>
        <v>0.48649728163217598</v>
      </c>
      <c r="K32" s="14">
        <f>MIN(MAX((((MAX($A32-K$13,0)/K$8-K$9)/SQRT(1+POWER(MAX($A32-K$13,0)/K$8-K$9,2))+K$10)*K$11)*(1+Dedicate!$E22*K$5)*(1+Connect!$E22*K$6)/100,0),1)</f>
        <v>0.15484406351100988</v>
      </c>
      <c r="L32" s="14">
        <f t="shared" si="3"/>
        <v>0.64685118495166216</v>
      </c>
    </row>
    <row r="33" spans="1:12" x14ac:dyDescent="0.25">
      <c r="A33">
        <f t="shared" ref="A33:B48" si="5">A32+1</f>
        <v>19</v>
      </c>
      <c r="B33">
        <f t="shared" si="5"/>
        <v>2036</v>
      </c>
      <c r="C33" s="13">
        <f t="shared" si="0"/>
        <v>0.41150040384813602</v>
      </c>
      <c r="D33" s="14">
        <f>MAX(POWER(MAX($A33-D$13,0)/D$8+D$9,D$10)*EXP(-(MAX($A33-D$13,0)/D$8+D$11)-(E33*E33*E33*E33+F33*F33*F33)/D$12)*(1+Dedicate!$E23*D$5)*(1+Connect!$E23*D$6)/100,0)</f>
        <v>1.3261562230376263E-2</v>
      </c>
      <c r="E33" s="14">
        <f>MIN(MAX(POWER(MAX($A33-E$13,0)/E$8+E$9,E$10)*EXP(-(MAX($A33-E$13,0)/E$8+E$11)-F33*F33*F33/E$12)*(1+Dedicate!$E23*E$5)*(1+Connect!$E23*E$6)/100,0),1)</f>
        <v>0.40117523421218981</v>
      </c>
      <c r="F33" s="14">
        <f>MIN(MAX((((MAX($A33-F$13,0)/F$8-F$9)/SQRT(1+POWER(MAX($A33-F$13,0)/F$8-F$9,2))+F$10)*F$11)*(1+Dedicate!$E23*F$5)*(1+Connect!$E23*F$6)/100,0),1)</f>
        <v>0.17406279970929789</v>
      </c>
      <c r="G33" s="14">
        <f t="shared" si="1"/>
        <v>0.58849959615186398</v>
      </c>
      <c r="H33" s="13">
        <f t="shared" si="2"/>
        <v>0.34109377616341519</v>
      </c>
      <c r="I33" s="14">
        <f>MAX(POWER(MAX($A33-I$13,0)/I$8+I$9,I$10)*EXP(-(MAX($A33-I$13,0)/I$8+I$11)-(J33*J33*J33*J33+K33*K33*K33)/I$12)*(1+Dedicate!$E23*I$5)*(1+Connect!$E23/5*I$6)/100,0)</f>
        <v>3.2385668666807454E-3</v>
      </c>
      <c r="J33" s="14">
        <f>MIN(MAX(POWER(MAX($A33-J$13,0)/J$8+J$9,J$10)*EXP(-(MAX($A33-J$13,0)/J$8+J$11)-K33*K33*K33/J$12)*(1+Dedicate!$E23*J$5)*(1+Connect!$E23*J$6)/100,0),1)</f>
        <v>0.47803988400756275</v>
      </c>
      <c r="K33" s="14">
        <f>MIN(MAX((((MAX($A33-K$13,0)/K$8-K$9)/SQRT(1+POWER(MAX($A33-K$13,0)/K$8-K$9,2))+K$10)*K$11)*(1+Dedicate!$E23*K$5)*(1+Connect!$E23*K$6)/100,0),1)</f>
        <v>0.17762777296234131</v>
      </c>
      <c r="L33" s="14">
        <f t="shared" si="3"/>
        <v>0.65890622383658481</v>
      </c>
    </row>
    <row r="34" spans="1:12" x14ac:dyDescent="0.25">
      <c r="A34">
        <f t="shared" si="5"/>
        <v>20</v>
      </c>
      <c r="B34">
        <f t="shared" si="5"/>
        <v>2037</v>
      </c>
      <c r="C34" s="13">
        <f t="shared" si="0"/>
        <v>0.40128123902379143</v>
      </c>
      <c r="D34" s="14">
        <f>MAX(POWER(MAX($A34-D$13,0)/D$8+D$9,D$10)*EXP(-(MAX($A34-D$13,0)/D$8+D$11)-(E34*E34*E34*E34+F34*F34*F34)/D$12)*(1+Dedicate!$E24*D$5)*(1+Connect!$E24*D$6)/100,0)</f>
        <v>9.0895461725490571E-3</v>
      </c>
      <c r="E34" s="14">
        <f>MIN(MAX(POWER(MAX($A34-E$13,0)/E$8+E$9,E$10)*EXP(-(MAX($A34-E$13,0)/E$8+E$11)-F34*F34*F34/E$12)*(1+Dedicate!$E24*E$5)*(1+Connect!$E24*E$6)/100,0),1)</f>
        <v>0.38760708826966367</v>
      </c>
      <c r="F34" s="14">
        <f>MIN(MAX((((MAX($A34-F$13,0)/F$8-F$9)/SQRT(1+POWER(MAX($A34-F$13,0)/F$8-F$9,2))+F$10)*F$11)*(1+Dedicate!$E24*F$5)*(1+Connect!$E24*F$6)/100,0),1)</f>
        <v>0.20202212653399576</v>
      </c>
      <c r="G34" s="14">
        <f t="shared" si="1"/>
        <v>0.59871876097620857</v>
      </c>
      <c r="H34" s="13">
        <f t="shared" si="2"/>
        <v>0.33333827255314097</v>
      </c>
      <c r="I34" s="14">
        <f>MAX(POWER(MAX($A34-I$13,0)/I$8+I$9,I$10)*EXP(-(MAX($A34-I$13,0)/I$8+I$11)-(J34*J34*J34*J34+K34*K34*K34)/I$12)*(1+Dedicate!$E24*I$5)*(1+Connect!$E24/5*I$6)/100,0)</f>
        <v>1.8782294166672939E-3</v>
      </c>
      <c r="J34" s="14">
        <f>MIN(MAX(POWER(MAX($A34-J$13,0)/J$8+J$9,J$10)*EXP(-(MAX($A34-J$13,0)/J$8+J$11)-K34*K34*K34/J$12)*(1+Dedicate!$E24*J$5)*(1+Connect!$E24*J$6)/100,0),1)</f>
        <v>0.46240054521441432</v>
      </c>
      <c r="K34" s="14">
        <f>MIN(MAX((((MAX($A34-K$13,0)/K$8-K$9)/SQRT(1+POWER(MAX($A34-K$13,0)/K$8-K$9,2))+K$10)*K$11)*(1+Dedicate!$E24*K$5)*(1+Connect!$E24*K$6)/100,0),1)</f>
        <v>0.20238295281577745</v>
      </c>
      <c r="L34" s="14">
        <f t="shared" si="3"/>
        <v>0.66666172744685903</v>
      </c>
    </row>
    <row r="35" spans="1:12" x14ac:dyDescent="0.25">
      <c r="A35">
        <f t="shared" si="5"/>
        <v>21</v>
      </c>
      <c r="B35">
        <f t="shared" si="5"/>
        <v>2038</v>
      </c>
      <c r="C35" s="13">
        <f t="shared" si="0"/>
        <v>0.39399983183491416</v>
      </c>
      <c r="D35" s="14">
        <f>MAX(POWER(MAX($A35-D$13,0)/D$8+D$9,D$10)*EXP(-(MAX($A35-D$13,0)/D$8+D$11)-(E35*E35*E35*E35+F35*F35*F35)/D$12)*(1+Dedicate!$E25*D$5)*(1+Connect!$E25*D$6)/100,0)</f>
        <v>6.1224516730936807E-3</v>
      </c>
      <c r="E35" s="14">
        <f>MIN(MAX(POWER(MAX($A35-E$13,0)/E$8+E$9,E$10)*EXP(-(MAX($A35-E$13,0)/E$8+E$11)-F35*F35*F35/E$12)*(1+Dedicate!$E25*E$5)*(1+Connect!$E25*E$6)/100,0),1)</f>
        <v>0.36732501896665481</v>
      </c>
      <c r="F35" s="14">
        <f>MIN(MAX((((MAX($A35-F$13,0)/F$8-F$9)/SQRT(1+POWER(MAX($A35-F$13,0)/F$8-F$9,2))+F$10)*F$11)*(1+Dedicate!$E25*F$5)*(1+Connect!$E25*F$6)/100,0),1)</f>
        <v>0.2325526975253373</v>
      </c>
      <c r="G35" s="14">
        <f t="shared" si="1"/>
        <v>0.60600016816508584</v>
      </c>
      <c r="H35" s="13">
        <f t="shared" si="2"/>
        <v>0.32902731068426683</v>
      </c>
      <c r="I35" s="14">
        <f>MAX(POWER(MAX($A35-I$13,0)/I$8+I$9,I$10)*EXP(-(MAX($A35-I$13,0)/I$8+I$11)-(J35*J35*J35*J35+K35*K35*K35)/I$12)*(1+Dedicate!$E25*I$5)*(1+Connect!$E25/5*I$6)/100,0)</f>
        <v>1.0746938270705076E-3</v>
      </c>
      <c r="J35" s="14">
        <f>MIN(MAX(POWER(MAX($A35-J$13,0)/J$8+J$9,J$10)*EXP(-(MAX($A35-J$13,0)/J$8+J$11)-K35*K35*K35/J$12)*(1+Dedicate!$E25*J$5)*(1+Connect!$E25*J$6)/100,0),1)</f>
        <v>0.44077241787068977</v>
      </c>
      <c r="K35" s="14">
        <f>MIN(MAX((((MAX($A35-K$13,0)/K$8-K$9)/SQRT(1+POWER(MAX($A35-K$13,0)/K$8-K$9,2))+K$10)*K$11)*(1+Dedicate!$E25*K$5)*(1+Connect!$E25*K$6)/100,0),1)</f>
        <v>0.22912557761797292</v>
      </c>
      <c r="L35" s="14">
        <f t="shared" si="3"/>
        <v>0.67097268931573317</v>
      </c>
    </row>
    <row r="36" spans="1:12" x14ac:dyDescent="0.25">
      <c r="A36">
        <f t="shared" si="5"/>
        <v>22</v>
      </c>
      <c r="B36">
        <f t="shared" si="5"/>
        <v>2039</v>
      </c>
      <c r="C36" s="13">
        <f t="shared" si="0"/>
        <v>0.39026356788841288</v>
      </c>
      <c r="D36" s="14">
        <f>MAX(POWER(MAX($A36-D$13,0)/D$8+D$9,D$10)*EXP(-(MAX($A36-D$13,0)/D$8+D$11)-(E36*E36*E36*E36+F36*F36*F36)/D$12)*(1+Dedicate!$E26*D$5)*(1+Connect!$E26*D$6)/100,0)</f>
        <v>4.0039585490580483E-3</v>
      </c>
      <c r="E36" s="14">
        <f>MIN(MAX(POWER(MAX($A36-E$13,0)/E$8+E$9,E$10)*EXP(-(MAX($A36-E$13,0)/E$8+E$11)-F36*F36*F36/E$12)*(1+Dedicate!$E26*E$5)*(1+Connect!$E26*E$6)/100,0),1)</f>
        <v>0.34048761331920113</v>
      </c>
      <c r="F36" s="14">
        <f>MIN(MAX((((MAX($A36-F$13,0)/F$8-F$9)/SQRT(1+POWER(MAX($A36-F$13,0)/F$8-F$9,2))+F$10)*F$11)*(1+Dedicate!$E26*F$5)*(1+Connect!$E26*F$6)/100,0),1)</f>
        <v>0.26524486024332805</v>
      </c>
      <c r="G36" s="14">
        <f t="shared" si="1"/>
        <v>0.60973643211158712</v>
      </c>
      <c r="H36" s="13">
        <f t="shared" si="2"/>
        <v>0.32865065810999383</v>
      </c>
      <c r="I36" s="14">
        <f>MAX(POWER(MAX($A36-I$13,0)/I$8+I$9,I$10)*EXP(-(MAX($A36-I$13,0)/I$8+I$11)-(J36*J36*J36*J36+K36*K36*K36)/I$12)*(1+Dedicate!$E26*I$5)*(1+Connect!$E26/5*I$6)/100,0)</f>
        <v>6.0638145122926166E-4</v>
      </c>
      <c r="J36" s="14">
        <f>MIN(MAX(POWER(MAX($A36-J$13,0)/J$8+J$9,J$10)*EXP(-(MAX($A36-J$13,0)/J$8+J$11)-K36*K36*K36/J$12)*(1+Dedicate!$E26*J$5)*(1+Connect!$E26*J$6)/100,0),1)</f>
        <v>0.41329573483980553</v>
      </c>
      <c r="K36" s="14">
        <f>MIN(MAX((((MAX($A36-K$13,0)/K$8-K$9)/SQRT(1+POWER(MAX($A36-K$13,0)/K$8-K$9,2))+K$10)*K$11)*(1+Dedicate!$E26*K$5)*(1+Connect!$E26*K$6)/100,0),1)</f>
        <v>0.25744722559897132</v>
      </c>
      <c r="L36" s="14">
        <f t="shared" si="3"/>
        <v>0.67134934189000617</v>
      </c>
    </row>
    <row r="37" spans="1:12" x14ac:dyDescent="0.25">
      <c r="A37">
        <f t="shared" si="5"/>
        <v>23</v>
      </c>
      <c r="B37">
        <f t="shared" si="5"/>
        <v>2040</v>
      </c>
      <c r="C37" s="13">
        <f t="shared" si="0"/>
        <v>0.38742692256864231</v>
      </c>
      <c r="D37" s="14">
        <f>MAX(POWER(MAX($A37-D$13,0)/D$8+D$9,D$10)*EXP(-(MAX($A37-D$13,0)/D$8+D$11)-(E37*E37*E37*E37+F37*F37*F37)/D$12)*(1+Dedicate!$E27*D$5)*(1+Connect!$E27*D$6)/100,0)</f>
        <v>2.5153574666369246E-3</v>
      </c>
      <c r="E37" s="14">
        <f>MIN(MAX(POWER(MAX($A37-E$13,0)/E$8+E$9,E$10)*EXP(-(MAX($A37-E$13,0)/E$8+E$11)-F37*F37*F37/E$12)*(1+Dedicate!$E27*E$5)*(1+Connect!$E27*E$6)/100,0),1)</f>
        <v>0.30963243900018733</v>
      </c>
      <c r="F37" s="14">
        <f>MIN(MAX((((MAX($A37-F$13,0)/F$8-F$9)/SQRT(1+POWER(MAX($A37-F$13,0)/F$8-F$9,2))+F$10)*F$11)*(1+Dedicate!$E27*F$5)*(1+Connect!$E27*F$6)/100,0),1)</f>
        <v>0.30042528096453353</v>
      </c>
      <c r="G37" s="14">
        <f t="shared" si="1"/>
        <v>0.61257307743135769</v>
      </c>
      <c r="H37" s="13">
        <f t="shared" si="2"/>
        <v>0.3290049279161531</v>
      </c>
      <c r="I37" s="14">
        <f>MAX(POWER(MAX($A37-I$13,0)/I$8+I$9,I$10)*EXP(-(MAX($A37-I$13,0)/I$8+I$11)-(J37*J37*J37*J37+K37*K37*K37)/I$12)*(1+Dedicate!$E27*I$5)*(1+Connect!$E27/5*I$6)/100,0)</f>
        <v>3.3737542836962271E-4</v>
      </c>
      <c r="J37" s="14">
        <f>MIN(MAX(POWER(MAX($A37-J$13,0)/J$8+J$9,J$10)*EXP(-(MAX($A37-J$13,0)/J$8+J$11)-K37*K37*K37/J$12)*(1+Dedicate!$E27*J$5)*(1+Connect!$E27*J$6)/100,0),1)</f>
        <v>0.38296379874960079</v>
      </c>
      <c r="K37" s="14">
        <f>MIN(MAX((((MAX($A37-K$13,0)/K$8-K$9)/SQRT(1+POWER(MAX($A37-K$13,0)/K$8-K$9,2))+K$10)*K$11)*(1+Dedicate!$E27*K$5)*(1+Connect!$E27*K$6)/100,0),1)</f>
        <v>0.28769389790587646</v>
      </c>
      <c r="L37" s="14">
        <f t="shared" si="3"/>
        <v>0.6709950720838469</v>
      </c>
    </row>
    <row r="38" spans="1:12" x14ac:dyDescent="0.25">
      <c r="A38">
        <f t="shared" si="5"/>
        <v>24</v>
      </c>
      <c r="B38">
        <f t="shared" si="5"/>
        <v>2041</v>
      </c>
      <c r="C38" s="13">
        <f t="shared" si="0"/>
        <v>0.38452274367758288</v>
      </c>
      <c r="D38" s="14">
        <f>MAX(POWER(MAX($A38-D$13,0)/D$8+D$9,D$10)*EXP(-(MAX($A38-D$13,0)/D$8+D$11)-(E38*E38*E38*E38+F38*F38*F38)/D$12)*(1+Dedicate!$E28*D$5)*(1+Connect!$E28*D$6)/100,0)</f>
        <v>1.5041938024695249E-3</v>
      </c>
      <c r="E38" s="14">
        <f>MIN(MAX(POWER(MAX($A38-E$13,0)/E$8+E$9,E$10)*EXP(-(MAX($A38-E$13,0)/E$8+E$11)-F38*F38*F38/E$12)*(1+Dedicate!$E28*E$5)*(1+Connect!$E28*E$6)/100,0),1)</f>
        <v>0.27601316240165102</v>
      </c>
      <c r="F38" s="14">
        <f>MIN(MAX((((MAX($A38-F$13,0)/F$8-F$9)/SQRT(1+POWER(MAX($A38-F$13,0)/F$8-F$9,2))+F$10)*F$11)*(1+Dedicate!$E28*F$5)*(1+Connect!$E28*F$6)/100,0),1)</f>
        <v>0.33795990011829652</v>
      </c>
      <c r="G38" s="14">
        <f t="shared" si="1"/>
        <v>0.61547725632241712</v>
      </c>
      <c r="H38" s="13">
        <f t="shared" si="2"/>
        <v>0.32902393199166369</v>
      </c>
      <c r="I38" s="14">
        <f>MAX(POWER(MAX($A38-I$13,0)/I$8+I$9,I$10)*EXP(-(MAX($A38-I$13,0)/I$8+I$11)-(J38*J38*J38*J38+K38*K38*K38)/I$12)*(1+Dedicate!$E28*I$5)*(1+Connect!$E28/5*I$6)/100,0)</f>
        <v>1.8511154340756397E-4</v>
      </c>
      <c r="J38" s="14">
        <f>MIN(MAX(POWER(MAX($A38-J$13,0)/J$8+J$9,J$10)*EXP(-(MAX($A38-J$13,0)/J$8+J$11)-K38*K38*K38/J$12)*(1+Dedicate!$E28*J$5)*(1+Connect!$E28*J$6)/100,0),1)</f>
        <v>0.35100435895067805</v>
      </c>
      <c r="K38" s="14">
        <f>MIN(MAX((((MAX($A38-K$13,0)/K$8-K$9)/SQRT(1+POWER(MAX($A38-K$13,0)/K$8-K$9,2))+K$10)*K$11)*(1+Dedicate!$E28*K$5)*(1+Connect!$E28*K$6)/100,0),1)</f>
        <v>0.31978659751425065</v>
      </c>
      <c r="L38" s="14">
        <f t="shared" si="3"/>
        <v>0.67097606800833631</v>
      </c>
    </row>
    <row r="39" spans="1:12" x14ac:dyDescent="0.25">
      <c r="A39">
        <f t="shared" si="5"/>
        <v>25</v>
      </c>
      <c r="B39">
        <f t="shared" si="5"/>
        <v>2042</v>
      </c>
      <c r="C39" s="13">
        <f t="shared" si="0"/>
        <v>0.38062305286928166</v>
      </c>
      <c r="D39" s="14">
        <f>MAX(POWER(MAX($A39-D$13,0)/D$8+D$9,D$10)*EXP(-(MAX($A39-D$13,0)/D$8+D$11)-(E39*E39*E39*E39+F39*F39*F39)/D$12)*(1+Dedicate!$E29*D$5)*(1+Connect!$E29*D$6)/100,0)</f>
        <v>8.5000137946228372E-4</v>
      </c>
      <c r="E39" s="14">
        <f>MIN(MAX(POWER(MAX($A39-E$13,0)/E$8+E$9,E$10)*EXP(-(MAX($A39-E$13,0)/E$8+E$11)-F39*F39*F39/E$12)*(1+Dedicate!$E29*E$5)*(1+Connect!$E29*E$6)/100,0),1)</f>
        <v>0.24091136028354165</v>
      </c>
      <c r="F39" s="14">
        <f>MIN(MAX((((MAX($A39-F$13,0)/F$8-F$9)/SQRT(1+POWER(MAX($A39-F$13,0)/F$8-F$9,2))+F$10)*F$11)*(1+Dedicate!$E29*F$5)*(1+Connect!$E29*F$6)/100,0),1)</f>
        <v>0.37761558546771445</v>
      </c>
      <c r="G39" s="14">
        <f t="shared" si="1"/>
        <v>0.61937694713071834</v>
      </c>
      <c r="H39" s="13">
        <f t="shared" si="2"/>
        <v>0.32783367106504147</v>
      </c>
      <c r="I39" s="14">
        <f>MAX(POWER(MAX($A39-I$13,0)/I$8+I$9,I$10)*EXP(-(MAX($A39-I$13,0)/I$8+I$11)-(J39*J39*J39*J39+K39*K39*K39)/I$12)*(1+Dedicate!$E29*I$5)*(1+Connect!$E29/5*I$6)/100,0)</f>
        <v>1.0019075231604044E-4</v>
      </c>
      <c r="J39" s="14">
        <f>MIN(MAX(POWER(MAX($A39-J$13,0)/J$8+J$9,J$10)*EXP(-(MAX($A39-J$13,0)/J$8+J$11)-K39*K39*K39/J$12)*(1+Dedicate!$E29*J$5)*(1+Connect!$E29*J$6)/100,0),1)</f>
        <v>0.318478056387205</v>
      </c>
      <c r="K39" s="14">
        <f>MIN(MAX((((MAX($A39-K$13,0)/K$8-K$9)/SQRT(1+POWER(MAX($A39-K$13,0)/K$8-K$9,2))+K$10)*K$11)*(1+Dedicate!$E29*K$5)*(1+Connect!$E29*K$6)/100,0),1)</f>
        <v>0.35358808179543744</v>
      </c>
      <c r="L39" s="14">
        <f t="shared" si="3"/>
        <v>0.67216632893495853</v>
      </c>
    </row>
    <row r="40" spans="1:12" x14ac:dyDescent="0.25">
      <c r="A40">
        <f t="shared" si="5"/>
        <v>26</v>
      </c>
      <c r="B40">
        <f t="shared" si="5"/>
        <v>2043</v>
      </c>
      <c r="C40" s="13">
        <f t="shared" si="0"/>
        <v>0.37486993781642697</v>
      </c>
      <c r="D40" s="14">
        <f>MAX(POWER(MAX($A40-D$13,0)/D$8+D$9,D$10)*EXP(-(MAX($A40-D$13,0)/D$8+D$11)-(E40*E40*E40*E40+F40*F40*F40)/D$12)*(1+Dedicate!$E30*D$5)*(1+Connect!$E30*D$6)/100,0)</f>
        <v>4.5131596366857971E-4</v>
      </c>
      <c r="E40" s="14">
        <f>MIN(MAX(POWER(MAX($A40-E$13,0)/E$8+E$9,E$10)*EXP(-(MAX($A40-E$13,0)/E$8+E$11)-F40*F40*F40/E$12)*(1+Dedicate!$E30*E$5)*(1+Connect!$E30*E$6)/100,0),1)</f>
        <v>0.20562169842207989</v>
      </c>
      <c r="F40" s="14">
        <f>MIN(MAX((((MAX($A40-F$13,0)/F$8-F$9)/SQRT(1+POWER(MAX($A40-F$13,0)/F$8-F$9,2))+F$10)*F$11)*(1+Dedicate!$E30*F$5)*(1+Connect!$E30*F$6)/100,0),1)</f>
        <v>0.4190570477978246</v>
      </c>
      <c r="G40" s="14">
        <f t="shared" si="1"/>
        <v>0.62513006218357303</v>
      </c>
      <c r="H40" s="13">
        <f t="shared" si="2"/>
        <v>0.32478150729366617</v>
      </c>
      <c r="I40" s="14">
        <f>MAX(POWER(MAX($A40-I$13,0)/I$8+I$9,I$10)*EXP(-(MAX($A40-I$13,0)/I$8+I$11)-(J40*J40*J40*J40+K40*K40*K40)/I$12)*(1+Dedicate!$E30*I$5)*(1+Connect!$E30/5*I$6)/100,0)</f>
        <v>5.3513170042162162E-5</v>
      </c>
      <c r="J40" s="14">
        <f>MIN(MAX(POWER(MAX($A40-J$13,0)/J$8+J$9,J$10)*EXP(-(MAX($A40-J$13,0)/J$8+J$11)-K40*K40*K40/J$12)*(1+Dedicate!$E30*J$5)*(1+Connect!$E30*J$6)/100,0),1)</f>
        <v>0.28626514257283597</v>
      </c>
      <c r="K40" s="14">
        <f>MIN(MAX((((MAX($A40-K$13,0)/K$8-K$9)/SQRT(1+POWER(MAX($A40-K$13,0)/K$8-K$9,2))+K$10)*K$11)*(1+Dedicate!$E30*K$5)*(1+Connect!$E30*K$6)/100,0),1)</f>
        <v>0.38889983696345565</v>
      </c>
      <c r="L40" s="14">
        <f t="shared" si="3"/>
        <v>0.67521849270633383</v>
      </c>
    </row>
    <row r="41" spans="1:12" x14ac:dyDescent="0.25">
      <c r="A41">
        <f t="shared" si="5"/>
        <v>27</v>
      </c>
      <c r="B41">
        <f t="shared" si="5"/>
        <v>2044</v>
      </c>
      <c r="C41" s="13">
        <f t="shared" si="0"/>
        <v>0.3665124533466303</v>
      </c>
      <c r="D41" s="14">
        <f>MAX(POWER(MAX($A41-D$13,0)/D$8+D$9,D$10)*EXP(-(MAX($A41-D$13,0)/D$8+D$11)-(E41*E41*E41*E41+F41*F41*F41)/D$12)*(1+Dedicate!$E31*D$5)*(1+Connect!$E31*D$6)/100,0)</f>
        <v>2.2421781523510745E-4</v>
      </c>
      <c r="E41" s="14">
        <f>MIN(MAX(POWER(MAX($A41-E$13,0)/E$8+E$9,E$10)*EXP(-(MAX($A41-E$13,0)/E$8+E$11)-F41*F41*F41/E$12)*(1+Dedicate!$E31*E$5)*(1+Connect!$E31*E$6)/100,0),1)</f>
        <v>0.17140944450241125</v>
      </c>
      <c r="F41" s="14">
        <f>MIN(MAX((((MAX($A41-F$13,0)/F$8-F$9)/SQRT(1+POWER(MAX($A41-F$13,0)/F$8-F$9,2))+F$10)*F$11)*(1+Dedicate!$E31*F$5)*(1+Connect!$E31*F$6)/100,0),1)</f>
        <v>0.46185388433572333</v>
      </c>
      <c r="G41" s="14">
        <f t="shared" si="1"/>
        <v>0.6334875466533697</v>
      </c>
      <c r="H41" s="13">
        <f t="shared" si="2"/>
        <v>0.31944236433424744</v>
      </c>
      <c r="I41" s="14">
        <f>MAX(POWER(MAX($A41-I$13,0)/I$8+I$9,I$10)*EXP(-(MAX($A41-I$13,0)/I$8+I$11)-(J41*J41*J41*J41+K41*K41*K41)/I$12)*(1+Dedicate!$E31*I$5)*(1+Connect!$E31/5*I$6)/100,0)</f>
        <v>2.8217168072406535E-5</v>
      </c>
      <c r="J41" s="14">
        <f>MIN(MAX(POWER(MAX($A41-J$13,0)/J$8+J$9,J$10)*EXP(-(MAX($A41-J$13,0)/J$8+J$11)-K41*K41*K41/J$12)*(1+Dedicate!$E31*J$5)*(1+Connect!$E31*J$6)/100,0),1)</f>
        <v>0.25506597731767672</v>
      </c>
      <c r="K41" s="14">
        <f>MIN(MAX((((MAX($A41-K$13,0)/K$8-K$9)/SQRT(1+POWER(MAX($A41-K$13,0)/K$8-K$9,2))+K$10)*K$11)*(1+Dedicate!$E31*K$5)*(1+Connect!$E31*K$6)/100,0),1)</f>
        <v>0.4254634411800034</v>
      </c>
      <c r="L41" s="14">
        <f t="shared" si="3"/>
        <v>0.68055763566575256</v>
      </c>
    </row>
    <row r="42" spans="1:12" x14ac:dyDescent="0.25">
      <c r="A42">
        <f t="shared" si="5"/>
        <v>28</v>
      </c>
      <c r="B42">
        <f t="shared" si="5"/>
        <v>2045</v>
      </c>
      <c r="C42" s="13">
        <f t="shared" si="0"/>
        <v>0.35496441360946041</v>
      </c>
      <c r="D42" s="14">
        <f>MAX(POWER(MAX($A42-D$13,0)/D$8+D$9,D$10)*EXP(-(MAX($A42-D$13,0)/D$8+D$11)-(E42*E42*E42*E42+F42*F42*F42)/D$12)*(1+Dedicate!$E32*D$5)*(1+Connect!$E32*D$6)/100,0)</f>
        <v>1.0395300378414339E-4</v>
      </c>
      <c r="E42" s="14">
        <f>MIN(MAX(POWER(MAX($A42-E$13,0)/E$8+E$9,E$10)*EXP(-(MAX($A42-E$13,0)/E$8+E$11)-F42*F42*F42/E$12)*(1+Dedicate!$E32*E$5)*(1+Connect!$E32*E$6)/100,0),1)</f>
        <v>0.13943279641651476</v>
      </c>
      <c r="F42" s="14">
        <f>MIN(MAX((((MAX($A42-F$13,0)/F$8-F$9)/SQRT(1+POWER(MAX($A42-F$13,0)/F$8-F$9,2))+F$10)*F$11)*(1+Dedicate!$E32*F$5)*(1+Connect!$E32*F$6)/100,0),1)</f>
        <v>0.50549883697024067</v>
      </c>
      <c r="G42" s="14">
        <f t="shared" si="1"/>
        <v>0.64503558639053959</v>
      </c>
      <c r="H42" s="13">
        <f t="shared" si="2"/>
        <v>0.31160708801835402</v>
      </c>
      <c r="I42" s="14">
        <f>MAX(POWER(MAX($A42-I$13,0)/I$8+I$9,I$10)*EXP(-(MAX($A42-I$13,0)/I$8+I$11)-(J42*J42*J42*J42+K42*K42*K42)/I$12)*(1+Dedicate!$E32*I$5)*(1+Connect!$E32/5*I$6)/100,0)</f>
        <v>1.4695006888321757E-5</v>
      </c>
      <c r="J42" s="14">
        <f>MIN(MAX(POWER(MAX($A42-J$13,0)/J$8+J$9,J$10)*EXP(-(MAX($A42-J$13,0)/J$8+J$11)-K42*K42*K42/J$12)*(1+Dedicate!$E32*J$5)*(1+Connect!$E32*J$6)/100,0),1)</f>
        <v>0.22541114800474346</v>
      </c>
      <c r="K42" s="14">
        <f>MIN(MAX((((MAX($A42-K$13,0)/K$8-K$9)/SQRT(1+POWER(MAX($A42-K$13,0)/K$8-K$9,2))+K$10)*K$11)*(1+Dedicate!$E32*K$5)*(1+Connect!$E32*K$6)/100,0),1)</f>
        <v>0.46296706897001416</v>
      </c>
      <c r="L42" s="14">
        <f t="shared" si="3"/>
        <v>0.68839291198164598</v>
      </c>
    </row>
    <row r="43" spans="1:12" x14ac:dyDescent="0.25">
      <c r="A43">
        <f t="shared" si="5"/>
        <v>29</v>
      </c>
      <c r="B43">
        <f t="shared" si="5"/>
        <v>2046</v>
      </c>
      <c r="C43" s="13">
        <f t="shared" si="0"/>
        <v>0.33987749936984235</v>
      </c>
      <c r="D43" s="14">
        <f>MAX(POWER(MAX($A43-D$13,0)/D$8+D$9,D$10)*EXP(-(MAX($A43-D$13,0)/D$8+D$11)-(E43*E43*E43*E43+F43*F43*F43)/D$12)*(1+Dedicate!$E33*D$5)*(1+Connect!$E33*D$6)/100,0)</f>
        <v>4.493889060607265E-5</v>
      </c>
      <c r="E43" s="14">
        <f>MIN(MAX(POWER(MAX($A43-E$13,0)/E$8+E$9,E$10)*EXP(-(MAX($A43-E$13,0)/E$8+E$11)-F43*F43*F43/E$12)*(1+Dedicate!$E33*E$5)*(1+Connect!$E33*E$6)/100,0),1)</f>
        <v>0.11064135834336476</v>
      </c>
      <c r="F43" s="14">
        <f>MIN(MAX((((MAX($A43-F$13,0)/F$8-F$9)/SQRT(1+POWER(MAX($A43-F$13,0)/F$8-F$9,2))+F$10)*F$11)*(1+Dedicate!$E33*F$5)*(1+Connect!$E33*F$6)/100,0),1)</f>
        <v>0.54943620339618682</v>
      </c>
      <c r="G43" s="14">
        <f t="shared" si="1"/>
        <v>0.66012250063015765</v>
      </c>
      <c r="H43" s="13">
        <f t="shared" si="2"/>
        <v>0.30125758100771416</v>
      </c>
      <c r="I43" s="14">
        <f>MAX(POWER(MAX($A43-I$13,0)/I$8+I$9,I$10)*EXP(-(MAX($A43-I$13,0)/I$8+I$11)-(J43*J43*J43*J43+K43*K43*K43)/I$12)*(1+Dedicate!$E33*I$5)*(1+Connect!$E33/5*I$6)/100,0)</f>
        <v>7.5616891684163756E-6</v>
      </c>
      <c r="J43" s="14">
        <f>MIN(MAX(POWER(MAX($A43-J$13,0)/J$8+J$9,J$10)*EXP(-(MAX($A43-J$13,0)/J$8+J$11)-K43*K43*K43/J$12)*(1+Dedicate!$E33*J$5)*(1+Connect!$E33*J$6)/100,0),1)</f>
        <v>0.1976776558474036</v>
      </c>
      <c r="K43" s="14">
        <f>MIN(MAX((((MAX($A43-K$13,0)/K$8-K$9)/SQRT(1+POWER(MAX($A43-K$13,0)/K$8-K$9,2))+K$10)*K$11)*(1+Dedicate!$E33*K$5)*(1+Connect!$E33*K$6)/100,0),1)</f>
        <v>0.50105720145571386</v>
      </c>
      <c r="L43" s="14">
        <f t="shared" si="3"/>
        <v>0.69874241899228584</v>
      </c>
    </row>
    <row r="44" spans="1:12" x14ac:dyDescent="0.25">
      <c r="A44">
        <f t="shared" si="5"/>
        <v>30</v>
      </c>
      <c r="B44">
        <f t="shared" si="5"/>
        <v>2047</v>
      </c>
      <c r="C44" s="13">
        <f t="shared" si="0"/>
        <v>0.32120446258363267</v>
      </c>
      <c r="D44" s="14">
        <f>MAX(POWER(MAX($A44-D$13,0)/D$8+D$9,D$10)*EXP(-(MAX($A44-D$13,0)/D$8+D$11)-(E44*E44*E44*E44+F44*F44*F44)/D$12)*(1+Dedicate!$E34*D$5)*(1+Connect!$E34*D$6)/100,0)</f>
        <v>1.8140335919711487E-5</v>
      </c>
      <c r="E44" s="14">
        <f>MIN(MAX(POWER(MAX($A44-E$13,0)/E$8+E$9,E$10)*EXP(-(MAX($A44-E$13,0)/E$8+E$11)-F44*F44*F44/E$12)*(1+Dedicate!$E34*E$5)*(1+Connect!$E34*E$6)/100,0),1)</f>
        <v>8.5680352561125411E-2</v>
      </c>
      <c r="F44" s="14">
        <f>MIN(MAX((((MAX($A44-F$13,0)/F$8-F$9)/SQRT(1+POWER(MAX($A44-F$13,0)/F$8-F$9,2))+F$10)*F$11)*(1+Dedicate!$E34*F$5)*(1+Connect!$E34*F$6)/100,0),1)</f>
        <v>0.59309704451932221</v>
      </c>
      <c r="G44" s="14">
        <f t="shared" si="1"/>
        <v>0.67879553741636733</v>
      </c>
      <c r="H44" s="13">
        <f t="shared" si="2"/>
        <v>0.2885330363094013</v>
      </c>
      <c r="I44" s="14">
        <f>MAX(POWER(MAX($A44-I$13,0)/I$8+I$9,I$10)*EXP(-(MAX($A44-I$13,0)/I$8+I$11)-(J44*J44*J44*J44+K44*K44*K44)/I$12)*(1+Dedicate!$E34*I$5)*(1+Connect!$E34/5*I$6)/100,0)</f>
        <v>3.8465071514785996E-6</v>
      </c>
      <c r="J44" s="14">
        <f>MIN(MAX(POWER(MAX($A44-J$13,0)/J$8+J$9,J$10)*EXP(-(MAX($A44-J$13,0)/J$8+J$11)-K44*K44*K44/J$12)*(1+Dedicate!$E34*J$5)*(1+Connect!$E34*J$6)/100,0),1)</f>
        <v>0.17210836125395065</v>
      </c>
      <c r="K44" s="14">
        <f>MIN(MAX((((MAX($A44-K$13,0)/K$8-K$9)/SQRT(1+POWER(MAX($A44-K$13,0)/K$8-K$9,2))+K$10)*K$11)*(1+Dedicate!$E34*K$5)*(1+Connect!$E34*K$6)/100,0),1)</f>
        <v>0.53935475592949655</v>
      </c>
      <c r="L44" s="14">
        <f t="shared" si="3"/>
        <v>0.7114669636905987</v>
      </c>
    </row>
    <row r="45" spans="1:12" x14ac:dyDescent="0.25">
      <c r="A45">
        <f t="shared" si="5"/>
        <v>31</v>
      </c>
      <c r="B45">
        <f t="shared" si="5"/>
        <v>2048</v>
      </c>
      <c r="C45" s="13">
        <f t="shared" si="0"/>
        <v>0.29922109932575591</v>
      </c>
      <c r="D45" s="14">
        <f>MAX(POWER(MAX($A45-D$13,0)/D$8+D$9,D$10)*EXP(-(MAX($A45-D$13,0)/D$8+D$11)-(E45*E45*E45*E45+F45*F45*F45)/D$12)*(1+Dedicate!$E35*D$5)*(1+Connect!$E35*D$6)/100,0)</f>
        <v>6.8651805899199825E-6</v>
      </c>
      <c r="E45" s="14">
        <f>MIN(MAX(POWER(MAX($A45-E$13,0)/E$8+E$9,E$10)*EXP(-(MAX($A45-E$13,0)/E$8+E$11)-F45*F45*F45/E$12)*(1+Dedicate!$E35*E$5)*(1+Connect!$E35*E$6)/100,0),1)</f>
        <v>6.4835880316337191E-2</v>
      </c>
      <c r="F45" s="14">
        <f>MIN(MAX((((MAX($A45-F$13,0)/F$8-F$9)/SQRT(1+POWER(MAX($A45-F$13,0)/F$8-F$9,2))+F$10)*F$11)*(1+Dedicate!$E35*F$5)*(1+Connect!$E35*F$6)/100,0),1)</f>
        <v>0.63593615517731694</v>
      </c>
      <c r="G45" s="14">
        <f t="shared" si="1"/>
        <v>0.70077890067424409</v>
      </c>
      <c r="H45" s="13">
        <f t="shared" si="2"/>
        <v>0.27369139499271811</v>
      </c>
      <c r="I45" s="14">
        <f>MAX(POWER(MAX($A45-I$13,0)/I$8+I$9,I$10)*EXP(-(MAX($A45-I$13,0)/I$8+I$11)-(J45*J45*J45*J45+K45*K45*K45)/I$12)*(1+Dedicate!$E35*I$5)*(1+Connect!$E35/5*I$6)/100,0)</f>
        <v>1.9353115236209009E-6</v>
      </c>
      <c r="J45" s="14">
        <f>MIN(MAX(POWER(MAX($A45-J$13,0)/J$8+J$9,J$10)*EXP(-(MAX($A45-J$13,0)/J$8+J$11)-K45*K45*K45/J$12)*(1+Dedicate!$E35*J$5)*(1+Connect!$E35*J$6)/100,0),1)</f>
        <v>0.1488326360586873</v>
      </c>
      <c r="K45" s="14">
        <f>MIN(MAX((((MAX($A45-K$13,0)/K$8-K$9)/SQRT(1+POWER(MAX($A45-K$13,0)/K$8-K$9,2))+K$10)*K$11)*(1+Dedicate!$E35*K$5)*(1+Connect!$E35*K$6)/100,0),1)</f>
        <v>0.57747403363707095</v>
      </c>
      <c r="L45" s="14">
        <f t="shared" si="3"/>
        <v>0.72630860500728189</v>
      </c>
    </row>
    <row r="46" spans="1:12" x14ac:dyDescent="0.25">
      <c r="A46">
        <f t="shared" si="5"/>
        <v>32</v>
      </c>
      <c r="B46">
        <f t="shared" si="5"/>
        <v>2049</v>
      </c>
      <c r="C46" s="13">
        <f t="shared" si="0"/>
        <v>0.27448857399254023</v>
      </c>
      <c r="D46" s="14">
        <f>MAX(POWER(MAX($A46-D$13,0)/D$8+D$9,D$10)*EXP(-(MAX($A46-D$13,0)/D$8+D$11)-(E46*E46*E46*E46+F46*F46*F46)/D$12)*(1+Dedicate!$E36*D$5)*(1+Connect!$E36*D$6)/100,0)</f>
        <v>2.4520479416023109E-6</v>
      </c>
      <c r="E46" s="14">
        <f>MIN(MAX(POWER(MAX($A46-E$13,0)/E$8+E$9,E$10)*EXP(-(MAX($A46-E$13,0)/E$8+E$11)-F46*F46*F46/E$12)*(1+Dedicate!$E36*E$5)*(1+Connect!$E36*E$6)/100,0),1)</f>
        <v>4.8043641733023945E-2</v>
      </c>
      <c r="F46" s="14">
        <f>MIN(MAX((((MAX($A46-F$13,0)/F$8-F$9)/SQRT(1+POWER(MAX($A46-F$13,0)/F$8-F$9,2))+F$10)*F$11)*(1+Dedicate!$E36*F$5)*(1+Connect!$E36*F$6)/100,0),1)</f>
        <v>0.6774653322264943</v>
      </c>
      <c r="G46" s="14">
        <f t="shared" si="1"/>
        <v>0.72551142600745977</v>
      </c>
      <c r="H46" s="13">
        <f t="shared" si="2"/>
        <v>0.25706987190154518</v>
      </c>
      <c r="I46" s="14">
        <f>MAX(POWER(MAX($A46-I$13,0)/I$8+I$9,I$10)*EXP(-(MAX($A46-I$13,0)/I$8+I$11)-(J46*J46*J46*J46+K46*K46*K46)/I$12)*(1+Dedicate!$E36*I$5)*(1+Connect!$E36/5*I$6)/100,0)</f>
        <v>9.6372543572810552E-7</v>
      </c>
      <c r="J46" s="14">
        <f>MIN(MAX(POWER(MAX($A46-J$13,0)/J$8+J$9,J$10)*EXP(-(MAX($A46-J$13,0)/J$8+J$11)-K46*K46*K46/J$12)*(1+Dedicate!$E36*J$5)*(1+Connect!$E36*J$6)/100,0),1)</f>
        <v>0.1278868329967015</v>
      </c>
      <c r="K46" s="14">
        <f>MIN(MAX((((MAX($A46-K$13,0)/K$8-K$9)/SQRT(1+POWER(MAX($A46-K$13,0)/K$8-K$9,2))+K$10)*K$11)*(1+Dedicate!$E36*K$5)*(1+Connect!$E36*K$6)/100,0),1)</f>
        <v>0.61504233137631759</v>
      </c>
      <c r="L46" s="14">
        <f t="shared" si="3"/>
        <v>0.74293012809845482</v>
      </c>
    </row>
    <row r="47" spans="1:12" x14ac:dyDescent="0.25">
      <c r="A47">
        <f t="shared" si="5"/>
        <v>33</v>
      </c>
      <c r="B47">
        <f t="shared" si="5"/>
        <v>2050</v>
      </c>
      <c r="C47" s="13">
        <f t="shared" si="0"/>
        <v>0.24776233091395505</v>
      </c>
      <c r="D47" s="14">
        <f>MAX(POWER(MAX($A47-D$13,0)/D$8+D$9,D$10)*EXP(-(MAX($A47-D$13,0)/D$8+D$11)-(E47*E47*E47*E47+F47*F47*F47)/D$12)*(1+Dedicate!$E37*D$5)*(1+Connect!$E37*D$6)/100,0)</f>
        <v>8.3395580542987522E-7</v>
      </c>
      <c r="E47" s="14">
        <f>MIN(MAX(POWER(MAX($A47-E$13,0)/E$8+E$9,E$10)*EXP(-(MAX($A47-E$13,0)/E$8+E$11)-F47*F47*F47/E$12)*(1+Dedicate!$E37*E$5)*(1+Connect!$E37*E$6)/100,0),1)</f>
        <v>3.49583864000578E-2</v>
      </c>
      <c r="F47" s="14">
        <f>MIN(MAX((((MAX($A47-F$13,0)/F$8-F$9)/SQRT(1+POWER(MAX($A47-F$13,0)/F$8-F$9,2))+F$10)*F$11)*(1+Dedicate!$E37*F$5)*(1+Connect!$E37*F$6)/100,0),1)</f>
        <v>0.71727844873018176</v>
      </c>
      <c r="G47" s="14">
        <f t="shared" si="1"/>
        <v>0.75223766908604495</v>
      </c>
      <c r="H47" s="13">
        <f t="shared" si="2"/>
        <v>0.23904789512736524</v>
      </c>
      <c r="I47" s="14">
        <f>MAX(POWER(MAX($A47-I$13,0)/I$8+I$9,I$10)*EXP(-(MAX($A47-I$13,0)/I$8+I$11)-(J47*J47*J47*J47+K47*K47*K47)/I$12)*(1+Dedicate!$E37*I$5)*(1+Connect!$E37/5*I$6)/100,0)</f>
        <v>4.7533895056099794E-7</v>
      </c>
      <c r="J47" s="14">
        <f>MIN(MAX(POWER(MAX($A47-J$13,0)/J$8+J$9,J$10)*EXP(-(MAX($A47-J$13,0)/J$8+J$11)-K47*K47*K47/J$12)*(1+Dedicate!$E37*J$5)*(1+Connect!$E37*J$6)/100,0),1)</f>
        <v>0.10923369293539333</v>
      </c>
      <c r="K47" s="14">
        <f>MIN(MAX((((MAX($A47-K$13,0)/K$8-K$9)/SQRT(1+POWER(MAX($A47-K$13,0)/K$8-K$9,2))+K$10)*K$11)*(1+Dedicate!$E37*K$5)*(1+Connect!$E37*K$6)/100,0),1)</f>
        <v>0.65171793659829091</v>
      </c>
      <c r="L47" s="14">
        <f t="shared" si="3"/>
        <v>0.76095210487263476</v>
      </c>
    </row>
    <row r="48" spans="1:12" x14ac:dyDescent="0.25">
      <c r="A48">
        <f t="shared" si="5"/>
        <v>34</v>
      </c>
      <c r="B48">
        <f t="shared" si="5"/>
        <v>2051</v>
      </c>
      <c r="C48" s="13">
        <f t="shared" si="0"/>
        <v>0.22061085484366028</v>
      </c>
      <c r="D48" s="14">
        <f>MAX(POWER(MAX($A48-D$13,0)/D$8+D$9,D$10)*EXP(-(MAX($A48-D$13,0)/D$8+D$11)-(E48*E48*E48*E48+F48*F48*F48)/D$12)*(1+Dedicate!$E38*D$5)*(1+Connect!$E38*D$6)/100,0)</f>
        <v>2.7605943367532789E-7</v>
      </c>
      <c r="E48" s="14">
        <f>MIN(MAX(POWER(MAX($A48-E$13,0)/E$8+E$9,E$10)*EXP(-(MAX($A48-E$13,0)/E$8+E$11)-F48*F48*F48/E$12)*(1+Dedicate!$E38*E$5)*(1+Connect!$E38*E$6)/100,0),1)</f>
        <v>2.5106175657249753E-2</v>
      </c>
      <c r="F48" s="14">
        <f>MIN(MAX((((MAX($A48-F$13,0)/F$8-F$9)/SQRT(1+POWER(MAX($A48-F$13,0)/F$8-F$9,2))+F$10)*F$11)*(1+Dedicate!$E38*F$5)*(1+Connect!$E38*F$6)/100,0),1)</f>
        <v>0.75428269343965637</v>
      </c>
      <c r="G48" s="14">
        <f t="shared" si="1"/>
        <v>0.77938914515633972</v>
      </c>
      <c r="H48" s="13">
        <f t="shared" si="2"/>
        <v>0.2208984758387933</v>
      </c>
      <c r="I48" s="14">
        <f>MAX(POWER(MAX($A48-I$13,0)/I$8+I$9,I$10)*EXP(-(MAX($A48-I$13,0)/I$8+I$11)-(J48*J48*J48*J48+K48*K48*K48)/I$12)*(1+Dedicate!$E38*I$5)*(1+Connect!$E38/5*I$6)/100,0)</f>
        <v>2.3255465459115996E-7</v>
      </c>
      <c r="J48" s="14">
        <f>MIN(MAX(POWER(MAX($A48-J$13,0)/J$8+J$9,J$10)*EXP(-(MAX($A48-J$13,0)/J$8+J$11)-K48*K48*K48/J$12)*(1+Dedicate!$E38*J$5)*(1+Connect!$E38*J$6)/100,0),1)</f>
        <v>9.2609490467079336E-2</v>
      </c>
      <c r="K48" s="14">
        <f>MIN(MAX((((MAX($A48-K$13,0)/K$8-K$9)/SQRT(1+POWER(MAX($A48-K$13,0)/K$8-K$9,2))+K$10)*K$11)*(1+Dedicate!$E38*K$5)*(1+Connect!$E38*K$6)/100,0),1)</f>
        <v>0.68649180113947272</v>
      </c>
      <c r="L48" s="14">
        <f t="shared" si="3"/>
        <v>0.7791015241612067</v>
      </c>
    </row>
    <row r="49" spans="1:12" x14ac:dyDescent="0.25">
      <c r="A49">
        <f t="shared" ref="A49:B64" si="6">A48+1</f>
        <v>35</v>
      </c>
      <c r="B49">
        <f t="shared" si="6"/>
        <v>2052</v>
      </c>
      <c r="C49" s="13">
        <f t="shared" si="0"/>
        <v>0.19369301268170891</v>
      </c>
      <c r="D49" s="14">
        <f>MAX(POWER(MAX($A49-D$13,0)/D$8+D$9,D$10)*EXP(-(MAX($A49-D$13,0)/D$8+D$11)-(E49*E49*E49*E49+F49*F49*F49)/D$12)*(1+Dedicate!$E39*D$5)*(1+Connect!$E39*D$6)/100,0)</f>
        <v>9.0058348415731662E-8</v>
      </c>
      <c r="E49" s="14">
        <f>MIN(MAX(POWER(MAX($A49-E$13,0)/E$8+E$9,E$10)*EXP(-(MAX($A49-E$13,0)/E$8+E$11)-F49*F49*F49/E$12)*(1+Dedicate!$E39*E$5)*(1+Connect!$E39*E$6)/100,0),1)</f>
        <v>1.7872027208095775E-2</v>
      </c>
      <c r="F49" s="14">
        <f>MIN(MAX((((MAX($A49-F$13,0)/F$8-F$9)/SQRT(1+POWER(MAX($A49-F$13,0)/F$8-F$9,2))+F$10)*F$11)*(1+Dedicate!$E39*F$5)*(1+Connect!$E39*F$6)/100,0),1)</f>
        <v>0.78843487005184687</v>
      </c>
      <c r="G49" s="14">
        <f t="shared" si="1"/>
        <v>0.80630698731829109</v>
      </c>
      <c r="H49" s="13">
        <f t="shared" si="2"/>
        <v>0.20271719176315406</v>
      </c>
      <c r="I49" s="14">
        <f>MAX(POWER(MAX($A49-I$13,0)/I$8+I$9,I$10)*EXP(-(MAX($A49-I$13,0)/I$8+I$11)-(J49*J49*J49*J49+K49*K49*K49)/I$12)*(1+Dedicate!$E39*I$5)*(1+Connect!$E39/5*I$6)/100,0)</f>
        <v>1.1298444917659226E-7</v>
      </c>
      <c r="J49" s="14">
        <f>MIN(MAX(POWER(MAX($A49-J$13,0)/J$8+J$9,J$10)*EXP(-(MAX($A49-J$13,0)/J$8+J$11)-K49*K49*K49/J$12)*(1+Dedicate!$E39*J$5)*(1+Connect!$E39*J$6)/100,0),1)</f>
        <v>7.8013156217589863E-2</v>
      </c>
      <c r="K49" s="14">
        <f>MIN(MAX((((MAX($A49-K$13,0)/K$8-K$9)/SQRT(1+POWER(MAX($A49-K$13,0)/K$8-K$9,2))+K$10)*K$11)*(1+Dedicate!$E39*K$5)*(1+Connect!$E39*K$6)/100,0),1)</f>
        <v>0.71926953903480695</v>
      </c>
      <c r="L49" s="14">
        <f t="shared" si="3"/>
        <v>0.79728280823684594</v>
      </c>
    </row>
    <row r="50" spans="1:12" x14ac:dyDescent="0.25">
      <c r="A50">
        <f t="shared" si="6"/>
        <v>36</v>
      </c>
      <c r="B50">
        <f t="shared" si="6"/>
        <v>2053</v>
      </c>
      <c r="C50" s="13">
        <f t="shared" si="0"/>
        <v>0.16722895086854861</v>
      </c>
      <c r="D50" s="14">
        <f>MAX(POWER(MAX($A50-D$13,0)/D$8+D$9,D$10)*EXP(-(MAX($A50-D$13,0)/D$8+D$11)-(E50*E50*E50*E50+F50*F50*F50)/D$12)*(1+Dedicate!$E40*D$5)*(1+Connect!$E40*D$6)/100,0)</f>
        <v>2.9091158216296579E-8</v>
      </c>
      <c r="E50" s="14">
        <f>MIN(MAX(POWER(MAX($A50-E$13,0)/E$8+E$9,E$10)*EXP(-(MAX($A50-E$13,0)/E$8+E$11)-F50*F50*F50/E$12)*(1+Dedicate!$E40*E$5)*(1+Connect!$E40*E$6)/100,0),1)</f>
        <v>1.2641905578261399E-2</v>
      </c>
      <c r="F50" s="14">
        <f>MIN(MAX((((MAX($A50-F$13,0)/F$8-F$9)/SQRT(1+POWER(MAX($A50-F$13,0)/F$8-F$9,2))+F$10)*F$11)*(1+Dedicate!$E40*F$5)*(1+Connect!$E40*F$6)/100,0),1)</f>
        <v>0.82012911446203174</v>
      </c>
      <c r="G50" s="14">
        <f t="shared" si="1"/>
        <v>0.83277104913145139</v>
      </c>
      <c r="H50" s="13">
        <f t="shared" si="2"/>
        <v>0.18426952904446403</v>
      </c>
      <c r="I50" s="14">
        <f>MAX(POWER(MAX($A50-I$13,0)/I$8+I$9,I$10)*EXP(-(MAX($A50-I$13,0)/I$8+I$11)-(J50*J50*J50*J50+K50*K50*K50)/I$12)*(1+Dedicate!$E40*I$5)*(1+Connect!$E40/5*I$6)/100,0)</f>
        <v>5.455014982488199E-8</v>
      </c>
      <c r="J50" s="14">
        <f>MIN(MAX(POWER(MAX($A50-J$13,0)/J$8+J$9,J$10)*EXP(-(MAX($A50-J$13,0)/J$8+J$11)-K50*K50*K50/J$12)*(1+Dedicate!$E40*J$5)*(1+Connect!$E40*J$6)/100,0),1)</f>
        <v>6.5400769117632457E-2</v>
      </c>
      <c r="K50" s="14">
        <f>MIN(MAX((((MAX($A50-K$13,0)/K$8-K$9)/SQRT(1+POWER(MAX($A50-K$13,0)/K$8-K$9,2))+K$10)*K$11)*(1+Dedicate!$E40*K$5)*(1+Connect!$E40*K$6)/100,0),1)</f>
        <v>0.75032964728775364</v>
      </c>
      <c r="L50" s="14">
        <f t="shared" si="3"/>
        <v>0.81573047095553597</v>
      </c>
    </row>
    <row r="51" spans="1:12" x14ac:dyDescent="0.25">
      <c r="A51">
        <f t="shared" si="6"/>
        <v>37</v>
      </c>
      <c r="B51">
        <f t="shared" si="6"/>
        <v>2054</v>
      </c>
      <c r="C51" s="13">
        <f t="shared" si="0"/>
        <v>0.14174176496952295</v>
      </c>
      <c r="D51" s="14">
        <f>MAX(POWER(MAX($A51-D$13,0)/D$8+D$9,D$10)*EXP(-(MAX($A51-D$13,0)/D$8+D$11)-(E51*E51*E51*E51+F51*F51*F51)/D$12)*(1+Dedicate!$E41*D$5)*(1+Connect!$E41*D$6)/100,0)</f>
        <v>9.3987901643925973E-9</v>
      </c>
      <c r="E51" s="14">
        <f>MIN(MAX(POWER(MAX($A51-E$13,0)/E$8+E$9,E$10)*EXP(-(MAX($A51-E$13,0)/E$8+E$11)-F51*F51*F51/E$12)*(1+Dedicate!$E41*E$5)*(1+Connect!$E41*E$6)/100,0),1)</f>
        <v>8.9130639385815516E-3</v>
      </c>
      <c r="F51" s="14">
        <f>MIN(MAX((((MAX($A51-F$13,0)/F$8-F$9)/SQRT(1+POWER(MAX($A51-F$13,0)/F$8-F$9,2))+F$10)*F$11)*(1+Dedicate!$E41*F$5)*(1+Connect!$E41*F$6)/100,0),1)</f>
        <v>0.84934516169310526</v>
      </c>
      <c r="G51" s="14">
        <f t="shared" si="1"/>
        <v>0.85825823503047705</v>
      </c>
      <c r="H51" s="13">
        <f t="shared" si="2"/>
        <v>0.1658597194884186</v>
      </c>
      <c r="I51" s="14">
        <f>MAX(POWER(MAX($A51-I$13,0)/I$8+I$9,I$10)*EXP(-(MAX($A51-I$13,0)/I$8+I$11)-(J51*J51*J51*J51+K51*K51*K51)/I$12)*(1+Dedicate!$E41*I$5)*(1+Connect!$E41/5*I$6)/100,0)</f>
        <v>2.619903458594818E-8</v>
      </c>
      <c r="J51" s="14">
        <f>MIN(MAX(POWER(MAX($A51-J$13,0)/J$8+J$9,J$10)*EXP(-(MAX($A51-J$13,0)/J$8+J$11)-K51*K51*K51/J$12)*(1+Dedicate!$E41*J$5)*(1+Connect!$E41*J$6)/100,0),1)</f>
        <v>5.4581087960104399E-2</v>
      </c>
      <c r="K51" s="14">
        <f>MIN(MAX((((MAX($A51-K$13,0)/K$8-K$9)/SQRT(1+POWER(MAX($A51-K$13,0)/K$8-K$9,2))+K$10)*K$11)*(1+Dedicate!$E41*K$5)*(1+Connect!$E41*K$6)/100,0),1)</f>
        <v>0.77955916635244238</v>
      </c>
      <c r="L51" s="14">
        <f t="shared" si="3"/>
        <v>0.8341402805115814</v>
      </c>
    </row>
    <row r="52" spans="1:12" x14ac:dyDescent="0.25">
      <c r="A52">
        <f t="shared" si="6"/>
        <v>38</v>
      </c>
      <c r="B52">
        <f t="shared" si="6"/>
        <v>2055</v>
      </c>
      <c r="C52" s="13">
        <f t="shared" si="0"/>
        <v>0.1175909782369936</v>
      </c>
      <c r="D52" s="14">
        <f>MAX(POWER(MAX($A52-D$13,0)/D$8+D$9,D$10)*EXP(-(MAX($A52-D$13,0)/D$8+D$11)-(E52*E52*E52*E52+F52*F52*F52)/D$12)*(1+Dedicate!$E42*D$5)*(1+Connect!$E42*D$6)/100,0)</f>
        <v>3.0631022510995362E-9</v>
      </c>
      <c r="E52" s="14">
        <f>MIN(MAX(POWER(MAX($A52-E$13,0)/E$8+E$9,E$10)*EXP(-(MAX($A52-E$13,0)/E$8+E$11)-F52*F52*F52/E$12)*(1+Dedicate!$E42*E$5)*(1+Connect!$E42*E$6)/100,0),1)</f>
        <v>6.2799186973654412E-3</v>
      </c>
      <c r="F52" s="14">
        <f>MIN(MAX((((MAX($A52-F$13,0)/F$8-F$9)/SQRT(1+POWER(MAX($A52-F$13,0)/F$8-F$9,2))+F$10)*F$11)*(1+Dedicate!$E42*F$5)*(1+Connect!$E42*F$6)/100,0),1)</f>
        <v>0.87612910000253874</v>
      </c>
      <c r="G52" s="14">
        <f t="shared" si="1"/>
        <v>0.8824090217630064</v>
      </c>
      <c r="H52" s="13">
        <f t="shared" si="2"/>
        <v>0.14773913573635955</v>
      </c>
      <c r="I52" s="14">
        <f>MAX(POWER(MAX($A52-I$13,0)/I$8+I$9,I$10)*EXP(-(MAX($A52-I$13,0)/I$8+I$11)-(J52*J52*J52*J52+K52*K52*K52)/I$12)*(1+Dedicate!$E42*I$5)*(1+Connect!$E42/5*I$6)/100,0)</f>
        <v>1.2528262219258942E-8</v>
      </c>
      <c r="J52" s="14">
        <f>MIN(MAX(POWER(MAX($A52-J$13,0)/J$8+J$9,J$10)*EXP(-(MAX($A52-J$13,0)/J$8+J$11)-K52*K52*K52/J$12)*(1+Dedicate!$E42*J$5)*(1+Connect!$E42*J$6)/100,0),1)</f>
        <v>4.5360453897213132E-2</v>
      </c>
      <c r="K52" s="14">
        <f>MIN(MAX((((MAX($A52-K$13,0)/K$8-K$9)/SQRT(1+POWER(MAX($A52-K$13,0)/K$8-K$9,2))+K$10)*K$11)*(1+Dedicate!$E42*K$5)*(1+Connect!$E42*K$6)/100,0),1)</f>
        <v>0.80690039783816514</v>
      </c>
      <c r="L52" s="14">
        <f t="shared" si="3"/>
        <v>0.85226086426364045</v>
      </c>
    </row>
    <row r="53" spans="1:12" x14ac:dyDescent="0.25">
      <c r="A53">
        <f t="shared" si="6"/>
        <v>39</v>
      </c>
      <c r="B53">
        <f t="shared" si="6"/>
        <v>2056</v>
      </c>
      <c r="C53" s="13">
        <f t="shared" si="0"/>
        <v>9.4992255387548297E-2</v>
      </c>
      <c r="D53" s="14">
        <f>MAX(POWER(MAX($A53-D$13,0)/D$8+D$9,D$10)*EXP(-(MAX($A53-D$13,0)/D$8+D$11)-(E53*E53*E53*E53+F53*F53*F53)/D$12)*(1+Dedicate!$E43*D$5)*(1+Connect!$E43*D$6)/100,0)</f>
        <v>1.0138996800822164E-9</v>
      </c>
      <c r="E53" s="14">
        <f>MIN(MAX(POWER(MAX($A53-E$13,0)/E$8+E$9,E$10)*EXP(-(MAX($A53-E$13,0)/E$8+E$11)-F53*F53*F53/E$12)*(1+Dedicate!$E43*E$5)*(1+Connect!$E43*E$6)/100,0),1)</f>
        <v>4.4311138057604718E-3</v>
      </c>
      <c r="F53" s="14">
        <f>MIN(MAX((((MAX($A53-F$13,0)/F$8-F$9)/SQRT(1+POWER(MAX($A53-F$13,0)/F$8-F$9,2))+F$10)*F$11)*(1+Dedicate!$E43*F$5)*(1+Connect!$E43*F$6)/100,0),1)</f>
        <v>0.90057662979279163</v>
      </c>
      <c r="G53" s="14">
        <f t="shared" si="1"/>
        <v>0.9050077446124517</v>
      </c>
      <c r="H53" s="13">
        <f t="shared" si="2"/>
        <v>0.13010640250050642</v>
      </c>
      <c r="I53" s="14">
        <f>MAX(POWER(MAX($A53-I$13,0)/I$8+I$9,I$10)*EXP(-(MAX($A53-I$13,0)/I$8+I$11)-(J53*J53*J53*J53+K53*K53*K53)/I$12)*(1+Dedicate!$E43*I$5)*(1+Connect!$E43/5*I$6)/100,0)</f>
        <v>5.9700765111529219E-9</v>
      </c>
      <c r="J53" s="14">
        <f>MIN(MAX(POWER(MAX($A53-J$13,0)/J$8+J$9,J$10)*EXP(-(MAX($A53-J$13,0)/J$8+J$11)-K53*K53*K53/J$12)*(1+Dedicate!$E43*J$5)*(1+Connect!$E43*J$6)/100,0),1)</f>
        <v>3.754995019440454E-2</v>
      </c>
      <c r="K53" s="14">
        <f>MIN(MAX((((MAX($A53-K$13,0)/K$8-K$9)/SQRT(1+POWER(MAX($A53-K$13,0)/K$8-K$9,2))+K$10)*K$11)*(1+Dedicate!$E43*K$5)*(1+Connect!$E43*K$6)/100,0),1)</f>
        <v>0.83234364133501249</v>
      </c>
      <c r="L53" s="14">
        <f t="shared" si="3"/>
        <v>0.86989359749949358</v>
      </c>
    </row>
    <row r="54" spans="1:12" x14ac:dyDescent="0.25">
      <c r="A54">
        <f t="shared" si="6"/>
        <v>40</v>
      </c>
      <c r="B54">
        <f t="shared" si="6"/>
        <v>2057</v>
      </c>
      <c r="C54" s="13">
        <f t="shared" si="0"/>
        <v>7.4046289128601783E-2</v>
      </c>
      <c r="D54" s="14">
        <f>MAX(POWER(MAX($A54-D$13,0)/D$8+D$9,D$10)*EXP(-(MAX($A54-D$13,0)/D$8+D$11)-(E54*E54*E54*E54+F54*F54*F54)/D$12)*(1+Dedicate!$E44*D$5)*(1+Connect!$E44*D$6)/100,0)</f>
        <v>3.4260754220467468E-10</v>
      </c>
      <c r="E54" s="14">
        <f>MIN(MAX(POWER(MAX($A54-E$13,0)/E$8+E$9,E$10)*EXP(-(MAX($A54-E$13,0)/E$8+E$11)-F54*F54*F54/E$12)*(1+Dedicate!$E44*E$5)*(1+Connect!$E44*E$6)/100,0),1)</f>
        <v>3.1362148629459968E-3</v>
      </c>
      <c r="F54" s="14">
        <f>MIN(MAX((((MAX($A54-F$13,0)/F$8-F$9)/SQRT(1+POWER(MAX($A54-F$13,0)/F$8-F$9,2))+F$10)*F$11)*(1+Dedicate!$E44*F$5)*(1+Connect!$E44*F$6)/100,0),1)</f>
        <v>0.9228174956658447</v>
      </c>
      <c r="G54" s="14">
        <f t="shared" si="1"/>
        <v>0.92595371087139822</v>
      </c>
      <c r="H54" s="13">
        <f t="shared" si="2"/>
        <v>0.11311088705111993</v>
      </c>
      <c r="I54" s="14">
        <f>MAX(POWER(MAX($A54-I$13,0)/I$8+I$9,I$10)*EXP(-(MAX($A54-I$13,0)/I$8+I$11)-(J54*J54*J54*J54+K54*K54*K54)/I$12)*(1+Dedicate!$E44*I$5)*(1+Connect!$E44/5*I$6)/100,0)</f>
        <v>2.8371015516822258E-9</v>
      </c>
      <c r="J54" s="14">
        <f>MIN(MAX(POWER(MAX($A54-J$13,0)/J$8+J$9,J$10)*EXP(-(MAX($A54-J$13,0)/J$8+J$11)-K54*K54*K54/J$12)*(1+Dedicate!$E44*J$5)*(1+Connect!$E44*J$6)/100,0),1)</f>
        <v>3.0970500238100523E-2</v>
      </c>
      <c r="K54" s="14">
        <f>MIN(MAX((((MAX($A54-K$13,0)/K$8-K$9)/SQRT(1+POWER(MAX($A54-K$13,0)/K$8-K$9,2))+K$10)*K$11)*(1+Dedicate!$E44*K$5)*(1+Connect!$E44*K$6)/100,0),1)</f>
        <v>0.85591860987367796</v>
      </c>
      <c r="L54" s="14">
        <f t="shared" si="3"/>
        <v>0.88688911294888007</v>
      </c>
    </row>
    <row r="55" spans="1:12" x14ac:dyDescent="0.25">
      <c r="A55">
        <f t="shared" si="6"/>
        <v>41</v>
      </c>
      <c r="B55">
        <f t="shared" si="6"/>
        <v>2058</v>
      </c>
      <c r="C55" s="13">
        <f t="shared" si="0"/>
        <v>5.4768723296122146E-2</v>
      </c>
      <c r="D55" s="14">
        <f>MAX(POWER(MAX($A55-D$13,0)/D$8+D$9,D$10)*EXP(-(MAX($A55-D$13,0)/D$8+D$11)-(E55*E55*E55*E55+F55*F55*F55)/D$12)*(1+Dedicate!$E45*D$5)*(1+Connect!$E45*D$6)/100,0)</f>
        <v>1.1860643567367063E-10</v>
      </c>
      <c r="E55" s="14">
        <f>MIN(MAX(POWER(MAX($A55-E$13,0)/E$8+E$9,E$10)*EXP(-(MAX($A55-E$13,0)/E$8+E$11)-F55*F55*F55/E$12)*(1+Dedicate!$E45*E$5)*(1+Connect!$E45*E$6)/100,0),1)</f>
        <v>2.2291257808230141E-3</v>
      </c>
      <c r="F55" s="14">
        <f>MIN(MAX((((MAX($A55-F$13,0)/F$8-F$9)/SQRT(1+POWER(MAX($A55-F$13,0)/F$8-F$9,2))+F$10)*F$11)*(1+Dedicate!$E45*F$5)*(1+Connect!$E45*F$6)/100,0),1)</f>
        <v>0.94300215080444838</v>
      </c>
      <c r="G55" s="14">
        <f t="shared" si="1"/>
        <v>0.94523127670387785</v>
      </c>
      <c r="H55" s="13">
        <f t="shared" si="2"/>
        <v>9.6858230439701876E-2</v>
      </c>
      <c r="I55" s="14">
        <f>MAX(POWER(MAX($A55-I$13,0)/I$8+I$9,I$10)*EXP(-(MAX($A55-I$13,0)/I$8+I$11)-(J55*J55*J55*J55+K55*K55*K55)/I$12)*(1+Dedicate!$E45*I$5)*(1+Connect!$E45/5*I$6)/100,0)</f>
        <v>1.3453944072313459E-9</v>
      </c>
      <c r="J55" s="14">
        <f>MIN(MAX(POWER(MAX($A55-J$13,0)/J$8+J$9,J$10)*EXP(-(MAX($A55-J$13,0)/J$8+J$11)-K55*K55*K55/J$12)*(1+Dedicate!$E45*J$5)*(1+Connect!$E45*J$6)/100,0),1)</f>
        <v>2.5456196221450032E-2</v>
      </c>
      <c r="K55" s="14">
        <f>MIN(MAX((((MAX($A55-K$13,0)/K$8-K$9)/SQRT(1+POWER(MAX($A55-K$13,0)/K$8-K$9,2))+K$10)*K$11)*(1+Dedicate!$E45*K$5)*(1+Connect!$E45*K$6)/100,0),1)</f>
        <v>0.87768557199345365</v>
      </c>
      <c r="L55" s="14">
        <f t="shared" si="3"/>
        <v>0.90314176956029812</v>
      </c>
    </row>
    <row r="56" spans="1:12" x14ac:dyDescent="0.25">
      <c r="A56">
        <f t="shared" si="6"/>
        <v>42</v>
      </c>
      <c r="B56">
        <f t="shared" si="6"/>
        <v>2059</v>
      </c>
      <c r="C56" s="13">
        <f t="shared" si="0"/>
        <v>3.7116621058780552E-2</v>
      </c>
      <c r="D56" s="14">
        <f>MAX(POWER(MAX($A56-D$13,0)/D$8+D$9,D$10)*EXP(-(MAX($A56-D$13,0)/D$8+D$11)-(E56*E56*E56*E56+F56*F56*F56)/D$12)*(1+Dedicate!$E46*D$5)*(1+Connect!$E46*D$6)/100,0)</f>
        <v>4.215778323482482E-11</v>
      </c>
      <c r="E56" s="14">
        <f>MIN(MAX(POWER(MAX($A56-E$13,0)/E$8+E$9,E$10)*EXP(-(MAX($A56-E$13,0)/E$8+E$11)-F56*F56*F56/E$12)*(1+Dedicate!$E46*E$5)*(1+Connect!$E46*E$6)/100,0),1)</f>
        <v>1.5923089339447691E-3</v>
      </c>
      <c r="F56" s="14">
        <f>MIN(MAX((((MAX($A56-F$13,0)/F$8-F$9)/SQRT(1+POWER(MAX($A56-F$13,0)/F$8-F$9,2))+F$10)*F$11)*(1+Dedicate!$E46*F$5)*(1+Connect!$E46*F$6)/100,0),1)</f>
        <v>0.96129106996511682</v>
      </c>
      <c r="G56" s="14">
        <f t="shared" si="1"/>
        <v>0.96288337894121945</v>
      </c>
      <c r="H56" s="13">
        <f t="shared" si="2"/>
        <v>8.1416830710860477E-2</v>
      </c>
      <c r="I56" s="14">
        <f>MAX(POWER(MAX($A56-I$13,0)/I$8+I$9,I$10)*EXP(-(MAX($A56-I$13,0)/I$8+I$11)-(J56*J56*J56*J56+K56*K56*K56)/I$12)*(1+Dedicate!$E46*I$5)*(1+Connect!$E46/5*I$6)/100,0)</f>
        <v>6.3698531420652483E-10</v>
      </c>
      <c r="J56" s="14">
        <f>MIN(MAX(POWER(MAX($A56-J$13,0)/J$8+J$9,J$10)*EXP(-(MAX($A56-J$13,0)/J$8+J$11)-K56*K56*K56/J$12)*(1+Dedicate!$E46*J$5)*(1+Connect!$E46*J$6)/100,0),1)</f>
        <v>2.0856180241471421E-2</v>
      </c>
      <c r="K56" s="14">
        <f>MIN(MAX((((MAX($A56-K$13,0)/K$8-K$9)/SQRT(1+POWER(MAX($A56-K$13,0)/K$8-K$9,2))+K$10)*K$11)*(1+Dedicate!$E46*K$5)*(1+Connect!$E46*K$6)/100,0),1)</f>
        <v>0.89772698841068277</v>
      </c>
      <c r="L56" s="14">
        <f t="shared" si="3"/>
        <v>0.91858316928913952</v>
      </c>
    </row>
    <row r="57" spans="1:12" x14ac:dyDescent="0.25">
      <c r="A57">
        <f t="shared" si="6"/>
        <v>43</v>
      </c>
      <c r="B57">
        <f t="shared" si="6"/>
        <v>2060</v>
      </c>
      <c r="C57" s="13">
        <f t="shared" si="0"/>
        <v>2.1009732352891497E-2</v>
      </c>
      <c r="D57" s="14">
        <f>MAX(POWER(MAX($A57-D$13,0)/D$8+D$9,D$10)*EXP(-(MAX($A57-D$13,0)/D$8+D$11)-(E57*E57*E57*E57+F57*F57*F57)/D$12)*(1+Dedicate!$E47*D$5)*(1+Connect!$E47*D$6)/100,0)</f>
        <v>1.5401647971992448E-11</v>
      </c>
      <c r="E57" s="14">
        <f>MIN(MAX(POWER(MAX($A57-E$13,0)/E$8+E$9,E$10)*EXP(-(MAX($A57-E$13,0)/E$8+E$11)-F57*F57*F57/E$12)*(1+Dedicate!$E47*E$5)*(1+Connect!$E47*E$6)/100,0),1)</f>
        <v>1.1435863736847464E-3</v>
      </c>
      <c r="F57" s="14">
        <f>MIN(MAX((((MAX($A57-F$13,0)/F$8-F$9)/SQRT(1+POWER(MAX($A57-F$13,0)/F$8-F$9,2))+F$10)*F$11)*(1+Dedicate!$E47*F$5)*(1+Connect!$E47*F$6)/100,0),1)</f>
        <v>0.9778466812580221</v>
      </c>
      <c r="G57" s="14">
        <f t="shared" si="1"/>
        <v>0.9789902676471085</v>
      </c>
      <c r="H57" s="13">
        <f t="shared" si="2"/>
        <v>6.6824479192773012E-2</v>
      </c>
      <c r="I57" s="14">
        <f>MAX(POWER(MAX($A57-I$13,0)/I$8+I$9,I$10)*EXP(-(MAX($A57-I$13,0)/I$8+I$11)-(J57*J57*J57*J57+K57*K57*K57)/I$12)*(1+Dedicate!$E47*I$5)*(1+Connect!$E47/5*I$6)/100,0)</f>
        <v>3.0122701287796408E-10</v>
      </c>
      <c r="J57" s="14">
        <f>MIN(MAX(POWER(MAX($A57-J$13,0)/J$8+J$9,J$10)*EXP(-(MAX($A57-J$13,0)/J$8+J$11)-K57*K57*K57/J$12)*(1+Dedicate!$E47*J$5)*(1+Connect!$E47*J$6)/100,0),1)</f>
        <v>1.7035398011861668E-2</v>
      </c>
      <c r="K57" s="14">
        <f>MIN(MAX((((MAX($A57-K$13,0)/K$8-K$9)/SQRT(1+POWER(MAX($A57-K$13,0)/K$8-K$9,2))+K$10)*K$11)*(1+Dedicate!$E47*K$5)*(1+Connect!$E47*K$6)/100,0),1)</f>
        <v>0.91614012249413823</v>
      </c>
      <c r="L57" s="14">
        <f t="shared" si="3"/>
        <v>0.93317552080722699</v>
      </c>
    </row>
    <row r="58" spans="1:12" x14ac:dyDescent="0.25">
      <c r="A58">
        <f t="shared" si="6"/>
        <v>44</v>
      </c>
      <c r="B58">
        <f t="shared" si="6"/>
        <v>2061</v>
      </c>
      <c r="C58" s="13">
        <f t="shared" si="0"/>
        <v>6.3464644397903669E-3</v>
      </c>
      <c r="D58" s="14">
        <f>MAX(POWER(MAX($A58-D$13,0)/D$8+D$9,D$10)*EXP(-(MAX($A58-D$13,0)/D$8+D$11)-(E58*E58*E58*E58+F58*F58*F58)/D$12)*(1+Dedicate!$E48*D$5)*(1+Connect!$E48*D$6)/100,0)</f>
        <v>5.7843682260138679E-12</v>
      </c>
      <c r="E58" s="14">
        <f>MIN(MAX(POWER(MAX($A58-E$13,0)/E$8+E$9,E$10)*EXP(-(MAX($A58-E$13,0)/E$8+E$11)-F58*F58*F58/E$12)*(1+Dedicate!$E48*E$5)*(1+Connect!$E48*E$6)/100,0),1)</f>
        <v>8.2590756357363629E-4</v>
      </c>
      <c r="F58" s="14">
        <f>MIN(MAX((((MAX($A58-F$13,0)/F$8-F$9)/SQRT(1+POWER(MAX($A58-F$13,0)/F$8-F$9,2))+F$10)*F$11)*(1+Dedicate!$E48*F$5)*(1+Connect!$E48*F$6)/100,0),1)</f>
        <v>0.99282762799085167</v>
      </c>
      <c r="G58" s="14">
        <f t="shared" si="1"/>
        <v>0.99365353556020963</v>
      </c>
      <c r="H58" s="13">
        <f t="shared" si="2"/>
        <v>5.3094624505087396E-2</v>
      </c>
      <c r="I58" s="14">
        <f>MAX(POWER(MAX($A58-I$13,0)/I$8+I$9,I$10)*EXP(-(MAX($A58-I$13,0)/I$8+I$11)-(J58*J58*J58*J58+K58*K58*K58)/I$12)*(1+Dedicate!$E48*I$5)*(1+Connect!$E48/5*I$6)/100,0)</f>
        <v>1.4232515649816374E-10</v>
      </c>
      <c r="J58" s="14">
        <f>MIN(MAX(POWER(MAX($A58-J$13,0)/J$8+J$9,J$10)*EXP(-(MAX($A58-J$13,0)/J$8+J$11)-K58*K58*K58/J$12)*(1+Dedicate!$E48*J$5)*(1+Connect!$E48*J$6)/100,0),1)</f>
        <v>1.387451980108852E-2</v>
      </c>
      <c r="K58" s="14">
        <f>MIN(MAX((((MAX($A58-K$13,0)/K$8-K$9)/SQRT(1+POWER(MAX($A58-K$13,0)/K$8-K$9,2))+K$10)*K$11)*(1+Dedicate!$E48*K$5)*(1+Connect!$E48*K$6)/100,0),1)</f>
        <v>0.93303085555149889</v>
      </c>
      <c r="L58" s="14">
        <f t="shared" si="3"/>
        <v>0.9469053754949126</v>
      </c>
    </row>
    <row r="59" spans="1:12" x14ac:dyDescent="0.25">
      <c r="A59">
        <f t="shared" si="6"/>
        <v>45</v>
      </c>
      <c r="B59">
        <f t="shared" si="6"/>
        <v>2062</v>
      </c>
      <c r="C59" s="13">
        <f t="shared" si="0"/>
        <v>0</v>
      </c>
      <c r="D59" s="14">
        <f>MAX(POWER(MAX($A59-D$13,0)/D$8+D$9,D$10)*EXP(-(MAX($A59-D$13,0)/D$8+D$11)-(E59*E59*E59*E59+F59*F59*F59)/D$12)*(1+Dedicate!$E49*D$5)*(1+Connect!$E49*D$6)/100,0)</f>
        <v>2.7068078282617474E-12</v>
      </c>
      <c r="E59" s="14">
        <f>MIN(MAX(POWER(MAX($A59-E$13,0)/E$8+E$9,E$10)*EXP(-(MAX($A59-E$13,0)/E$8+E$11)-F59*F59*F59/E$12)*(1+Dedicate!$E49*E$5)*(1+Connect!$E49*E$6)/100,0),1)</f>
        <v>6.337553313899198E-4</v>
      </c>
      <c r="F59" s="14">
        <f>MIN(MAX((((MAX($A59-F$13,0)/F$8-F$9)/SQRT(1+POWER(MAX($A59-F$13,0)/F$8-F$9,2))+F$10)*F$11)*(1+Dedicate!$E49*F$5)*(1+Connect!$E49*F$6)/100,0),1)</f>
        <v>1</v>
      </c>
      <c r="G59" s="14">
        <f t="shared" si="1"/>
        <v>1</v>
      </c>
      <c r="H59" s="13">
        <f t="shared" si="2"/>
        <v>4.022196516025478E-2</v>
      </c>
      <c r="I59" s="14">
        <f>MAX(POWER(MAX($A59-I$13,0)/I$8+I$9,I$10)*EXP(-(MAX($A59-I$13,0)/I$8+I$11)-(J59*J59*J59*J59+K59*K59*K59)/I$12)*(1+Dedicate!$E49*I$5)*(1+Connect!$E49/5*I$6)/100,0)</f>
        <v>6.7204093679040154E-11</v>
      </c>
      <c r="J59" s="14">
        <f>MIN(MAX(POWER(MAX($A59-J$13,0)/J$8+J$9,J$10)*EXP(-(MAX($A59-J$13,0)/J$8+J$11)-K59*K59*K59/J$12)*(1+Dedicate!$E49*J$5)*(1+Connect!$E49*J$6)/100,0),1)</f>
        <v>1.1269282732153692E-2</v>
      </c>
      <c r="K59" s="14">
        <f>MIN(MAX((((MAX($A59-K$13,0)/K$8-K$9)/SQRT(1+POWER(MAX($A59-K$13,0)/K$8-K$9,2))+K$10)*K$11)*(1+Dedicate!$E49*K$5)*(1+Connect!$E49*K$6)/100,0),1)</f>
        <v>0.94850875204038743</v>
      </c>
      <c r="L59" s="14">
        <f t="shared" si="3"/>
        <v>0.95977803483974522</v>
      </c>
    </row>
    <row r="60" spans="1:12" x14ac:dyDescent="0.25">
      <c r="A60">
        <f t="shared" si="6"/>
        <v>46</v>
      </c>
      <c r="B60">
        <f t="shared" si="6"/>
        <v>2063</v>
      </c>
      <c r="C60" s="13">
        <f t="shared" si="0"/>
        <v>0</v>
      </c>
      <c r="D60" s="14">
        <f>MAX(POWER(MAX($A60-D$13,0)/D$8+D$9,D$10)*EXP(-(MAX($A60-D$13,0)/D$8+D$11)-(E60*E60*E60*E60+F60*F60*F60)/D$12)*(1+Dedicate!$E50*D$5)*(1+Connect!$E50*D$6)/100,0)</f>
        <v>1.564146342676506E-12</v>
      </c>
      <c r="E60" s="14">
        <f>MIN(MAX(POWER(MAX($A60-E$13,0)/E$8+E$9,E$10)*EXP(-(MAX($A60-E$13,0)/E$8+E$11)-F60*F60*F60/E$12)*(1+Dedicate!$E50*E$5)*(1+Connect!$E50*E$6)/100,0),1)</f>
        <v>5.1543000511157858E-4</v>
      </c>
      <c r="F60" s="14">
        <f>MIN(MAX((((MAX($A60-F$13,0)/F$8-F$9)/SQRT(1+POWER(MAX($A60-F$13,0)/F$8-F$9,2))+F$10)*F$11)*(1+Dedicate!$E50*F$5)*(1+Connect!$E50*F$6)/100,0),1)</f>
        <v>1</v>
      </c>
      <c r="G60" s="14">
        <f t="shared" si="1"/>
        <v>1</v>
      </c>
      <c r="H60" s="13">
        <f t="shared" si="2"/>
        <v>2.8187240172313333E-2</v>
      </c>
      <c r="I60" s="14">
        <f>MAX(POWER(MAX($A60-I$13,0)/I$8+I$9,I$10)*EXP(-(MAX($A60-I$13,0)/I$8+I$11)-(J60*J60*J60*J60+K60*K60*K60)/I$12)*(1+Dedicate!$E50*I$5)*(1+Connect!$E50/5*I$6)/100,0)</f>
        <v>3.1718263406207506E-11</v>
      </c>
      <c r="J60" s="14">
        <f>MIN(MAX(POWER(MAX($A60-J$13,0)/J$8+J$9,J$10)*EXP(-(MAX($A60-J$13,0)/J$8+J$11)-K60*K60*K60/J$12)*(1+Dedicate!$E50*J$5)*(1+Connect!$E50*J$6)/100,0),1)</f>
        <v>9.1294619330013586E-3</v>
      </c>
      <c r="K60" s="14">
        <f>MIN(MAX((((MAX($A60-K$13,0)/K$8-K$9)/SQRT(1+POWER(MAX($A60-K$13,0)/K$8-K$9,2))+K$10)*K$11)*(1+Dedicate!$E50*K$5)*(1+Connect!$E50*K$6)/100,0),1)</f>
        <v>0.96268329786296702</v>
      </c>
      <c r="L60" s="14">
        <f t="shared" si="3"/>
        <v>0.97181275982768667</v>
      </c>
    </row>
    <row r="61" spans="1:12" x14ac:dyDescent="0.25">
      <c r="A61">
        <f t="shared" si="6"/>
        <v>47</v>
      </c>
      <c r="B61">
        <f t="shared" si="6"/>
        <v>2064</v>
      </c>
      <c r="C61" s="13">
        <f t="shared" si="0"/>
        <v>0</v>
      </c>
      <c r="D61" s="14">
        <f>MAX(POWER(MAX($A61-D$13,0)/D$8+D$9,D$10)*EXP(-(MAX($A61-D$13,0)/D$8+D$11)-(E61*E61*E61*E61+F61*F61*F61)/D$12)*(1+Dedicate!$E51*D$5)*(1+Connect!$E51*D$6)/100,0)</f>
        <v>9.0154413795700283E-13</v>
      </c>
      <c r="E61" s="14">
        <f>MIN(MAX(POWER(MAX($A61-E$13,0)/E$8+E$9,E$10)*EXP(-(MAX($A61-E$13,0)/E$8+E$11)-F61*F61*F61/E$12)*(1+Dedicate!$E51*E$5)*(1+Connect!$E51*E$6)/100,0),1)</f>
        <v>4.1804375503063778E-4</v>
      </c>
      <c r="F61" s="14">
        <f>MIN(MAX((((MAX($A61-F$13,0)/F$8-F$9)/SQRT(1+POWER(MAX($A61-F$13,0)/F$8-F$9,2))+F$10)*F$11)*(1+Dedicate!$E51*F$5)*(1+Connect!$E51*F$6)/100,0),1)</f>
        <v>1</v>
      </c>
      <c r="G61" s="14">
        <f t="shared" si="1"/>
        <v>1</v>
      </c>
      <c r="H61" s="13">
        <f t="shared" si="2"/>
        <v>1.6961200948631627E-2</v>
      </c>
      <c r="I61" s="14">
        <f>MAX(POWER(MAX($A61-I$13,0)/I$8+I$9,I$10)*EXP(-(MAX($A61-I$13,0)/I$8+I$11)-(J61*J61*J61*J61+K61*K61*K61)/I$12)*(1+Dedicate!$E51*I$5)*(1+Connect!$E51/5*I$6)/100,0)</f>
        <v>1.4964831602544753E-11</v>
      </c>
      <c r="J61" s="14">
        <f>MIN(MAX(POWER(MAX($A61-J$13,0)/J$8+J$9,J$10)*EXP(-(MAX($A61-J$13,0)/J$8+J$11)-K61*K61*K61/J$12)*(1+Dedicate!$E51*J$5)*(1+Connect!$E51*J$6)/100,0),1)</f>
        <v>7.3776318299894643E-3</v>
      </c>
      <c r="K61" s="14">
        <f>MIN(MAX((((MAX($A61-K$13,0)/K$8-K$9)/SQRT(1+POWER(MAX($A61-K$13,0)/K$8-K$9,2))+K$10)*K$11)*(1+Dedicate!$E51*K$5)*(1+Connect!$E51*K$6)/100,0),1)</f>
        <v>0.97566116720641405</v>
      </c>
      <c r="L61" s="14">
        <f t="shared" si="3"/>
        <v>0.98303879905136837</v>
      </c>
    </row>
    <row r="62" spans="1:12" x14ac:dyDescent="0.25">
      <c r="A62">
        <f t="shared" si="6"/>
        <v>48</v>
      </c>
      <c r="B62">
        <f t="shared" si="6"/>
        <v>2065</v>
      </c>
      <c r="C62" s="13">
        <f t="shared" si="0"/>
        <v>0</v>
      </c>
      <c r="D62" s="14">
        <f>MAX(POWER(MAX($A62-D$13,0)/D$8+D$9,D$10)*EXP(-(MAX($A62-D$13,0)/D$8+D$11)-(E62*E62*E62*E62+F62*F62*F62)/D$12)*(1+Dedicate!$E52*D$5)*(1+Connect!$E52*D$6)/100,0)</f>
        <v>5.183621219950112E-13</v>
      </c>
      <c r="E62" s="14">
        <f>MIN(MAX(POWER(MAX($A62-E$13,0)/E$8+E$9,E$10)*EXP(-(MAX($A62-E$13,0)/E$8+E$11)-F62*F62*F62/E$12)*(1+Dedicate!$E52*E$5)*(1+Connect!$E52*E$6)/100,0),1)</f>
        <v>3.3816499997297444E-4</v>
      </c>
      <c r="F62" s="14">
        <f>MIN(MAX((((MAX($A62-F$13,0)/F$8-F$9)/SQRT(1+POWER(MAX($A62-F$13,0)/F$8-F$9,2))+F$10)*F$11)*(1+Dedicate!$E52*F$5)*(1+Connect!$E52*F$6)/100,0),1)</f>
        <v>1</v>
      </c>
      <c r="G62" s="14">
        <f t="shared" si="1"/>
        <v>1</v>
      </c>
      <c r="H62" s="13">
        <f t="shared" si="2"/>
        <v>6.5078166648716573E-3</v>
      </c>
      <c r="I62" s="14">
        <f>MAX(POWER(MAX($A62-I$13,0)/I$8+I$9,I$10)*EXP(-(MAX($A62-I$13,0)/I$8+I$11)-(J62*J62*J62*J62+K62*K62*K62)/I$12)*(1+Dedicate!$E52*I$5)*(1+Connect!$E52/5*I$6)/100,0)</f>
        <v>7.0585105577728699E-12</v>
      </c>
      <c r="J62" s="14">
        <f>MIN(MAX(POWER(MAX($A62-J$13,0)/J$8+J$9,J$10)*EXP(-(MAX($A62-J$13,0)/J$8+J$11)-K62*K62*K62/J$12)*(1+Dedicate!$E52*J$5)*(1+Connect!$E52*J$6)/100,0),1)</f>
        <v>5.9478372727787346E-3</v>
      </c>
      <c r="K62" s="14">
        <f>MIN(MAX((((MAX($A62-K$13,0)/K$8-K$9)/SQRT(1+POWER(MAX($A62-K$13,0)/K$8-K$9,2))+K$10)*K$11)*(1+Dedicate!$E52*K$5)*(1+Connect!$E52*K$6)/100,0),1)</f>
        <v>0.98754434605529118</v>
      </c>
      <c r="L62" s="14">
        <f t="shared" si="3"/>
        <v>0.99349218333512834</v>
      </c>
    </row>
    <row r="63" spans="1:12" x14ac:dyDescent="0.25">
      <c r="A63">
        <f t="shared" si="6"/>
        <v>49</v>
      </c>
      <c r="B63">
        <f t="shared" si="6"/>
        <v>2066</v>
      </c>
      <c r="C63" s="13">
        <f t="shared" si="0"/>
        <v>0</v>
      </c>
      <c r="D63" s="14">
        <f>MAX(POWER(MAX($A63-D$13,0)/D$8+D$9,D$10)*EXP(-(MAX($A63-D$13,0)/D$8+D$11)-(E63*E63*E63*E63+F63*F63*F63)/D$12)*(1+Dedicate!$E53*D$5)*(1+Connect!$E53*D$6)/100,0)</f>
        <v>2.9734474012622396E-13</v>
      </c>
      <c r="E63" s="14">
        <f>MIN(MAX(POWER(MAX($A63-E$13,0)/E$8+E$9,E$10)*EXP(-(MAX($A63-E$13,0)/E$8+E$11)-F63*F63*F63/E$12)*(1+Dedicate!$E53*E$5)*(1+Connect!$E53*E$6)/100,0),1)</f>
        <v>2.7285892516499622E-4</v>
      </c>
      <c r="F63" s="14">
        <f>MIN(MAX((((MAX($A63-F$13,0)/F$8-F$9)/SQRT(1+POWER(MAX($A63-F$13,0)/F$8-F$9,2))+F$10)*F$11)*(1+Dedicate!$E53*F$5)*(1+Connect!$E53*F$6)/100,0),1)</f>
        <v>1</v>
      </c>
      <c r="G63" s="14">
        <f t="shared" si="1"/>
        <v>1</v>
      </c>
      <c r="H63" s="13">
        <f t="shared" si="2"/>
        <v>0</v>
      </c>
      <c r="I63" s="14">
        <f>MAX(POWER(MAX($A63-I$13,0)/I$8+I$9,I$10)*EXP(-(MAX($A63-I$13,0)/I$8+I$11)-(J63*J63*J63*J63+K63*K63*K63)/I$12)*(1+Dedicate!$E53*I$5)*(1+Connect!$E53/5*I$6)/100,0)</f>
        <v>3.3284991878938298E-12</v>
      </c>
      <c r="J63" s="14">
        <f>MIN(MAX(POWER(MAX($A63-J$13,0)/J$8+J$9,J$10)*EXP(-(MAX($A63-J$13,0)/J$8+J$11)-K63*K63*K63/J$12)*(1+Dedicate!$E53*J$5)*(1+Connect!$E53*J$6)/100,0),1)</f>
        <v>4.7842591549516929E-3</v>
      </c>
      <c r="K63" s="14">
        <f>MIN(MAX((((MAX($A63-K$13,0)/K$8-K$9)/SQRT(1+POWER(MAX($A63-K$13,0)/K$8-K$9,2))+K$10)*K$11)*(1+Dedicate!$E53*K$5)*(1+Connect!$E53*K$6)/100,0),1)</f>
        <v>0.99842893988751713</v>
      </c>
      <c r="L63" s="14">
        <f t="shared" si="3"/>
        <v>1</v>
      </c>
    </row>
    <row r="64" spans="1:12" x14ac:dyDescent="0.25">
      <c r="A64">
        <f t="shared" si="6"/>
        <v>50</v>
      </c>
      <c r="B64">
        <f t="shared" si="6"/>
        <v>2067</v>
      </c>
      <c r="C64" s="13">
        <f t="shared" si="0"/>
        <v>0</v>
      </c>
      <c r="D64" s="14">
        <f>MAX(POWER(MAX($A64-D$13,0)/D$8+D$9,D$10)*EXP(-(MAX($A64-D$13,0)/D$8+D$11)-(E64*E64*E64*E64+F64*F64*F64)/D$12)*(1+Dedicate!$E54*D$5)*(1+Connect!$E54*D$6)/100,0)</f>
        <v>1.7018034269201526E-13</v>
      </c>
      <c r="E64" s="14">
        <f>MIN(MAX(POWER(MAX($A64-E$13,0)/E$8+E$9,E$10)*EXP(-(MAX($A64-E$13,0)/E$8+E$11)-F64*F64*F64/E$12)*(1+Dedicate!$E54*E$5)*(1+Connect!$E54*E$6)/100,0),1)</f>
        <v>2.1963171896732621E-4</v>
      </c>
      <c r="F64" s="14">
        <f>MIN(MAX((((MAX($A64-F$13,0)/F$8-F$9)/SQRT(1+POWER(MAX($A64-F$13,0)/F$8-F$9,2))+F$10)*F$11)*(1+Dedicate!$E54*F$5)*(1+Connect!$E54*F$6)/100,0),1)</f>
        <v>1</v>
      </c>
      <c r="G64" s="14">
        <f t="shared" si="1"/>
        <v>1</v>
      </c>
      <c r="H64" s="13">
        <f t="shared" si="2"/>
        <v>0</v>
      </c>
      <c r="I64" s="14">
        <f>MAX(POWER(MAX($A64-I$13,0)/I$8+I$9,I$10)*EXP(-(MAX($A64-I$13,0)/I$8+I$11)-(J64*J64*J64*J64+K64*K64*K64)/I$12)*(1+Dedicate!$E54*I$5)*(1+Connect!$E54/5*I$6)/100,0)</f>
        <v>1.6096251727115573E-12</v>
      </c>
      <c r="J64" s="14">
        <f>MIN(MAX(POWER(MAX($A64-J$13,0)/J$8+J$9,J$10)*EXP(-(MAX($A64-J$13,0)/J$8+J$11)-K64*K64*K64/J$12)*(1+Dedicate!$E54*J$5)*(1+Connect!$E54*J$6)/100,0),1)</f>
        <v>3.849707041207775E-3</v>
      </c>
      <c r="K64" s="14">
        <f>MIN(MAX((((MAX($A64-K$13,0)/K$8-K$9)/SQRT(1+POWER(MAX($A64-K$13,0)/K$8-K$9,2))+K$10)*K$11)*(1+Dedicate!$E54*K$5)*(1+Connect!$E54*K$6)/100,0),1)</f>
        <v>1</v>
      </c>
      <c r="L64" s="14">
        <f t="shared" si="3"/>
        <v>1</v>
      </c>
    </row>
    <row r="65" spans="1:12" x14ac:dyDescent="0.25">
      <c r="A65">
        <f t="shared" ref="A65:B67" si="7">A64+1</f>
        <v>51</v>
      </c>
      <c r="B65">
        <f t="shared" si="7"/>
        <v>2068</v>
      </c>
      <c r="C65" s="13">
        <f t="shared" si="0"/>
        <v>0</v>
      </c>
      <c r="D65" s="14">
        <f>MAX(POWER(MAX($A65-D$13,0)/D$8+D$9,D$10)*EXP(-(MAX($A65-D$13,0)/D$8+D$11)-(E65*E65*E65*E65+F65*F65*F65)/D$12)*(1+Dedicate!$E55*D$5)*(1+Connect!$E55*D$6)/100,0)</f>
        <v>9.7189552687757808E-14</v>
      </c>
      <c r="E65" s="14">
        <f>MIN(MAX(POWER(MAX($A65-E$13,0)/E$8+E$9,E$10)*EXP(-(MAX($A65-E$13,0)/E$8+E$11)-F65*F65*F65/E$12)*(1+Dedicate!$E55*E$5)*(1+Connect!$E55*E$6)/100,0),1)</f>
        <v>1.7637679827021459E-4</v>
      </c>
      <c r="F65" s="14">
        <f>MIN(MAX((((MAX($A65-F$13,0)/F$8-F$9)/SQRT(1+POWER(MAX($A65-F$13,0)/F$8-F$9,2))+F$10)*F$11)*(1+Dedicate!$E55*F$5)*(1+Connect!$E55*F$6)/100,0),1)</f>
        <v>1</v>
      </c>
      <c r="G65" s="14">
        <f t="shared" si="1"/>
        <v>1</v>
      </c>
      <c r="H65" s="13">
        <f t="shared" si="2"/>
        <v>0</v>
      </c>
      <c r="I65" s="14">
        <f>MAX(POWER(MAX($A65-I$13,0)/I$8+I$9,I$10)*EXP(-(MAX($A65-I$13,0)/I$8+I$11)-(J65*J65*J65*J65+K65*K65*K65)/I$12)*(1+Dedicate!$E55*I$5)*(1+Connect!$E55/5*I$6)/100,0)</f>
        <v>7.8034317303990678E-13</v>
      </c>
      <c r="J65" s="14">
        <f>MIN(MAX(POWER(MAX($A65-J$13,0)/J$8+J$9,J$10)*EXP(-(MAX($A65-J$13,0)/J$8+J$11)-K65*K65*K65/J$12)*(1+Dedicate!$E55*J$5)*(1+Connect!$E55*J$6)/100,0),1)</f>
        <v>3.0920695818063286E-3</v>
      </c>
      <c r="K65" s="14">
        <f>MIN(MAX((((MAX($A65-K$13,0)/K$8-K$9)/SQRT(1+POWER(MAX($A65-K$13,0)/K$8-K$9,2))+K$10)*K$11)*(1+Dedicate!$E55*K$5)*(1+Connect!$E55*K$6)/100,0),1)</f>
        <v>1</v>
      </c>
      <c r="L65" s="14">
        <f t="shared" si="3"/>
        <v>1</v>
      </c>
    </row>
    <row r="66" spans="1:12" x14ac:dyDescent="0.25">
      <c r="A66">
        <f t="shared" si="7"/>
        <v>52</v>
      </c>
      <c r="B66">
        <f t="shared" si="7"/>
        <v>2069</v>
      </c>
      <c r="C66" s="13">
        <f t="shared" si="0"/>
        <v>0</v>
      </c>
      <c r="D66" s="14">
        <f>MAX(POWER(MAX($A66-D$13,0)/D$8+D$9,D$10)*EXP(-(MAX($A66-D$13,0)/D$8+D$11)-(E66*E66*E66*E66+F66*F66*F66)/D$12)*(1+Dedicate!$E56*D$5)*(1+Connect!$E56*D$6)/100,0)</f>
        <v>5.5389503732082761E-14</v>
      </c>
      <c r="E66" s="14">
        <f>MIN(MAX(POWER(MAX($A66-E$13,0)/E$8+E$9,E$10)*EXP(-(MAX($A66-E$13,0)/E$8+E$11)-F66*F66*F66/E$12)*(1+Dedicate!$E56*E$5)*(1+Connect!$E56*E$6)/100,0),1)</f>
        <v>1.4132434380985108E-4</v>
      </c>
      <c r="F66" s="14">
        <f>MIN(MAX((((MAX($A66-F$13,0)/F$8-F$9)/SQRT(1+POWER(MAX($A66-F$13,0)/F$8-F$9,2))+F$10)*F$11)*(1+Dedicate!$E56*F$5)*(1+Connect!$E56*F$6)/100,0),1)</f>
        <v>1</v>
      </c>
      <c r="G66" s="14">
        <f t="shared" si="1"/>
        <v>1</v>
      </c>
      <c r="H66" s="13">
        <f t="shared" si="2"/>
        <v>0</v>
      </c>
      <c r="I66" s="14">
        <f>MAX(POWER(MAX($A66-I$13,0)/I$8+I$9,I$10)*EXP(-(MAX($A66-I$13,0)/I$8+I$11)-(J66*J66*J66*J66+K66*K66*K66)/I$12)*(1+Dedicate!$E56*I$5)*(1+Connect!$E56/5*I$6)/100,0)</f>
        <v>3.7750668948214167E-13</v>
      </c>
      <c r="J66" s="14">
        <f>MIN(MAX(POWER(MAX($A66-J$13,0)/J$8+J$9,J$10)*EXP(-(MAX($A66-J$13,0)/J$8+J$11)-K66*K66*K66/J$12)*(1+Dedicate!$E56*J$5)*(1+Connect!$E56*J$6)/100,0),1)</f>
        <v>2.4780696509577541E-3</v>
      </c>
      <c r="K66" s="14">
        <f>MIN(MAX((((MAX($A66-K$13,0)/K$8-K$9)/SQRT(1+POWER(MAX($A66-K$13,0)/K$8-K$9,2))+K$10)*K$11)*(1+Dedicate!$E56*K$5)*(1+Connect!$E56*K$6)/100,0),1)</f>
        <v>1</v>
      </c>
      <c r="L66" s="14">
        <f t="shared" si="3"/>
        <v>1</v>
      </c>
    </row>
    <row r="67" spans="1:12" x14ac:dyDescent="0.25">
      <c r="A67">
        <f t="shared" si="7"/>
        <v>53</v>
      </c>
      <c r="B67">
        <f t="shared" si="7"/>
        <v>2070</v>
      </c>
      <c r="C67" s="13">
        <f t="shared" si="0"/>
        <v>0</v>
      </c>
      <c r="D67" s="14">
        <f>MAX(POWER(MAX($A67-D$13,0)/D$8+D$9,D$10)*EXP(-(MAX($A67-D$13,0)/D$8+D$11)-(E67*E67*E67*E67+F67*F67*F67)/D$12)*(1+Dedicate!$E57*D$5)*(1+Connect!$E57*D$6)/100,0)</f>
        <v>3.1504138430354002E-14</v>
      </c>
      <c r="E67" s="14">
        <f>MIN(MAX(POWER(MAX($A67-E$13,0)/E$8+E$9,E$10)*EXP(-(MAX($A67-E$13,0)/E$8+E$11)-F67*F67*F67/E$12)*(1+Dedicate!$E57*E$5)*(1+Connect!$E57*E$6)/100,0),1)</f>
        <v>1.12994934364821E-4</v>
      </c>
      <c r="F67" s="14">
        <f>MIN(MAX((((MAX($A67-F$13,0)/F$8-F$9)/SQRT(1+POWER(MAX($A67-F$13,0)/F$8-F$9,2))+F$10)*F$11)*(1+Dedicate!$E57*F$5)*(1+Connect!$E57*F$6)/100,0),1)</f>
        <v>1</v>
      </c>
      <c r="G67" s="14">
        <f t="shared" si="1"/>
        <v>1</v>
      </c>
      <c r="H67" s="13">
        <f t="shared" si="2"/>
        <v>0</v>
      </c>
      <c r="I67" s="14">
        <f>MAX(POWER(MAX($A67-I$13,0)/I$8+I$9,I$10)*EXP(-(MAX($A67-I$13,0)/I$8+I$11)-(J67*J67*J67*J67+K67*K67*K67)/I$12)*(1+Dedicate!$E57*I$5)*(1+Connect!$E57/5*I$6)/100,0)</f>
        <v>1.8225394047950586E-13</v>
      </c>
      <c r="J67" s="14">
        <f>MIN(MAX(POWER(MAX($A67-J$13,0)/J$8+J$9,J$10)*EXP(-(MAX($A67-J$13,0)/J$8+J$11)-K67*K67*K67/J$12)*(1+Dedicate!$E57*J$5)*(1+Connect!$E57*J$6)/100,0),1)</f>
        <v>1.9817857373387979E-3</v>
      </c>
      <c r="K67" s="14">
        <f>MIN(MAX((((MAX($A67-K$13,0)/K$8-K$9)/SQRT(1+POWER(MAX($A67-K$13,0)/K$8-K$9,2))+K$10)*K$11)*(1+Dedicate!$E57*K$5)*(1+Connect!$E57*K$6)/100,0),1)</f>
        <v>1</v>
      </c>
      <c r="L67" s="14">
        <f t="shared" si="3"/>
        <v>1</v>
      </c>
    </row>
  </sheetData>
  <mergeCells count="2">
    <mergeCell ref="D2:F2"/>
    <mergeCell ref="I2:K2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6"/>
  <sheetViews>
    <sheetView workbookViewId="0">
      <selection activeCell="E4" sqref="E4"/>
    </sheetView>
  </sheetViews>
  <sheetFormatPr defaultRowHeight="15" x14ac:dyDescent="0.25"/>
  <cols>
    <col min="1" max="1" width="7.28515625" style="1" customWidth="1"/>
    <col min="2" max="2" width="8.85546875" style="1" customWidth="1"/>
    <col min="3" max="8" width="13.7109375" customWidth="1"/>
    <col min="11" max="11" width="9.140625" style="15"/>
  </cols>
  <sheetData>
    <row r="1" spans="1:13" ht="15.75" x14ac:dyDescent="0.25">
      <c r="A1" s="33" t="s">
        <v>142</v>
      </c>
    </row>
    <row r="2" spans="1:13" ht="20.25" customHeight="1" x14ac:dyDescent="0.25">
      <c r="C2" s="177" t="s">
        <v>6</v>
      </c>
      <c r="D2" s="177"/>
      <c r="E2" s="177"/>
      <c r="F2" s="177"/>
      <c r="G2" s="177"/>
      <c r="H2" s="177"/>
    </row>
    <row r="3" spans="1:13" x14ac:dyDescent="0.25">
      <c r="B3" s="1" t="s">
        <v>97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J3" s="40" t="s">
        <v>100</v>
      </c>
      <c r="K3" s="40" t="s">
        <v>101</v>
      </c>
      <c r="L3" s="40" t="s">
        <v>102</v>
      </c>
      <c r="M3" s="6" t="s">
        <v>137</v>
      </c>
    </row>
    <row r="4" spans="1:13" x14ac:dyDescent="0.25">
      <c r="A4" s="1">
        <v>1</v>
      </c>
      <c r="B4" s="1">
        <f>City!B3</f>
        <v>2018</v>
      </c>
      <c r="C4" s="17">
        <f>(1+Dedicate!$E5*J$4)*(1+Curb!$I5*J$5)*(1+VMT_fee!$K5*J$6)*(1+NOVMT!$K5*J$7)*(1+Satellite!$H5*J$8)*(1+Pricing!$I6*J$9)*J$10</f>
        <v>1</v>
      </c>
      <c r="D4" s="17">
        <f>(1+Dedicate!$E5*K$4)*(1+Curb!$I5*K$5)*(1+VMT_fee!$K5*K$6)*(1+NOVMT!$K5*K$7)*(1+Satellite!$H5*K$8)*(1+Pricing!$I6*K$9)*K$10</f>
        <v>1.05</v>
      </c>
      <c r="E4" s="17">
        <f>(1+Dedicate!$E5*L$4)*(1+Curb!$I5*L$5)*(1+VMT_fee!$K5*L$6)*(1+NOVMT!$K5*L$7)*(1+Satellite!$H5*L$8)*(1+Pricing!$I6*L$9)*L$10</f>
        <v>1.1000000000000001</v>
      </c>
      <c r="F4" s="17">
        <f>(1+Dedicate!$E5*J$4)*(1+Curb!$I5*J$5)*(1+VMT_fee!$K5*J$6)*(1+NOVMT!$K5*J$7)*(1+Satellite!$H5*J$8)*(1+Pricing!$I6*J$9)*J$10</f>
        <v>1</v>
      </c>
      <c r="G4" s="17">
        <f>(1+Dedicate!$E5*K$4)*(1+Curb!$I5*K$5)*(1+VMT_fee!$K5*K$6)*(1+NOVMT!$K5*K$7)*(1+Satellite!$H5*K$8)*(1+Pricing!$I6*K$9)*K$10</f>
        <v>1.05</v>
      </c>
      <c r="H4" s="17">
        <f>(1+Dedicate!$E5*L$4)*(1+Curb!$I5*L$5)*(1+VMT_fee!$K5*L$6)*(1+NOVMT!$K5*L$7)*(1+Satellite!$H5*L$8)*(1+Pricing!$I6*L$9)*L$10</f>
        <v>1.1000000000000001</v>
      </c>
      <c r="J4" s="16">
        <v>0</v>
      </c>
      <c r="K4" s="45">
        <v>0.05</v>
      </c>
      <c r="L4" s="13">
        <v>7.0000000000000007E-2</v>
      </c>
      <c r="M4" s="2" t="s">
        <v>121</v>
      </c>
    </row>
    <row r="5" spans="1:13" x14ac:dyDescent="0.25">
      <c r="A5" s="1">
        <f>A4+1</f>
        <v>2</v>
      </c>
      <c r="B5" s="1">
        <f>B4+1</f>
        <v>2019</v>
      </c>
      <c r="C5" s="17">
        <f>(1+Dedicate!$E6*J$4)*(1+Curb!$I6*J$5)*(1+VMT_fee!$K6*J$6)*(1+NOVMT!$K6*J$7)*(1+Satellite!$H6*J$8)*(1+Pricing!$I7*J$9)*J$10</f>
        <v>1</v>
      </c>
      <c r="D5" s="17">
        <f>(1+Dedicate!$E6*K$4)*(1+Curb!$I6*K$5)*(1+VMT_fee!$K6*K$6)*(1+NOVMT!$K6*K$7)*(1+Satellite!$H6*K$8)*(1+Pricing!$I7*K$9)*K$10</f>
        <v>1.05</v>
      </c>
      <c r="E5" s="17">
        <f>(1+Dedicate!$E6*L$4)*(1+Curb!$I6*L$5)*(1+VMT_fee!$K6*L$6)*(1+NOVMT!$K6*L$7)*(1+Satellite!$H6*L$8)*(1+Pricing!$I7*L$9)*L$10</f>
        <v>1.1000000000000001</v>
      </c>
      <c r="F5" s="17">
        <f>(1+Dedicate!$E6*J$4)*(1+Curb!$I6*J$5)*(1+VMT_fee!$K6*J$6)*(1+NOVMT!$K6*J$7)*(1+Satellite!$H6*J$8)*(1+Pricing!$I7*J$9)*J$10</f>
        <v>1</v>
      </c>
      <c r="G5" s="17">
        <f>(1+Dedicate!$E6*K$4)*(1+Curb!$I6*K$5)*(1+VMT_fee!$K6*K$6)*(1+NOVMT!$K6*K$7)*(1+Satellite!$H6*K$8)*(1+Pricing!$I7*K$9)*K$10</f>
        <v>1.05</v>
      </c>
      <c r="H5" s="17">
        <f>(1+Dedicate!$E6*L$4)*(1+Curb!$I6*L$5)*(1+VMT_fee!$K6*L$6)*(1+NOVMT!$K6*L$7)*(1+Satellite!$H6*L$8)*(1+Pricing!$I7*L$9)*L$10</f>
        <v>1.1000000000000001</v>
      </c>
      <c r="J5" s="13">
        <v>0.02</v>
      </c>
      <c r="K5" s="45">
        <v>0.05</v>
      </c>
      <c r="L5" s="13">
        <v>0.05</v>
      </c>
      <c r="M5" s="2" t="s">
        <v>122</v>
      </c>
    </row>
    <row r="6" spans="1:13" x14ac:dyDescent="0.25">
      <c r="A6" s="1">
        <f t="shared" ref="A6:A56" si="0">A5+1</f>
        <v>3</v>
      </c>
      <c r="B6" s="1">
        <f t="shared" ref="B6:B56" si="1">B5+1</f>
        <v>2020</v>
      </c>
      <c r="C6" s="17">
        <f>(1+Dedicate!$E7*J$4)*(1+Curb!$I7*J$5)*(1+VMT_fee!$K7*J$6)*(1+NOVMT!$K7*J$7)*(1+Satellite!$H7*J$8)*(1+Pricing!$I8*J$9)*J$10</f>
        <v>1</v>
      </c>
      <c r="D6" s="17">
        <f>(1+Dedicate!$E7*K$4)*(1+Curb!$I7*K$5)*(1+VMT_fee!$K7*K$6)*(1+NOVMT!$K7*K$7)*(1+Satellite!$H7*K$8)*(1+Pricing!$I8*K$9)*K$10</f>
        <v>1.05</v>
      </c>
      <c r="E6" s="17">
        <f>(1+Dedicate!$E7*L$4)*(1+Curb!$I7*L$5)*(1+VMT_fee!$K7*L$6)*(1+NOVMT!$K7*L$7)*(1+Satellite!$H7*L$8)*(1+Pricing!$I8*L$9)*L$10</f>
        <v>1.1000000000000001</v>
      </c>
      <c r="F6" s="17">
        <f>(1+Dedicate!$E7*J$4)*(1+Curb!$I7*J$5)*(1+VMT_fee!$K7*J$6)*(1+NOVMT!$K7*J$7)*(1+Satellite!$H7*J$8)*(1+Pricing!$I8*J$9)*J$10</f>
        <v>1</v>
      </c>
      <c r="G6" s="17">
        <f>(1+Dedicate!$E7*K$4)*(1+Curb!$I7*K$5)*(1+VMT_fee!$K7*K$6)*(1+NOVMT!$K7*K$7)*(1+Satellite!$H7*K$8)*(1+Pricing!$I8*K$9)*K$10</f>
        <v>1.05</v>
      </c>
      <c r="H6" s="17">
        <f>(1+Dedicate!$E7*L$4)*(1+Curb!$I7*L$5)*(1+VMT_fee!$K7*L$6)*(1+NOVMT!$K7*L$7)*(1+Satellite!$H7*L$8)*(1+Pricing!$I8*L$9)*L$10</f>
        <v>1.1000000000000001</v>
      </c>
      <c r="J6" s="13">
        <v>-0.05</v>
      </c>
      <c r="K6" s="45">
        <v>-0.05</v>
      </c>
      <c r="L6" s="13">
        <v>-0.05</v>
      </c>
      <c r="M6" s="2" t="s">
        <v>123</v>
      </c>
    </row>
    <row r="7" spans="1:13" x14ac:dyDescent="0.25">
      <c r="A7" s="1">
        <f t="shared" si="0"/>
        <v>4</v>
      </c>
      <c r="B7" s="1">
        <f t="shared" si="1"/>
        <v>2021</v>
      </c>
      <c r="C7" s="17">
        <f>(1+Dedicate!$E8*J$4)*(1+Curb!$I8*J$5)*(1+VMT_fee!$K8*J$6)*(1+NOVMT!$K8*J$7)*(1+Satellite!$H8*J$8)*(1+Pricing!$I9*J$9)*J$10</f>
        <v>1</v>
      </c>
      <c r="D7" s="17">
        <f>(1+Dedicate!$E8*K$4)*(1+Curb!$I8*K$5)*(1+VMT_fee!$K8*K$6)*(1+NOVMT!$K8*K$7)*(1+Satellite!$H8*K$8)*(1+Pricing!$I9*K$9)*K$10</f>
        <v>1.05</v>
      </c>
      <c r="E7" s="17">
        <f>(1+Dedicate!$E8*L$4)*(1+Curb!$I8*L$5)*(1+VMT_fee!$K8*L$6)*(1+NOVMT!$K8*L$7)*(1+Satellite!$H8*L$8)*(1+Pricing!$I9*L$9)*L$10</f>
        <v>1.1000000000000001</v>
      </c>
      <c r="F7" s="17">
        <f>(1+Dedicate!$E8*J$4)*(1+Curb!$I8*J$5)*(1+VMT_fee!$K8*J$6)*(1+NOVMT!$K8*J$7)*(1+Satellite!$H8*J$8)*(1+Pricing!$I9*J$9)*J$10</f>
        <v>1</v>
      </c>
      <c r="G7" s="17">
        <f>(1+Dedicate!$E8*K$4)*(1+Curb!$I8*K$5)*(1+VMT_fee!$K8*K$6)*(1+NOVMT!$K8*K$7)*(1+Satellite!$H8*K$8)*(1+Pricing!$I9*K$9)*K$10</f>
        <v>1.05</v>
      </c>
      <c r="H7" s="17">
        <f>(1+Dedicate!$E8*L$4)*(1+Curb!$I8*L$5)*(1+VMT_fee!$K8*L$6)*(1+NOVMT!$K8*L$7)*(1+Satellite!$H8*L$8)*(1+Pricing!$I9*L$9)*L$10</f>
        <v>1.1000000000000001</v>
      </c>
      <c r="J7" s="16">
        <v>0</v>
      </c>
      <c r="K7" s="45">
        <v>0</v>
      </c>
      <c r="L7" s="13">
        <v>-0.05</v>
      </c>
      <c r="M7" s="2" t="s">
        <v>124</v>
      </c>
    </row>
    <row r="8" spans="1:13" x14ac:dyDescent="0.25">
      <c r="A8" s="1">
        <f t="shared" si="0"/>
        <v>5</v>
      </c>
      <c r="B8" s="1">
        <f t="shared" si="1"/>
        <v>2022</v>
      </c>
      <c r="C8" s="17">
        <f>(1+Dedicate!$E9*J$4)*(1+Curb!$I9*J$5)*(1+VMT_fee!$K9*J$6)*(1+NOVMT!$K9*J$7)*(1+Satellite!$H9*J$8)*(1+Pricing!$I10*J$9)*J$10</f>
        <v>1</v>
      </c>
      <c r="D8" s="17">
        <f>(1+Dedicate!$E9*K$4)*(1+Curb!$I9*K$5)*(1+VMT_fee!$K9*K$6)*(1+NOVMT!$K9*K$7)*(1+Satellite!$H9*K$8)*(1+Pricing!$I10*K$9)*K$10</f>
        <v>1.05</v>
      </c>
      <c r="E8" s="17">
        <f>(1+Dedicate!$E9*L$4)*(1+Curb!$I9*L$5)*(1+VMT_fee!$K9*L$6)*(1+NOVMT!$K9*L$7)*(1+Satellite!$H9*L$8)*(1+Pricing!$I10*L$9)*L$10</f>
        <v>1.1000000000000001</v>
      </c>
      <c r="F8" s="17">
        <f>(1+Dedicate!$E9*J$4)*(1+Curb!$I9*J$5)*(1+VMT_fee!$K9*J$6)*(1+NOVMT!$K9*J$7)*(1+Satellite!$H9*J$8)*(1+Pricing!$I10*J$9)*J$10</f>
        <v>1</v>
      </c>
      <c r="G8" s="17">
        <f>(1+Dedicate!$E9*K$4)*(1+Curb!$I9*K$5)*(1+VMT_fee!$K9*K$6)*(1+NOVMT!$K9*K$7)*(1+Satellite!$H9*K$8)*(1+Pricing!$I10*K$9)*K$10</f>
        <v>1.05</v>
      </c>
      <c r="H8" s="17">
        <f>(1+Dedicate!$E9*L$4)*(1+Curb!$I9*L$5)*(1+VMT_fee!$K9*L$6)*(1+NOVMT!$K9*L$7)*(1+Satellite!$H9*L$8)*(1+Pricing!$I10*L$9)*L$10</f>
        <v>1.1000000000000001</v>
      </c>
      <c r="J8" s="16">
        <v>0</v>
      </c>
      <c r="K8" s="45">
        <v>0</v>
      </c>
      <c r="L8" s="13">
        <v>0.05</v>
      </c>
      <c r="M8" s="2" t="s">
        <v>125</v>
      </c>
    </row>
    <row r="9" spans="1:13" x14ac:dyDescent="0.25">
      <c r="A9" s="1">
        <f t="shared" si="0"/>
        <v>6</v>
      </c>
      <c r="B9" s="1">
        <f t="shared" si="1"/>
        <v>2023</v>
      </c>
      <c r="C9" s="17">
        <f>(1+Dedicate!$E10*J$4)*(1+Curb!$I10*J$5)*(1+VMT_fee!$K10*J$6)*(1+NOVMT!$K10*J$7)*(1+Satellite!$H10*J$8)*(1+Pricing!$I11*J$9)*J$10</f>
        <v>1.0002465</v>
      </c>
      <c r="D9" s="17">
        <f>(1+Dedicate!$E10*K$4)*(1+Curb!$I10*K$5)*(1+VMT_fee!$K10*K$6)*(1+NOVMT!$K10*K$7)*(1+Satellite!$H10*K$8)*(1+Pricing!$I11*K$9)*K$10</f>
        <v>1.0534033125</v>
      </c>
      <c r="E9" s="17">
        <f>(1+Dedicate!$E10*L$4)*(1+Curb!$I10*L$5)*(1+VMT_fee!$K10*L$6)*(1+NOVMT!$K10*L$7)*(1+Satellite!$H10*L$8)*(1+Pricing!$I11*L$9)*L$10</f>
        <v>1.1035653749999998</v>
      </c>
      <c r="F9" s="17">
        <f>(1+Dedicate!$E10*J$4)*(1+Curb!$I10*J$5)*(1+VMT_fee!$K10*J$6)*(1+NOVMT!$K10*J$7)*(1+Satellite!$H10*J$8)*(1+Pricing!$I11*J$9)*J$10</f>
        <v>1.0002465</v>
      </c>
      <c r="G9" s="17">
        <f>(1+Dedicate!$E10*K$4)*(1+Curb!$I10*K$5)*(1+VMT_fee!$K10*K$6)*(1+NOVMT!$K10*K$7)*(1+Satellite!$H10*K$8)*(1+Pricing!$I11*K$9)*K$10</f>
        <v>1.0534033125</v>
      </c>
      <c r="H9" s="17">
        <f>(1+Dedicate!$E10*L$4)*(1+Curb!$I10*L$5)*(1+VMT_fee!$K10*L$6)*(1+NOVMT!$K10*L$7)*(1+Satellite!$H10*L$8)*(1+Pricing!$I11*L$9)*L$10</f>
        <v>1.1035653749999998</v>
      </c>
      <c r="J9" s="16">
        <v>-0.1</v>
      </c>
      <c r="K9" s="45">
        <v>-0.08</v>
      </c>
      <c r="L9" s="13">
        <v>-0.05</v>
      </c>
      <c r="M9" s="2" t="s">
        <v>231</v>
      </c>
    </row>
    <row r="10" spans="1:13" x14ac:dyDescent="0.25">
      <c r="A10" s="1">
        <f t="shared" si="0"/>
        <v>7</v>
      </c>
      <c r="B10" s="1">
        <f t="shared" si="1"/>
        <v>2024</v>
      </c>
      <c r="C10" s="17">
        <f>(1+Dedicate!$E11*J$4)*(1+Curb!$I11*J$5)*(1+VMT_fee!$K11*J$6)*(1+NOVMT!$K11*J$7)*(1+Satellite!$H11*J$8)*(1+Pricing!$I12*J$9)*J$10</f>
        <v>1.0002465</v>
      </c>
      <c r="D10" s="17">
        <f>(1+Dedicate!$E11*K$4)*(1+Curb!$I11*K$5)*(1+VMT_fee!$K11*K$6)*(1+NOVMT!$K11*K$7)*(1+Satellite!$H11*K$8)*(1+Pricing!$I12*K$9)*K$10</f>
        <v>1.0534033125</v>
      </c>
      <c r="E10" s="17">
        <f>(1+Dedicate!$E11*L$4)*(1+Curb!$I11*L$5)*(1+VMT_fee!$K11*L$6)*(1+NOVMT!$K11*L$7)*(1+Satellite!$H11*L$8)*(1+Pricing!$I12*L$9)*L$10</f>
        <v>1.1035653749999998</v>
      </c>
      <c r="F10" s="17">
        <f>(1+Dedicate!$E11*J$4)*(1+Curb!$I11*J$5)*(1+VMT_fee!$K11*J$6)*(1+NOVMT!$K11*J$7)*(1+Satellite!$H11*J$8)*(1+Pricing!$I12*J$9)*J$10</f>
        <v>1.0002465</v>
      </c>
      <c r="G10" s="17">
        <f>(1+Dedicate!$E11*K$4)*(1+Curb!$I11*K$5)*(1+VMT_fee!$K11*K$6)*(1+NOVMT!$K11*K$7)*(1+Satellite!$H11*K$8)*(1+Pricing!$I12*K$9)*K$10</f>
        <v>1.0534033125</v>
      </c>
      <c r="H10" s="17">
        <f>(1+Dedicate!$E11*L$4)*(1+Curb!$I11*L$5)*(1+VMT_fee!$K11*L$6)*(1+NOVMT!$K11*L$7)*(1+Satellite!$H11*L$8)*(1+Pricing!$I12*L$9)*L$10</f>
        <v>1.1035653749999998</v>
      </c>
      <c r="J10" s="16">
        <v>1</v>
      </c>
      <c r="K10" s="46">
        <v>1.05</v>
      </c>
      <c r="L10" s="16">
        <v>1.1000000000000001</v>
      </c>
      <c r="M10" s="2" t="s">
        <v>163</v>
      </c>
    </row>
    <row r="11" spans="1:13" x14ac:dyDescent="0.25">
      <c r="A11" s="1">
        <f t="shared" si="0"/>
        <v>8</v>
      </c>
      <c r="B11" s="1">
        <f t="shared" si="1"/>
        <v>2025</v>
      </c>
      <c r="C11" s="17">
        <f>(1+Dedicate!$E12*J$4)*(1+Curb!$I12*J$5)*(1+VMT_fee!$K12*J$6)*(1+NOVMT!$K12*J$7)*(1+Satellite!$H12*J$8)*(1+Pricing!$I13*J$9)*J$10</f>
        <v>1.0002465</v>
      </c>
      <c r="D11" s="17">
        <f>(1+Dedicate!$E12*K$4)*(1+Curb!$I12*K$5)*(1+VMT_fee!$K12*K$6)*(1+NOVMT!$K12*K$7)*(1+Satellite!$H12*K$8)*(1+Pricing!$I13*K$9)*K$10</f>
        <v>1.0534033125</v>
      </c>
      <c r="E11" s="17">
        <f>(1+Dedicate!$E12*L$4)*(1+Curb!$I12*L$5)*(1+VMT_fee!$K12*L$6)*(1+NOVMT!$K12*L$7)*(1+Satellite!$H12*L$8)*(1+Pricing!$I13*L$9)*L$10</f>
        <v>1.1035653749999998</v>
      </c>
      <c r="F11" s="17">
        <f>(1+Dedicate!$E12*J$4)*(1+Curb!$I12*J$5)*(1+VMT_fee!$K12*J$6)*(1+NOVMT!$K12*J$7)*(1+Satellite!$H12*J$8)*(1+Pricing!$I13*J$9)*J$10</f>
        <v>1.0002465</v>
      </c>
      <c r="G11" s="17">
        <f>(1+Dedicate!$E12*K$4)*(1+Curb!$I12*K$5)*(1+VMT_fee!$K12*K$6)*(1+NOVMT!$K12*K$7)*(1+Satellite!$H12*K$8)*(1+Pricing!$I13*K$9)*K$10</f>
        <v>1.0534033125</v>
      </c>
      <c r="H11" s="17">
        <f>(1+Dedicate!$E12*L$4)*(1+Curb!$I12*L$5)*(1+VMT_fee!$K12*L$6)*(1+NOVMT!$K12*L$7)*(1+Satellite!$H12*L$8)*(1+Pricing!$I13*L$9)*L$10</f>
        <v>1.1035653749999998</v>
      </c>
    </row>
    <row r="12" spans="1:13" x14ac:dyDescent="0.25">
      <c r="A12" s="1">
        <f t="shared" si="0"/>
        <v>9</v>
      </c>
      <c r="B12" s="1">
        <f t="shared" si="1"/>
        <v>2026</v>
      </c>
      <c r="C12" s="17">
        <f>(1+Dedicate!$E13*J$4)*(1+Curb!$I13*J$5)*(1+VMT_fee!$K13*J$6)*(1+NOVMT!$K13*J$7)*(1+Satellite!$H13*J$8)*(1+Pricing!$I14*J$9)*J$10</f>
        <v>1.0002465</v>
      </c>
      <c r="D12" s="17">
        <f>(1+Dedicate!$E13*K$4)*(1+Curb!$I13*K$5)*(1+VMT_fee!$K13*K$6)*(1+NOVMT!$K13*K$7)*(1+Satellite!$H13*K$8)*(1+Pricing!$I14*K$9)*K$10</f>
        <v>1.0541369326640624</v>
      </c>
      <c r="E12" s="17">
        <f>(1+Dedicate!$E13*L$4)*(1+Curb!$I13*L$5)*(1+VMT_fee!$K13*L$6)*(1+NOVMT!$K13*L$7)*(1+Satellite!$H13*L$8)*(1+Pricing!$I14*L$9)*L$10</f>
        <v>1.1046413512406246</v>
      </c>
      <c r="F12" s="17">
        <f>(1+Dedicate!$E13*J$4)*(1+Curb!$I13*J$5)*(1+VMT_fee!$K13*J$6)*(1+NOVMT!$K13*J$7)*(1+Satellite!$H13*J$8)*(1+Pricing!$I14*J$9)*J$10</f>
        <v>1.0002465</v>
      </c>
      <c r="G12" s="17">
        <f>(1+Dedicate!$E13*K$4)*(1+Curb!$I13*K$5)*(1+VMT_fee!$K13*K$6)*(1+NOVMT!$K13*K$7)*(1+Satellite!$H13*K$8)*(1+Pricing!$I14*K$9)*K$10</f>
        <v>1.0541369326640624</v>
      </c>
      <c r="H12" s="17">
        <f>(1+Dedicate!$E13*L$4)*(1+Curb!$I13*L$5)*(1+VMT_fee!$K13*L$6)*(1+NOVMT!$K13*L$7)*(1+Satellite!$H13*L$8)*(1+Pricing!$I14*L$9)*L$10</f>
        <v>1.1046413512406246</v>
      </c>
    </row>
    <row r="13" spans="1:13" x14ac:dyDescent="0.25">
      <c r="A13" s="1">
        <f t="shared" si="0"/>
        <v>10</v>
      </c>
      <c r="B13" s="1">
        <f t="shared" si="1"/>
        <v>2027</v>
      </c>
      <c r="C13" s="17">
        <f>(1+Dedicate!$E14*J$4)*(1+Curb!$I14*J$5)*(1+VMT_fee!$K14*J$6)*(1+NOVMT!$K14*J$7)*(1+Satellite!$H14*J$8)*(1+Pricing!$I15*J$9)*J$10</f>
        <v>1.0002465</v>
      </c>
      <c r="D13" s="17">
        <f>(1+Dedicate!$E14*K$4)*(1+Curb!$I14*K$5)*(1+VMT_fee!$K14*K$6)*(1+NOVMT!$K14*K$7)*(1+Satellite!$H14*K$8)*(1+Pricing!$I15*K$9)*K$10</f>
        <v>1.0553596329374999</v>
      </c>
      <c r="E13" s="17">
        <f>(1+Dedicate!$E14*L$4)*(1+Curb!$I14*L$5)*(1+VMT_fee!$K14*L$6)*(1+NOVMT!$K14*L$7)*(1+Satellite!$H14*L$8)*(1+Pricing!$I15*L$9)*L$10</f>
        <v>1.106434644975</v>
      </c>
      <c r="F13" s="17">
        <f>(1+Dedicate!$E14*J$4)*(1+Curb!$I14*J$5)*(1+VMT_fee!$K14*J$6)*(1+NOVMT!$K14*J$7)*(1+Satellite!$H14*J$8)*(1+Pricing!$I15*J$9)*J$10</f>
        <v>1.0002465</v>
      </c>
      <c r="G13" s="17">
        <f>(1+Dedicate!$E14*K$4)*(1+Curb!$I14*K$5)*(1+VMT_fee!$K14*K$6)*(1+NOVMT!$K14*K$7)*(1+Satellite!$H14*K$8)*(1+Pricing!$I15*K$9)*K$10</f>
        <v>1.0553596329374999</v>
      </c>
      <c r="H13" s="17">
        <f>(1+Dedicate!$E14*L$4)*(1+Curb!$I14*L$5)*(1+VMT_fee!$K14*L$6)*(1+NOVMT!$K14*L$7)*(1+Satellite!$H14*L$8)*(1+Pricing!$I15*L$9)*L$10</f>
        <v>1.106434644975</v>
      </c>
    </row>
    <row r="14" spans="1:13" x14ac:dyDescent="0.25">
      <c r="A14" s="1">
        <f t="shared" si="0"/>
        <v>11</v>
      </c>
      <c r="B14" s="1">
        <f t="shared" si="1"/>
        <v>2028</v>
      </c>
      <c r="C14" s="17">
        <f>(1+Dedicate!$E15*J$4)*(1+Curb!$I15*J$5)*(1+VMT_fee!$K15*J$6)*(1+NOVMT!$K15*J$7)*(1+Satellite!$H15*J$8)*(1+Pricing!$I16*J$9)*J$10</f>
        <v>0.99009444456361617</v>
      </c>
      <c r="D14" s="17">
        <f>(1+Dedicate!$E15*K$4)*(1+Curb!$I15*K$5)*(1+VMT_fee!$K15*K$6)*(1+NOVMT!$K15*K$7)*(1+Satellite!$H15*K$8)*(1+Pricing!$I16*K$9)*K$10</f>
        <v>1.0480032620160979</v>
      </c>
      <c r="E14" s="17">
        <f>(1+Dedicate!$E15*L$4)*(1+Curb!$I15*L$5)*(1+VMT_fee!$K15*L$6)*(1+NOVMT!$K15*L$7)*(1+Satellite!$H15*L$8)*(1+Pricing!$I16*L$9)*L$10</f>
        <v>1.1026039292927323</v>
      </c>
      <c r="F14" s="17">
        <f>(1+Dedicate!$E15*J$4)*(1+Curb!$I15*J$5)*(1+VMT_fee!$K15*J$6)*(1+NOVMT!$K15*J$7)*(1+Satellite!$H15*J$8)*(1+Pricing!$I16*J$9)*J$10</f>
        <v>0.99009444456361617</v>
      </c>
      <c r="G14" s="17">
        <f>(1+Dedicate!$E15*K$4)*(1+Curb!$I15*K$5)*(1+VMT_fee!$K15*K$6)*(1+NOVMT!$K15*K$7)*(1+Satellite!$H15*K$8)*(1+Pricing!$I16*K$9)*K$10</f>
        <v>1.0480032620160979</v>
      </c>
      <c r="H14" s="17">
        <f>(1+Dedicate!$E15*L$4)*(1+Curb!$I15*L$5)*(1+VMT_fee!$K15*L$6)*(1+NOVMT!$K15*L$7)*(1+Satellite!$H15*L$8)*(1+Pricing!$I16*L$9)*L$10</f>
        <v>1.1026039292927323</v>
      </c>
    </row>
    <row r="15" spans="1:13" x14ac:dyDescent="0.25">
      <c r="A15" s="1">
        <f t="shared" si="0"/>
        <v>12</v>
      </c>
      <c r="B15" s="1">
        <f t="shared" si="1"/>
        <v>2029</v>
      </c>
      <c r="C15" s="17">
        <f>(1+Dedicate!$E16*J$4)*(1+Curb!$I16*J$5)*(1+VMT_fee!$K16*J$6)*(1+NOVMT!$K16*J$7)*(1+Satellite!$H16*J$8)*(1+Pricing!$I17*J$9)*J$10</f>
        <v>0.99009444456361617</v>
      </c>
      <c r="D15" s="17">
        <f>(1+Dedicate!$E16*K$4)*(1+Curb!$I16*K$5)*(1+VMT_fee!$K16*K$6)*(1+NOVMT!$K16*K$7)*(1+Satellite!$H16*K$8)*(1+Pricing!$I17*K$9)*K$10</f>
        <v>1.0492160343999934</v>
      </c>
      <c r="E15" s="17">
        <f>(1+Dedicate!$E16*L$4)*(1+Curb!$I16*L$5)*(1+VMT_fee!$K16*L$6)*(1+NOVMT!$K16*L$7)*(1+Satellite!$H16*L$8)*(1+Pricing!$I17*L$9)*L$10</f>
        <v>1.1043881224616945</v>
      </c>
      <c r="F15" s="17">
        <f>(1+Dedicate!$E16*J$4)*(1+Curb!$I16*J$5)*(1+VMT_fee!$K16*J$6)*(1+NOVMT!$K16*J$7)*(1+Satellite!$H16*J$8)*(1+Pricing!$I17*J$9)*J$10</f>
        <v>0.99009444456361617</v>
      </c>
      <c r="G15" s="17">
        <f>(1+Dedicate!$E16*K$4)*(1+Curb!$I16*K$5)*(1+VMT_fee!$K16*K$6)*(1+NOVMT!$K16*K$7)*(1+Satellite!$H16*K$8)*(1+Pricing!$I17*K$9)*K$10</f>
        <v>1.0492160343999934</v>
      </c>
      <c r="H15" s="17">
        <f>(1+Dedicate!$E16*L$4)*(1+Curb!$I16*L$5)*(1+VMT_fee!$K16*L$6)*(1+NOVMT!$K16*L$7)*(1+Satellite!$H16*L$8)*(1+Pricing!$I17*L$9)*L$10</f>
        <v>1.1043881224616945</v>
      </c>
    </row>
    <row r="16" spans="1:13" x14ac:dyDescent="0.25">
      <c r="A16" s="1">
        <f t="shared" si="0"/>
        <v>13</v>
      </c>
      <c r="B16" s="1">
        <f t="shared" si="1"/>
        <v>2030</v>
      </c>
      <c r="C16" s="17">
        <f>(1+Dedicate!$E17*J$4)*(1+Curb!$I17*J$5)*(1+VMT_fee!$K17*J$6)*(1+NOVMT!$K17*J$7)*(1+Satellite!$H17*J$8)*(1+Pricing!$I18*J$9)*J$10</f>
        <v>0.99009444456361617</v>
      </c>
      <c r="D16" s="17">
        <f>(1+Dedicate!$E17*K$4)*(1+Curb!$I17*K$5)*(1+VMT_fee!$K17*K$6)*(1+NOVMT!$K17*K$7)*(1+Satellite!$H17*K$8)*(1+Pricing!$I18*K$9)*K$10</f>
        <v>1.0504288067838896</v>
      </c>
      <c r="E16" s="17">
        <f>(1+Dedicate!$E17*L$4)*(1+Curb!$I17*L$5)*(1+VMT_fee!$K17*L$6)*(1+NOVMT!$K17*L$7)*(1+Satellite!$H17*L$8)*(1+Pricing!$I18*L$9)*L$10</f>
        <v>1.106172315630656</v>
      </c>
      <c r="F16" s="17">
        <f>(1+Dedicate!$E17*J$4)*(1+Curb!$I17*J$5)*(1+VMT_fee!$K17*J$6)*(1+NOVMT!$K17*J$7)*(1+Satellite!$H17*J$8)*(1+Pricing!$I18*J$9)*J$10</f>
        <v>0.99009444456361617</v>
      </c>
      <c r="G16" s="17">
        <f>(1+Dedicate!$E17*K$4)*(1+Curb!$I17*K$5)*(1+VMT_fee!$K17*K$6)*(1+NOVMT!$K17*K$7)*(1+Satellite!$H17*K$8)*(1+Pricing!$I18*K$9)*K$10</f>
        <v>1.0504288067838896</v>
      </c>
      <c r="H16" s="17">
        <f>(1+Dedicate!$E17*L$4)*(1+Curb!$I17*L$5)*(1+VMT_fee!$K17*L$6)*(1+NOVMT!$K17*L$7)*(1+Satellite!$H17*L$8)*(1+Pricing!$I18*L$9)*L$10</f>
        <v>1.106172315630656</v>
      </c>
    </row>
    <row r="17" spans="1:8" x14ac:dyDescent="0.25">
      <c r="A17" s="1">
        <f t="shared" si="0"/>
        <v>14</v>
      </c>
      <c r="B17" s="1">
        <f t="shared" si="1"/>
        <v>2031</v>
      </c>
      <c r="C17" s="17">
        <f>(1+Dedicate!$E18*J$4)*(1+Curb!$I18*J$5)*(1+VMT_fee!$K18*J$6)*(1+NOVMT!$K18*J$7)*(1+Satellite!$H18*J$8)*(1+Pricing!$I19*J$9)*J$10</f>
        <v>0.99009444456361617</v>
      </c>
      <c r="D17" s="17">
        <f>(1+Dedicate!$E18*K$4)*(1+Curb!$I18*K$5)*(1+VMT_fee!$K18*K$6)*(1+NOVMT!$K18*K$7)*(1+Satellite!$H18*K$8)*(1+Pricing!$I19*K$9)*K$10</f>
        <v>1.0509139157374481</v>
      </c>
      <c r="E17" s="17">
        <f>(1+Dedicate!$E18*L$4)*(1+Curb!$I18*L$5)*(1+VMT_fee!$K18*L$6)*(1+NOVMT!$K18*L$7)*(1+Satellite!$H18*L$8)*(1+Pricing!$I19*L$9)*L$10</f>
        <v>1.1068859928982409</v>
      </c>
      <c r="F17" s="17">
        <f>(1+Dedicate!$E18*J$4)*(1+Curb!$I18*J$5)*(1+VMT_fee!$K18*J$6)*(1+NOVMT!$K18*J$7)*(1+Satellite!$H18*J$8)*(1+Pricing!$I19*J$9)*J$10</f>
        <v>0.99009444456361617</v>
      </c>
      <c r="G17" s="17">
        <f>(1+Dedicate!$E18*K$4)*(1+Curb!$I18*K$5)*(1+VMT_fee!$K18*K$6)*(1+NOVMT!$K18*K$7)*(1+Satellite!$H18*K$8)*(1+Pricing!$I19*K$9)*K$10</f>
        <v>1.0509139157374481</v>
      </c>
      <c r="H17" s="17">
        <f>(1+Dedicate!$E18*L$4)*(1+Curb!$I18*L$5)*(1+VMT_fee!$K18*L$6)*(1+NOVMT!$K18*L$7)*(1+Satellite!$H18*L$8)*(1+Pricing!$I19*L$9)*L$10</f>
        <v>1.1068859928982409</v>
      </c>
    </row>
    <row r="18" spans="1:8" x14ac:dyDescent="0.25">
      <c r="A18" s="1">
        <f t="shared" si="0"/>
        <v>15</v>
      </c>
      <c r="B18" s="1">
        <f t="shared" si="1"/>
        <v>2032</v>
      </c>
      <c r="C18" s="17">
        <f>(1+Dedicate!$E19*J$4)*(1+Curb!$I19*J$5)*(1+VMT_fee!$K19*J$6)*(1+NOVMT!$K19*J$7)*(1+Satellite!$H19*J$8)*(1+Pricing!$I20*J$9)*J$10</f>
        <v>0.99009444456361617</v>
      </c>
      <c r="D18" s="17">
        <f>(1+Dedicate!$E19*K$4)*(1+Curb!$I19*K$5)*(1+VMT_fee!$K19*K$6)*(1+NOVMT!$K19*K$7)*(1+Satellite!$H19*K$8)*(1+Pricing!$I20*K$9)*K$10</f>
        <v>1.0509139157374481</v>
      </c>
      <c r="E18" s="17">
        <f>(1+Dedicate!$E19*L$4)*(1+Curb!$I19*L$5)*(1+VMT_fee!$K19*L$6)*(1+NOVMT!$K19*L$7)*(1+Satellite!$H19*L$8)*(1+Pricing!$I20*L$9)*L$10</f>
        <v>1.1068859928982409</v>
      </c>
      <c r="F18" s="17">
        <f>(1+Dedicate!$E19*J$4)*(1+Curb!$I19*J$5)*(1+VMT_fee!$K19*J$6)*(1+NOVMT!$K19*J$7)*(1+Satellite!$H19*J$8)*(1+Pricing!$I20*J$9)*J$10</f>
        <v>0.99009444456361617</v>
      </c>
      <c r="G18" s="17">
        <f>(1+Dedicate!$E19*K$4)*(1+Curb!$I19*K$5)*(1+VMT_fee!$K19*K$6)*(1+NOVMT!$K19*K$7)*(1+Satellite!$H19*K$8)*(1+Pricing!$I20*K$9)*K$10</f>
        <v>1.0509139157374481</v>
      </c>
      <c r="H18" s="17">
        <f>(1+Dedicate!$E19*L$4)*(1+Curb!$I19*L$5)*(1+VMT_fee!$K19*L$6)*(1+NOVMT!$K19*L$7)*(1+Satellite!$H19*L$8)*(1+Pricing!$I20*L$9)*L$10</f>
        <v>1.1068859928982409</v>
      </c>
    </row>
    <row r="19" spans="1:8" x14ac:dyDescent="0.25">
      <c r="A19" s="1">
        <f t="shared" si="0"/>
        <v>16</v>
      </c>
      <c r="B19" s="1">
        <f t="shared" si="1"/>
        <v>2033</v>
      </c>
      <c r="C19" s="17">
        <f>(1+Dedicate!$E20*J$4)*(1+Curb!$I20*J$5)*(1+VMT_fee!$K20*J$6)*(1+NOVMT!$K20*J$7)*(1+Satellite!$H20*J$8)*(1+Pricing!$I21*J$9)*J$10</f>
        <v>0.99009444456361617</v>
      </c>
      <c r="D19" s="17">
        <f>(1+Dedicate!$E20*K$4)*(1+Curb!$I20*K$5)*(1+VMT_fee!$K20*K$6)*(1+NOVMT!$K20*K$7)*(1+Satellite!$H20*K$8)*(1+Pricing!$I21*K$9)*K$10</f>
        <v>1.0509139157374481</v>
      </c>
      <c r="E19" s="17">
        <f>(1+Dedicate!$E20*L$4)*(1+Curb!$I20*L$5)*(1+VMT_fee!$K20*L$6)*(1+NOVMT!$K20*L$7)*(1+Satellite!$H20*L$8)*(1+Pricing!$I21*L$9)*L$10</f>
        <v>1.1068859928982409</v>
      </c>
      <c r="F19" s="17">
        <f>(1+Dedicate!$E20*J$4)*(1+Curb!$I20*J$5)*(1+VMT_fee!$K20*J$6)*(1+NOVMT!$K20*J$7)*(1+Satellite!$H20*J$8)*(1+Pricing!$I21*J$9)*J$10</f>
        <v>0.99009444456361617</v>
      </c>
      <c r="G19" s="17">
        <f>(1+Dedicate!$E20*K$4)*(1+Curb!$I20*K$5)*(1+VMT_fee!$K20*K$6)*(1+NOVMT!$K20*K$7)*(1+Satellite!$H20*K$8)*(1+Pricing!$I21*K$9)*K$10</f>
        <v>1.0509139157374481</v>
      </c>
      <c r="H19" s="17">
        <f>(1+Dedicate!$E20*L$4)*(1+Curb!$I20*L$5)*(1+VMT_fee!$K20*L$6)*(1+NOVMT!$K20*L$7)*(1+Satellite!$H20*L$8)*(1+Pricing!$I21*L$9)*L$10</f>
        <v>1.1068859928982409</v>
      </c>
    </row>
    <row r="20" spans="1:8" x14ac:dyDescent="0.25">
      <c r="A20" s="1">
        <f t="shared" si="0"/>
        <v>17</v>
      </c>
      <c r="B20" s="1">
        <f t="shared" si="1"/>
        <v>2034</v>
      </c>
      <c r="C20" s="17">
        <f>(1+Dedicate!$E21*J$4)*(1+Curb!$I21*J$5)*(1+VMT_fee!$K21*J$6)*(1+NOVMT!$K21*J$7)*(1+Satellite!$H21*J$8)*(1+Pricing!$I22*J$9)*J$10</f>
        <v>0.99009444456361617</v>
      </c>
      <c r="D20" s="17">
        <f>(1+Dedicate!$E21*K$4)*(1+Curb!$I21*K$5)*(1+VMT_fee!$K21*K$6)*(1+NOVMT!$K21*K$7)*(1+Satellite!$H21*K$8)*(1+Pricing!$I22*K$9)*K$10</f>
        <v>1.0509139157374481</v>
      </c>
      <c r="E20" s="17">
        <f>(1+Dedicate!$E21*L$4)*(1+Curb!$I21*L$5)*(1+VMT_fee!$K21*L$6)*(1+NOVMT!$K21*L$7)*(1+Satellite!$H21*L$8)*(1+Pricing!$I22*L$9)*L$10</f>
        <v>1.1068859928982409</v>
      </c>
      <c r="F20" s="17">
        <f>(1+Dedicate!$E21*J$4)*(1+Curb!$I21*J$5)*(1+VMT_fee!$K21*J$6)*(1+NOVMT!$K21*J$7)*(1+Satellite!$H21*J$8)*(1+Pricing!$I22*J$9)*J$10</f>
        <v>0.99009444456361617</v>
      </c>
      <c r="G20" s="17">
        <f>(1+Dedicate!$E21*K$4)*(1+Curb!$I21*K$5)*(1+VMT_fee!$K21*K$6)*(1+NOVMT!$K21*K$7)*(1+Satellite!$H21*K$8)*(1+Pricing!$I22*K$9)*K$10</f>
        <v>1.0509139157374481</v>
      </c>
      <c r="H20" s="17">
        <f>(1+Dedicate!$E21*L$4)*(1+Curb!$I21*L$5)*(1+VMT_fee!$K21*L$6)*(1+NOVMT!$K21*L$7)*(1+Satellite!$H21*L$8)*(1+Pricing!$I22*L$9)*L$10</f>
        <v>1.1068859928982409</v>
      </c>
    </row>
    <row r="21" spans="1:8" x14ac:dyDescent="0.25">
      <c r="A21" s="1">
        <f t="shared" si="0"/>
        <v>18</v>
      </c>
      <c r="B21" s="1">
        <f t="shared" si="1"/>
        <v>2035</v>
      </c>
      <c r="C21" s="17">
        <f>(1+Dedicate!$E22*J$4)*(1+Curb!$I22*J$5)*(1+VMT_fee!$K22*J$6)*(1+NOVMT!$K22*J$7)*(1+Satellite!$H22*J$8)*(1+Pricing!$I23*J$9)*J$10</f>
        <v>0.99009444456361617</v>
      </c>
      <c r="D21" s="17">
        <f>(1+Dedicate!$E22*K$4)*(1+Curb!$I22*K$5)*(1+VMT_fee!$K22*K$6)*(1+NOVMT!$K22*K$7)*(1+Satellite!$H22*K$8)*(1+Pricing!$I23*K$9)*K$10</f>
        <v>1.0509139157374481</v>
      </c>
      <c r="E21" s="17">
        <f>(1+Dedicate!$E22*L$4)*(1+Curb!$I22*L$5)*(1+VMT_fee!$K22*L$6)*(1+NOVMT!$K22*L$7)*(1+Satellite!$H22*L$8)*(1+Pricing!$I23*L$9)*L$10</f>
        <v>1.1038567399522701</v>
      </c>
      <c r="F21" s="17">
        <f>(1+Dedicate!$E22*J$4)*(1+Curb!$I22*J$5)*(1+VMT_fee!$K22*J$6)*(1+NOVMT!$K22*J$7)*(1+Satellite!$H22*J$8)*(1+Pricing!$I23*J$9)*J$10</f>
        <v>0.99009444456361617</v>
      </c>
      <c r="G21" s="17">
        <f>(1+Dedicate!$E22*K$4)*(1+Curb!$I22*K$5)*(1+VMT_fee!$K22*K$6)*(1+NOVMT!$K22*K$7)*(1+Satellite!$H22*K$8)*(1+Pricing!$I23*K$9)*K$10</f>
        <v>1.0509139157374481</v>
      </c>
      <c r="H21" s="17">
        <f>(1+Dedicate!$E22*L$4)*(1+Curb!$I22*L$5)*(1+VMT_fee!$K22*L$6)*(1+NOVMT!$K22*L$7)*(1+Satellite!$H22*L$8)*(1+Pricing!$I23*L$9)*L$10</f>
        <v>1.1038567399522701</v>
      </c>
    </row>
    <row r="22" spans="1:8" x14ac:dyDescent="0.25">
      <c r="A22" s="1">
        <f t="shared" si="0"/>
        <v>19</v>
      </c>
      <c r="B22" s="1">
        <f t="shared" si="1"/>
        <v>2036</v>
      </c>
      <c r="C22" s="17">
        <f>(1+Dedicate!$E23*J$4)*(1+Curb!$I23*J$5)*(1+VMT_fee!$K23*J$6)*(1+NOVMT!$K23*J$7)*(1+Satellite!$H23*J$8)*(1+Pricing!$I24*J$9)*J$10</f>
        <v>0.99009444456361617</v>
      </c>
      <c r="D22" s="17">
        <f>(1+Dedicate!$E23*K$4)*(1+Curb!$I23*K$5)*(1+VMT_fee!$K23*K$6)*(1+NOVMT!$K23*K$7)*(1+Satellite!$H23*K$8)*(1+Pricing!$I24*K$9)*K$10</f>
        <v>1.0509139157374481</v>
      </c>
      <c r="E22" s="17">
        <f>(1+Dedicate!$E23*L$4)*(1+Curb!$I23*L$5)*(1+VMT_fee!$K23*L$6)*(1+NOVMT!$K23*L$7)*(1+Satellite!$H23*L$8)*(1+Pricing!$I24*L$9)*L$10</f>
        <v>1.1038567399522701</v>
      </c>
      <c r="F22" s="17">
        <f>(1+Dedicate!$E23*J$4)*(1+Curb!$I23*J$5)*(1+VMT_fee!$K23*J$6)*(1+NOVMT!$K23*J$7)*(1+Satellite!$H23*J$8)*(1+Pricing!$I24*J$9)*J$10</f>
        <v>0.99009444456361617</v>
      </c>
      <c r="G22" s="17">
        <f>(1+Dedicate!$E23*K$4)*(1+Curb!$I23*K$5)*(1+VMT_fee!$K23*K$6)*(1+NOVMT!$K23*K$7)*(1+Satellite!$H23*K$8)*(1+Pricing!$I24*K$9)*K$10</f>
        <v>1.0509139157374481</v>
      </c>
      <c r="H22" s="17">
        <f>(1+Dedicate!$E23*L$4)*(1+Curb!$I23*L$5)*(1+VMT_fee!$K23*L$6)*(1+NOVMT!$K23*L$7)*(1+Satellite!$H23*L$8)*(1+Pricing!$I24*L$9)*L$10</f>
        <v>1.1038567399522701</v>
      </c>
    </row>
    <row r="23" spans="1:8" x14ac:dyDescent="0.25">
      <c r="A23" s="1">
        <f t="shared" si="0"/>
        <v>20</v>
      </c>
      <c r="B23" s="1">
        <f t="shared" si="1"/>
        <v>2037</v>
      </c>
      <c r="C23" s="17">
        <f>(1+Dedicate!$E24*J$4)*(1+Curb!$I24*J$5)*(1+VMT_fee!$K24*J$6)*(1+NOVMT!$K24*J$7)*(1+Satellite!$H24*J$8)*(1+Pricing!$I25*J$9)*J$10</f>
        <v>0.99009444456361617</v>
      </c>
      <c r="D23" s="17">
        <f>(1+Dedicate!$E24*K$4)*(1+Curb!$I24*K$5)*(1+VMT_fee!$K24*K$6)*(1+NOVMT!$K24*K$7)*(1+Satellite!$H24*K$8)*(1+Pricing!$I25*K$9)*K$10</f>
        <v>1.0509139157374481</v>
      </c>
      <c r="E23" s="17">
        <f>(1+Dedicate!$E24*L$4)*(1+Curb!$I24*L$5)*(1+VMT_fee!$K24*L$6)*(1+NOVMT!$K24*L$7)*(1+Satellite!$H24*L$8)*(1+Pricing!$I25*L$9)*L$10</f>
        <v>1.1038567399522701</v>
      </c>
      <c r="F23" s="17">
        <f>(1+Dedicate!$E24*J$4)*(1+Curb!$I24*J$5)*(1+VMT_fee!$K24*J$6)*(1+NOVMT!$K24*J$7)*(1+Satellite!$H24*J$8)*(1+Pricing!$I25*J$9)*J$10</f>
        <v>0.99009444456361617</v>
      </c>
      <c r="G23" s="17">
        <f>(1+Dedicate!$E24*K$4)*(1+Curb!$I24*K$5)*(1+VMT_fee!$K24*K$6)*(1+NOVMT!$K24*K$7)*(1+Satellite!$H24*K$8)*(1+Pricing!$I25*K$9)*K$10</f>
        <v>1.0509139157374481</v>
      </c>
      <c r="H23" s="17">
        <f>(1+Dedicate!$E24*L$4)*(1+Curb!$I24*L$5)*(1+VMT_fee!$K24*L$6)*(1+NOVMT!$K24*L$7)*(1+Satellite!$H24*L$8)*(1+Pricing!$I25*L$9)*L$10</f>
        <v>1.1038567399522701</v>
      </c>
    </row>
    <row r="24" spans="1:8" x14ac:dyDescent="0.25">
      <c r="A24" s="1">
        <f t="shared" si="0"/>
        <v>21</v>
      </c>
      <c r="B24" s="1">
        <f t="shared" si="1"/>
        <v>2038</v>
      </c>
      <c r="C24" s="17">
        <f>(1+Dedicate!$E25*J$4)*(1+Curb!$I25*J$5)*(1+VMT_fee!$K25*J$6)*(1+NOVMT!$K25*J$7)*(1+Satellite!$H25*J$8)*(1+Pricing!$I26*J$9)*J$10</f>
        <v>0.99009444456361617</v>
      </c>
      <c r="D24" s="17">
        <f>(1+Dedicate!$E25*K$4)*(1+Curb!$I25*K$5)*(1+VMT_fee!$K25*K$6)*(1+NOVMT!$K25*K$7)*(1+Satellite!$H25*K$8)*(1+Pricing!$I26*K$9)*K$10</f>
        <v>1.0509139157374481</v>
      </c>
      <c r="E24" s="17">
        <f>(1+Dedicate!$E25*L$4)*(1+Curb!$I25*L$5)*(1+VMT_fee!$K25*L$6)*(1+NOVMT!$K25*L$7)*(1+Satellite!$H25*L$8)*(1+Pricing!$I26*L$9)*L$10</f>
        <v>1.1038567399522701</v>
      </c>
      <c r="F24" s="17">
        <f>(1+Dedicate!$E25*J$4)*(1+Curb!$I25*J$5)*(1+VMT_fee!$K25*J$6)*(1+NOVMT!$K25*J$7)*(1+Satellite!$H25*J$8)*(1+Pricing!$I26*J$9)*J$10</f>
        <v>0.99009444456361617</v>
      </c>
      <c r="G24" s="17">
        <f>(1+Dedicate!$E25*K$4)*(1+Curb!$I25*K$5)*(1+VMT_fee!$K25*K$6)*(1+NOVMT!$K25*K$7)*(1+Satellite!$H25*K$8)*(1+Pricing!$I26*K$9)*K$10</f>
        <v>1.0509139157374481</v>
      </c>
      <c r="H24" s="17">
        <f>(1+Dedicate!$E25*L$4)*(1+Curb!$I25*L$5)*(1+VMT_fee!$K25*L$6)*(1+NOVMT!$K25*L$7)*(1+Satellite!$H25*L$8)*(1+Pricing!$I26*L$9)*L$10</f>
        <v>1.1038567399522701</v>
      </c>
    </row>
    <row r="25" spans="1:8" x14ac:dyDescent="0.25">
      <c r="A25" s="1">
        <f t="shared" si="0"/>
        <v>22</v>
      </c>
      <c r="B25" s="1">
        <f t="shared" si="1"/>
        <v>2039</v>
      </c>
      <c r="C25" s="17">
        <f>(1+Dedicate!$E26*J$4)*(1+Curb!$I26*J$5)*(1+VMT_fee!$K26*J$6)*(1+NOVMT!$K26*J$7)*(1+Satellite!$H26*J$8)*(1+Pricing!$I27*J$9)*J$10</f>
        <v>0.99009444456361617</v>
      </c>
      <c r="D25" s="17">
        <f>(1+Dedicate!$E26*K$4)*(1+Curb!$I26*K$5)*(1+VMT_fee!$K26*K$6)*(1+NOVMT!$K26*K$7)*(1+Satellite!$H26*K$8)*(1+Pricing!$I27*K$9)*K$10</f>
        <v>1.0509139157374481</v>
      </c>
      <c r="E25" s="17">
        <f>(1+Dedicate!$E26*L$4)*(1+Curb!$I26*L$5)*(1+VMT_fee!$K26*L$6)*(1+NOVMT!$K26*L$7)*(1+Satellite!$H26*L$8)*(1+Pricing!$I27*L$9)*L$10</f>
        <v>1.1038567399522701</v>
      </c>
      <c r="F25" s="17">
        <f>(1+Dedicate!$E26*J$4)*(1+Curb!$I26*J$5)*(1+VMT_fee!$K26*J$6)*(1+NOVMT!$K26*J$7)*(1+Satellite!$H26*J$8)*(1+Pricing!$I27*J$9)*J$10</f>
        <v>0.99009444456361617</v>
      </c>
      <c r="G25" s="17">
        <f>(1+Dedicate!$E26*K$4)*(1+Curb!$I26*K$5)*(1+VMT_fee!$K26*K$6)*(1+NOVMT!$K26*K$7)*(1+Satellite!$H26*K$8)*(1+Pricing!$I27*K$9)*K$10</f>
        <v>1.0509139157374481</v>
      </c>
      <c r="H25" s="17">
        <f>(1+Dedicate!$E26*L$4)*(1+Curb!$I26*L$5)*(1+VMT_fee!$K26*L$6)*(1+NOVMT!$K26*L$7)*(1+Satellite!$H26*L$8)*(1+Pricing!$I27*L$9)*L$10</f>
        <v>1.1038567399522701</v>
      </c>
    </row>
    <row r="26" spans="1:8" x14ac:dyDescent="0.25">
      <c r="A26" s="1">
        <f t="shared" si="0"/>
        <v>23</v>
      </c>
      <c r="B26" s="1">
        <f t="shared" si="1"/>
        <v>2040</v>
      </c>
      <c r="C26" s="17">
        <f>(1+Dedicate!$E27*J$4)*(1+Curb!$I27*J$5)*(1+VMT_fee!$K27*J$6)*(1+NOVMT!$K27*J$7)*(1+Satellite!$H27*J$8)*(1+Pricing!$I28*J$9)*J$10</f>
        <v>0.99009444456361617</v>
      </c>
      <c r="D26" s="17">
        <f>(1+Dedicate!$E27*K$4)*(1+Curb!$I27*K$5)*(1+VMT_fee!$K27*K$6)*(1+NOVMT!$K27*K$7)*(1+Satellite!$H27*K$8)*(1+Pricing!$I28*K$9)*K$10</f>
        <v>1.0509139157374481</v>
      </c>
      <c r="E26" s="17">
        <f>(1+Dedicate!$E27*L$4)*(1+Curb!$I27*L$5)*(1+VMT_fee!$K27*L$6)*(1+NOVMT!$K27*L$7)*(1+Satellite!$H27*L$8)*(1+Pricing!$I28*L$9)*L$10</f>
        <v>1.1038567399522701</v>
      </c>
      <c r="F26" s="17">
        <f>(1+Dedicate!$E27*J$4)*(1+Curb!$I27*J$5)*(1+VMT_fee!$K27*J$6)*(1+NOVMT!$K27*J$7)*(1+Satellite!$H27*J$8)*(1+Pricing!$I28*J$9)*J$10</f>
        <v>0.99009444456361617</v>
      </c>
      <c r="G26" s="17">
        <f>(1+Dedicate!$E27*K$4)*(1+Curb!$I27*K$5)*(1+VMT_fee!$K27*K$6)*(1+NOVMT!$K27*K$7)*(1+Satellite!$H27*K$8)*(1+Pricing!$I28*K$9)*K$10</f>
        <v>1.0509139157374481</v>
      </c>
      <c r="H26" s="17">
        <f>(1+Dedicate!$E27*L$4)*(1+Curb!$I27*L$5)*(1+VMT_fee!$K27*L$6)*(1+NOVMT!$K27*L$7)*(1+Satellite!$H27*L$8)*(1+Pricing!$I28*L$9)*L$10</f>
        <v>1.1038567399522701</v>
      </c>
    </row>
    <row r="27" spans="1:8" x14ac:dyDescent="0.25">
      <c r="A27" s="1">
        <f t="shared" si="0"/>
        <v>24</v>
      </c>
      <c r="B27" s="1">
        <f t="shared" si="1"/>
        <v>2041</v>
      </c>
      <c r="C27" s="17">
        <f>(1+Dedicate!$E28*J$4)*(1+Curb!$I28*J$5)*(1+VMT_fee!$K28*J$6)*(1+NOVMT!$K28*J$7)*(1+Satellite!$H28*J$8)*(1+Pricing!$I29*J$9)*J$10</f>
        <v>0.99009444456361617</v>
      </c>
      <c r="D27" s="17">
        <f>(1+Dedicate!$E28*K$4)*(1+Curb!$I28*K$5)*(1+VMT_fee!$K28*K$6)*(1+NOVMT!$K28*K$7)*(1+Satellite!$H28*K$8)*(1+Pricing!$I29*K$9)*K$10</f>
        <v>1.0509139157374481</v>
      </c>
      <c r="E27" s="17">
        <f>(1+Dedicate!$E28*L$4)*(1+Curb!$I28*L$5)*(1+VMT_fee!$K28*L$6)*(1+NOVMT!$K28*L$7)*(1+Satellite!$H28*L$8)*(1+Pricing!$I29*L$9)*L$10</f>
        <v>1.1038567399522701</v>
      </c>
      <c r="F27" s="17">
        <f>(1+Dedicate!$E28*J$4)*(1+Curb!$I28*J$5)*(1+VMT_fee!$K28*J$6)*(1+NOVMT!$K28*J$7)*(1+Satellite!$H28*J$8)*(1+Pricing!$I29*J$9)*J$10</f>
        <v>0.99009444456361617</v>
      </c>
      <c r="G27" s="17">
        <f>(1+Dedicate!$E28*K$4)*(1+Curb!$I28*K$5)*(1+VMT_fee!$K28*K$6)*(1+NOVMT!$K28*K$7)*(1+Satellite!$H28*K$8)*(1+Pricing!$I29*K$9)*K$10</f>
        <v>1.0509139157374481</v>
      </c>
      <c r="H27" s="17">
        <f>(1+Dedicate!$E28*L$4)*(1+Curb!$I28*L$5)*(1+VMT_fee!$K28*L$6)*(1+NOVMT!$K28*L$7)*(1+Satellite!$H28*L$8)*(1+Pricing!$I29*L$9)*L$10</f>
        <v>1.1038567399522701</v>
      </c>
    </row>
    <row r="28" spans="1:8" x14ac:dyDescent="0.25">
      <c r="A28" s="1">
        <f t="shared" si="0"/>
        <v>25</v>
      </c>
      <c r="B28" s="1">
        <f t="shared" si="1"/>
        <v>2042</v>
      </c>
      <c r="C28" s="17">
        <f>(1+Dedicate!$E29*J$4)*(1+Curb!$I29*J$5)*(1+VMT_fee!$K29*J$6)*(1+NOVMT!$K29*J$7)*(1+Satellite!$H29*J$8)*(1+Pricing!$I30*J$9)*J$10</f>
        <v>0.99009444456361617</v>
      </c>
      <c r="D28" s="17">
        <f>(1+Dedicate!$E29*K$4)*(1+Curb!$I29*K$5)*(1+VMT_fee!$K29*K$6)*(1+NOVMT!$K29*K$7)*(1+Satellite!$H29*K$8)*(1+Pricing!$I30*K$9)*K$10</f>
        <v>1.0509139157374481</v>
      </c>
      <c r="E28" s="17">
        <f>(1+Dedicate!$E29*L$4)*(1+Curb!$I29*L$5)*(1+VMT_fee!$K29*L$6)*(1+NOVMT!$K29*L$7)*(1+Satellite!$H29*L$8)*(1+Pricing!$I30*L$9)*L$10</f>
        <v>1.1038567399522701</v>
      </c>
      <c r="F28" s="17">
        <f>(1+Dedicate!$E29*J$4)*(1+Curb!$I29*J$5)*(1+VMT_fee!$K29*J$6)*(1+NOVMT!$K29*J$7)*(1+Satellite!$H29*J$8)*(1+Pricing!$I30*J$9)*J$10</f>
        <v>0.99009444456361617</v>
      </c>
      <c r="G28" s="17">
        <f>(1+Dedicate!$E29*K$4)*(1+Curb!$I29*K$5)*(1+VMT_fee!$K29*K$6)*(1+NOVMT!$K29*K$7)*(1+Satellite!$H29*K$8)*(1+Pricing!$I30*K$9)*K$10</f>
        <v>1.0509139157374481</v>
      </c>
      <c r="H28" s="17">
        <f>(1+Dedicate!$E29*L$4)*(1+Curb!$I29*L$5)*(1+VMT_fee!$K29*L$6)*(1+NOVMT!$K29*L$7)*(1+Satellite!$H29*L$8)*(1+Pricing!$I30*L$9)*L$10</f>
        <v>1.1038567399522701</v>
      </c>
    </row>
    <row r="29" spans="1:8" x14ac:dyDescent="0.25">
      <c r="A29" s="1">
        <f t="shared" si="0"/>
        <v>26</v>
      </c>
      <c r="B29" s="1">
        <f t="shared" si="1"/>
        <v>2043</v>
      </c>
      <c r="C29" s="17">
        <f>(1+Dedicate!$E30*J$4)*(1+Curb!$I30*J$5)*(1+VMT_fee!$K30*J$6)*(1+NOVMT!$K30*J$7)*(1+Satellite!$H30*J$8)*(1+Pricing!$I31*J$9)*J$10</f>
        <v>0.99009444456361617</v>
      </c>
      <c r="D29" s="17">
        <f>(1+Dedicate!$E30*K$4)*(1+Curb!$I30*K$5)*(1+VMT_fee!$K30*K$6)*(1+NOVMT!$K30*K$7)*(1+Satellite!$H30*K$8)*(1+Pricing!$I31*K$9)*K$10</f>
        <v>1.0509139157374481</v>
      </c>
      <c r="E29" s="17">
        <f>(1+Dedicate!$E30*L$4)*(1+Curb!$I30*L$5)*(1+VMT_fee!$K30*L$6)*(1+NOVMT!$K30*L$7)*(1+Satellite!$H30*L$8)*(1+Pricing!$I31*L$9)*L$10</f>
        <v>1.1038567399522701</v>
      </c>
      <c r="F29" s="17">
        <f>(1+Dedicate!$E30*J$4)*(1+Curb!$I30*J$5)*(1+VMT_fee!$K30*J$6)*(1+NOVMT!$K30*J$7)*(1+Satellite!$H30*J$8)*(1+Pricing!$I31*J$9)*J$10</f>
        <v>0.99009444456361617</v>
      </c>
      <c r="G29" s="17">
        <f>(1+Dedicate!$E30*K$4)*(1+Curb!$I30*K$5)*(1+VMT_fee!$K30*K$6)*(1+NOVMT!$K30*K$7)*(1+Satellite!$H30*K$8)*(1+Pricing!$I31*K$9)*K$10</f>
        <v>1.0509139157374481</v>
      </c>
      <c r="H29" s="17">
        <f>(1+Dedicate!$E30*L$4)*(1+Curb!$I30*L$5)*(1+VMT_fee!$K30*L$6)*(1+NOVMT!$K30*L$7)*(1+Satellite!$H30*L$8)*(1+Pricing!$I31*L$9)*L$10</f>
        <v>1.1038567399522701</v>
      </c>
    </row>
    <row r="30" spans="1:8" x14ac:dyDescent="0.25">
      <c r="A30" s="1">
        <f t="shared" si="0"/>
        <v>27</v>
      </c>
      <c r="B30" s="1">
        <f t="shared" si="1"/>
        <v>2044</v>
      </c>
      <c r="C30" s="17">
        <f>(1+Dedicate!$E31*J$4)*(1+Curb!$I31*J$5)*(1+VMT_fee!$K31*J$6)*(1+NOVMT!$K31*J$7)*(1+Satellite!$H31*J$8)*(1+Pricing!$I32*J$9)*J$10</f>
        <v>0.99009444456361617</v>
      </c>
      <c r="D30" s="17">
        <f>(1+Dedicate!$E31*K$4)*(1+Curb!$I31*K$5)*(1+VMT_fee!$K31*K$6)*(1+NOVMT!$K31*K$7)*(1+Satellite!$H31*K$8)*(1+Pricing!$I32*K$9)*K$10</f>
        <v>1.0509139157374481</v>
      </c>
      <c r="E30" s="17">
        <f>(1+Dedicate!$E31*L$4)*(1+Curb!$I31*L$5)*(1+VMT_fee!$K31*L$6)*(1+NOVMT!$K31*L$7)*(1+Satellite!$H31*L$8)*(1+Pricing!$I32*L$9)*L$10</f>
        <v>1.1038567399522701</v>
      </c>
      <c r="F30" s="17">
        <f>(1+Dedicate!$E31*J$4)*(1+Curb!$I31*J$5)*(1+VMT_fee!$K31*J$6)*(1+NOVMT!$K31*J$7)*(1+Satellite!$H31*J$8)*(1+Pricing!$I32*J$9)*J$10</f>
        <v>0.99009444456361617</v>
      </c>
      <c r="G30" s="17">
        <f>(1+Dedicate!$E31*K$4)*(1+Curb!$I31*K$5)*(1+VMT_fee!$K31*K$6)*(1+NOVMT!$K31*K$7)*(1+Satellite!$H31*K$8)*(1+Pricing!$I32*K$9)*K$10</f>
        <v>1.0509139157374481</v>
      </c>
      <c r="H30" s="17">
        <f>(1+Dedicate!$E31*L$4)*(1+Curb!$I31*L$5)*(1+VMT_fee!$K31*L$6)*(1+NOVMT!$K31*L$7)*(1+Satellite!$H31*L$8)*(1+Pricing!$I32*L$9)*L$10</f>
        <v>1.1038567399522701</v>
      </c>
    </row>
    <row r="31" spans="1:8" x14ac:dyDescent="0.25">
      <c r="A31" s="1">
        <f t="shared" si="0"/>
        <v>28</v>
      </c>
      <c r="B31" s="1">
        <f t="shared" si="1"/>
        <v>2045</v>
      </c>
      <c r="C31" s="17">
        <f>(1+Dedicate!$E32*J$4)*(1+Curb!$I32*J$5)*(1+VMT_fee!$K32*J$6)*(1+NOVMT!$K32*J$7)*(1+Satellite!$H32*J$8)*(1+Pricing!$I33*J$9)*J$10</f>
        <v>0.99009444456361617</v>
      </c>
      <c r="D31" s="17">
        <f>(1+Dedicate!$E32*K$4)*(1+Curb!$I32*K$5)*(1+VMT_fee!$K32*K$6)*(1+NOVMT!$K32*K$7)*(1+Satellite!$H32*K$8)*(1+Pricing!$I33*K$9)*K$10</f>
        <v>1.0509139157374481</v>
      </c>
      <c r="E31" s="17">
        <f>(1+Dedicate!$E32*L$4)*(1+Curb!$I32*L$5)*(1+VMT_fee!$K32*L$6)*(1+NOVMT!$K32*L$7)*(1+Satellite!$H32*L$8)*(1+Pricing!$I33*L$9)*L$10</f>
        <v>1.1038567399522701</v>
      </c>
      <c r="F31" s="17">
        <f>(1+Dedicate!$E32*J$4)*(1+Curb!$I32*J$5)*(1+VMT_fee!$K32*J$6)*(1+NOVMT!$K32*J$7)*(1+Satellite!$H32*J$8)*(1+Pricing!$I33*J$9)*J$10</f>
        <v>0.99009444456361617</v>
      </c>
      <c r="G31" s="17">
        <f>(1+Dedicate!$E32*K$4)*(1+Curb!$I32*K$5)*(1+VMT_fee!$K32*K$6)*(1+NOVMT!$K32*K$7)*(1+Satellite!$H32*K$8)*(1+Pricing!$I33*K$9)*K$10</f>
        <v>1.0509139157374481</v>
      </c>
      <c r="H31" s="17">
        <f>(1+Dedicate!$E32*L$4)*(1+Curb!$I32*L$5)*(1+VMT_fee!$K32*L$6)*(1+NOVMT!$K32*L$7)*(1+Satellite!$H32*L$8)*(1+Pricing!$I33*L$9)*L$10</f>
        <v>1.1038567399522701</v>
      </c>
    </row>
    <row r="32" spans="1:8" x14ac:dyDescent="0.25">
      <c r="A32" s="1">
        <f t="shared" si="0"/>
        <v>29</v>
      </c>
      <c r="B32" s="1">
        <f t="shared" si="1"/>
        <v>2046</v>
      </c>
      <c r="C32" s="17">
        <f>(1+Dedicate!$E33*J$4)*(1+Curb!$I33*J$5)*(1+VMT_fee!$K33*J$6)*(1+NOVMT!$K33*J$7)*(1+Satellite!$H33*J$8)*(1+Pricing!$I34*J$9)*J$10</f>
        <v>0.99009444456361617</v>
      </c>
      <c r="D32" s="17">
        <f>(1+Dedicate!$E33*K$4)*(1+Curb!$I33*K$5)*(1+VMT_fee!$K33*K$6)*(1+NOVMT!$K33*K$7)*(1+Satellite!$H33*K$8)*(1+Pricing!$I34*K$9)*K$10</f>
        <v>1.0509139157374481</v>
      </c>
      <c r="E32" s="17">
        <f>(1+Dedicate!$E33*L$4)*(1+Curb!$I33*L$5)*(1+VMT_fee!$K33*L$6)*(1+NOVMT!$K33*L$7)*(1+Satellite!$H33*L$8)*(1+Pricing!$I34*L$9)*L$10</f>
        <v>1.1038567399522701</v>
      </c>
      <c r="F32" s="17">
        <f>(1+Dedicate!$E33*J$4)*(1+Curb!$I33*J$5)*(1+VMT_fee!$K33*J$6)*(1+NOVMT!$K33*J$7)*(1+Satellite!$H33*J$8)*(1+Pricing!$I34*J$9)*J$10</f>
        <v>0.99009444456361617</v>
      </c>
      <c r="G32" s="17">
        <f>(1+Dedicate!$E33*K$4)*(1+Curb!$I33*K$5)*(1+VMT_fee!$K33*K$6)*(1+NOVMT!$K33*K$7)*(1+Satellite!$H33*K$8)*(1+Pricing!$I34*K$9)*K$10</f>
        <v>1.0509139157374481</v>
      </c>
      <c r="H32" s="17">
        <f>(1+Dedicate!$E33*L$4)*(1+Curb!$I33*L$5)*(1+VMT_fee!$K33*L$6)*(1+NOVMT!$K33*L$7)*(1+Satellite!$H33*L$8)*(1+Pricing!$I34*L$9)*L$10</f>
        <v>1.1038567399522701</v>
      </c>
    </row>
    <row r="33" spans="1:8" x14ac:dyDescent="0.25">
      <c r="A33" s="1">
        <f t="shared" si="0"/>
        <v>30</v>
      </c>
      <c r="B33" s="1">
        <f t="shared" si="1"/>
        <v>2047</v>
      </c>
      <c r="C33" s="17">
        <f>(1+Dedicate!$E34*J$4)*(1+Curb!$I34*J$5)*(1+VMT_fee!$K34*J$6)*(1+NOVMT!$K34*J$7)*(1+Satellite!$H34*J$8)*(1+Pricing!$I35*J$9)*J$10</f>
        <v>0.99009444456361617</v>
      </c>
      <c r="D33" s="17">
        <f>(1+Dedicate!$E34*K$4)*(1+Curb!$I34*K$5)*(1+VMT_fee!$K34*K$6)*(1+NOVMT!$K34*K$7)*(1+Satellite!$H34*K$8)*(1+Pricing!$I35*K$9)*K$10</f>
        <v>1.0509139157374481</v>
      </c>
      <c r="E33" s="17">
        <f>(1+Dedicate!$E34*L$4)*(1+Curb!$I34*L$5)*(1+VMT_fee!$K34*L$6)*(1+NOVMT!$K34*L$7)*(1+Satellite!$H34*L$8)*(1+Pricing!$I35*L$9)*L$10</f>
        <v>1.1038567399522701</v>
      </c>
      <c r="F33" s="17">
        <f>(1+Dedicate!$E34*J$4)*(1+Curb!$I34*J$5)*(1+VMT_fee!$K34*J$6)*(1+NOVMT!$K34*J$7)*(1+Satellite!$H34*J$8)*(1+Pricing!$I35*J$9)*J$10</f>
        <v>0.99009444456361617</v>
      </c>
      <c r="G33" s="17">
        <f>(1+Dedicate!$E34*K$4)*(1+Curb!$I34*K$5)*(1+VMT_fee!$K34*K$6)*(1+NOVMT!$K34*K$7)*(1+Satellite!$H34*K$8)*(1+Pricing!$I35*K$9)*K$10</f>
        <v>1.0509139157374481</v>
      </c>
      <c r="H33" s="17">
        <f>(1+Dedicate!$E34*L$4)*(1+Curb!$I34*L$5)*(1+VMT_fee!$K34*L$6)*(1+NOVMT!$K34*L$7)*(1+Satellite!$H34*L$8)*(1+Pricing!$I35*L$9)*L$10</f>
        <v>1.1038567399522701</v>
      </c>
    </row>
    <row r="34" spans="1:8" x14ac:dyDescent="0.25">
      <c r="A34" s="1">
        <f t="shared" si="0"/>
        <v>31</v>
      </c>
      <c r="B34" s="1">
        <f t="shared" si="1"/>
        <v>2048</v>
      </c>
      <c r="C34" s="17">
        <f>(1+Dedicate!$E35*J$4)*(1+Curb!$I35*J$5)*(1+VMT_fee!$K35*J$6)*(1+NOVMT!$K35*J$7)*(1+Satellite!$H35*J$8)*(1+Pricing!$I36*J$9)*J$10</f>
        <v>0.99009444456361617</v>
      </c>
      <c r="D34" s="17">
        <f>(1+Dedicate!$E35*K$4)*(1+Curb!$I35*K$5)*(1+VMT_fee!$K35*K$6)*(1+NOVMT!$K35*K$7)*(1+Satellite!$H35*K$8)*(1+Pricing!$I36*K$9)*K$10</f>
        <v>1.0509139157374481</v>
      </c>
      <c r="E34" s="17">
        <f>(1+Dedicate!$E35*L$4)*(1+Curb!$I35*L$5)*(1+VMT_fee!$K35*L$6)*(1+NOVMT!$K35*L$7)*(1+Satellite!$H35*L$8)*(1+Pricing!$I36*L$9)*L$10</f>
        <v>1.1038567399522701</v>
      </c>
      <c r="F34" s="17">
        <f>(1+Dedicate!$E35*J$4)*(1+Curb!$I35*J$5)*(1+VMT_fee!$K35*J$6)*(1+NOVMT!$K35*J$7)*(1+Satellite!$H35*J$8)*(1+Pricing!$I36*J$9)*J$10</f>
        <v>0.99009444456361617</v>
      </c>
      <c r="G34" s="17">
        <f>(1+Dedicate!$E35*K$4)*(1+Curb!$I35*K$5)*(1+VMT_fee!$K35*K$6)*(1+NOVMT!$K35*K$7)*(1+Satellite!$H35*K$8)*(1+Pricing!$I36*K$9)*K$10</f>
        <v>1.0509139157374481</v>
      </c>
      <c r="H34" s="17">
        <f>(1+Dedicate!$E35*L$4)*(1+Curb!$I35*L$5)*(1+VMT_fee!$K35*L$6)*(1+NOVMT!$K35*L$7)*(1+Satellite!$H35*L$8)*(1+Pricing!$I36*L$9)*L$10</f>
        <v>1.1038567399522701</v>
      </c>
    </row>
    <row r="35" spans="1:8" x14ac:dyDescent="0.25">
      <c r="A35" s="1">
        <f t="shared" si="0"/>
        <v>32</v>
      </c>
      <c r="B35" s="1">
        <f t="shared" si="1"/>
        <v>2049</v>
      </c>
      <c r="C35" s="17">
        <f>(1+Dedicate!$E36*J$4)*(1+Curb!$I36*J$5)*(1+VMT_fee!$K36*J$6)*(1+NOVMT!$K36*J$7)*(1+Satellite!$H36*J$8)*(1+Pricing!$I37*J$9)*J$10</f>
        <v>0.99009444456361617</v>
      </c>
      <c r="D35" s="17">
        <f>(1+Dedicate!$E36*K$4)*(1+Curb!$I36*K$5)*(1+VMT_fee!$K36*K$6)*(1+NOVMT!$K36*K$7)*(1+Satellite!$H36*K$8)*(1+Pricing!$I37*K$9)*K$10</f>
        <v>1.0509139157374481</v>
      </c>
      <c r="E35" s="17">
        <f>(1+Dedicate!$E36*L$4)*(1+Curb!$I36*L$5)*(1+VMT_fee!$K36*L$6)*(1+NOVMT!$K36*L$7)*(1+Satellite!$H36*L$8)*(1+Pricing!$I37*L$9)*L$10</f>
        <v>1.1038567399522701</v>
      </c>
      <c r="F35" s="17">
        <f>(1+Dedicate!$E36*J$4)*(1+Curb!$I36*J$5)*(1+VMT_fee!$K36*J$6)*(1+NOVMT!$K36*J$7)*(1+Satellite!$H36*J$8)*(1+Pricing!$I37*J$9)*J$10</f>
        <v>0.99009444456361617</v>
      </c>
      <c r="G35" s="17">
        <f>(1+Dedicate!$E36*K$4)*(1+Curb!$I36*K$5)*(1+VMT_fee!$K36*K$6)*(1+NOVMT!$K36*K$7)*(1+Satellite!$H36*K$8)*(1+Pricing!$I37*K$9)*K$10</f>
        <v>1.0509139157374481</v>
      </c>
      <c r="H35" s="17">
        <f>(1+Dedicate!$E36*L$4)*(1+Curb!$I36*L$5)*(1+VMT_fee!$K36*L$6)*(1+NOVMT!$K36*L$7)*(1+Satellite!$H36*L$8)*(1+Pricing!$I37*L$9)*L$10</f>
        <v>1.1038567399522701</v>
      </c>
    </row>
    <row r="36" spans="1:8" x14ac:dyDescent="0.25">
      <c r="A36" s="1">
        <f t="shared" si="0"/>
        <v>33</v>
      </c>
      <c r="B36" s="1">
        <f t="shared" si="1"/>
        <v>2050</v>
      </c>
      <c r="C36" s="17">
        <f>(1+Dedicate!$E37*J$4)*(1+Curb!$I37*J$5)*(1+VMT_fee!$K37*J$6)*(1+NOVMT!$K37*J$7)*(1+Satellite!$H37*J$8)*(1+Pricing!$I38*J$9)*J$10</f>
        <v>0.99009444456361617</v>
      </c>
      <c r="D36" s="17">
        <f>(1+Dedicate!$E37*K$4)*(1+Curb!$I37*K$5)*(1+VMT_fee!$K37*K$6)*(1+NOVMT!$K37*K$7)*(1+Satellite!$H37*K$8)*(1+Pricing!$I38*K$9)*K$10</f>
        <v>1.0509139157374481</v>
      </c>
      <c r="E36" s="17">
        <f>(1+Dedicate!$E37*L$4)*(1+Curb!$I37*L$5)*(1+VMT_fee!$K37*L$6)*(1+NOVMT!$K37*L$7)*(1+Satellite!$H37*L$8)*(1+Pricing!$I38*L$9)*L$10</f>
        <v>1.1038567399522701</v>
      </c>
      <c r="F36" s="17">
        <f>(1+Dedicate!$E37*J$4)*(1+Curb!$I37*J$5)*(1+VMT_fee!$K37*J$6)*(1+NOVMT!$K37*J$7)*(1+Satellite!$H37*J$8)*(1+Pricing!$I38*J$9)*J$10</f>
        <v>0.99009444456361617</v>
      </c>
      <c r="G36" s="17">
        <f>(1+Dedicate!$E37*K$4)*(1+Curb!$I37*K$5)*(1+VMT_fee!$K37*K$6)*(1+NOVMT!$K37*K$7)*(1+Satellite!$H37*K$8)*(1+Pricing!$I38*K$9)*K$10</f>
        <v>1.0509139157374481</v>
      </c>
      <c r="H36" s="17">
        <f>(1+Dedicate!$E37*L$4)*(1+Curb!$I37*L$5)*(1+VMT_fee!$K37*L$6)*(1+NOVMT!$K37*L$7)*(1+Satellite!$H37*L$8)*(1+Pricing!$I38*L$9)*L$10</f>
        <v>1.1038567399522701</v>
      </c>
    </row>
    <row r="37" spans="1:8" x14ac:dyDescent="0.25">
      <c r="A37" s="1">
        <f t="shared" si="0"/>
        <v>34</v>
      </c>
      <c r="B37" s="1">
        <f t="shared" si="1"/>
        <v>2051</v>
      </c>
      <c r="C37" s="17">
        <f>(1+Dedicate!$E38*J$4)*(1+Curb!$I38*J$5)*(1+VMT_fee!$K38*J$6)*(1+NOVMT!$K38*J$7)*(1+Satellite!$H38*J$8)*(1+Pricing!$I39*J$9)*J$10</f>
        <v>0.99009444456361617</v>
      </c>
      <c r="D37" s="17">
        <f>(1+Dedicate!$E38*K$4)*(1+Curb!$I38*K$5)*(1+VMT_fee!$K38*K$6)*(1+NOVMT!$K38*K$7)*(1+Satellite!$H38*K$8)*(1+Pricing!$I39*K$9)*K$10</f>
        <v>1.0509139157374481</v>
      </c>
      <c r="E37" s="17">
        <f>(1+Dedicate!$E38*L$4)*(1+Curb!$I38*L$5)*(1+VMT_fee!$K38*L$6)*(1+NOVMT!$K38*L$7)*(1+Satellite!$H38*L$8)*(1+Pricing!$I39*L$9)*L$10</f>
        <v>1.1038567399522701</v>
      </c>
      <c r="F37" s="17">
        <f>(1+Dedicate!$E38*J$4)*(1+Curb!$I38*J$5)*(1+VMT_fee!$K38*J$6)*(1+NOVMT!$K38*J$7)*(1+Satellite!$H38*J$8)*(1+Pricing!$I39*J$9)*J$10</f>
        <v>0.99009444456361617</v>
      </c>
      <c r="G37" s="17">
        <f>(1+Dedicate!$E38*K$4)*(1+Curb!$I38*K$5)*(1+VMT_fee!$K38*K$6)*(1+NOVMT!$K38*K$7)*(1+Satellite!$H38*K$8)*(1+Pricing!$I39*K$9)*K$10</f>
        <v>1.0509139157374481</v>
      </c>
      <c r="H37" s="17">
        <f>(1+Dedicate!$E38*L$4)*(1+Curb!$I38*L$5)*(1+VMT_fee!$K38*L$6)*(1+NOVMT!$K38*L$7)*(1+Satellite!$H38*L$8)*(1+Pricing!$I39*L$9)*L$10</f>
        <v>1.1038567399522701</v>
      </c>
    </row>
    <row r="38" spans="1:8" x14ac:dyDescent="0.25">
      <c r="A38" s="1">
        <f t="shared" si="0"/>
        <v>35</v>
      </c>
      <c r="B38" s="1">
        <f t="shared" si="1"/>
        <v>2052</v>
      </c>
      <c r="C38" s="17">
        <f>(1+Dedicate!$E39*J$4)*(1+Curb!$I39*J$5)*(1+VMT_fee!$K39*J$6)*(1+NOVMT!$K39*J$7)*(1+Satellite!$H39*J$8)*(1+Pricing!$I40*J$9)*J$10</f>
        <v>0.99009444456361617</v>
      </c>
      <c r="D38" s="17">
        <f>(1+Dedicate!$E39*K$4)*(1+Curb!$I39*K$5)*(1+VMT_fee!$K39*K$6)*(1+NOVMT!$K39*K$7)*(1+Satellite!$H39*K$8)*(1+Pricing!$I40*K$9)*K$10</f>
        <v>1.0509139157374481</v>
      </c>
      <c r="E38" s="17">
        <f>(1+Dedicate!$E39*L$4)*(1+Curb!$I39*L$5)*(1+VMT_fee!$K39*L$6)*(1+NOVMT!$K39*L$7)*(1+Satellite!$H39*L$8)*(1+Pricing!$I40*L$9)*L$10</f>
        <v>1.1038567399522701</v>
      </c>
      <c r="F38" s="17">
        <f>(1+Dedicate!$E39*J$4)*(1+Curb!$I39*J$5)*(1+VMT_fee!$K39*J$6)*(1+NOVMT!$K39*J$7)*(1+Satellite!$H39*J$8)*(1+Pricing!$I40*J$9)*J$10</f>
        <v>0.99009444456361617</v>
      </c>
      <c r="G38" s="17">
        <f>(1+Dedicate!$E39*K$4)*(1+Curb!$I39*K$5)*(1+VMT_fee!$K39*K$6)*(1+NOVMT!$K39*K$7)*(1+Satellite!$H39*K$8)*(1+Pricing!$I40*K$9)*K$10</f>
        <v>1.0509139157374481</v>
      </c>
      <c r="H38" s="17">
        <f>(1+Dedicate!$E39*L$4)*(1+Curb!$I39*L$5)*(1+VMT_fee!$K39*L$6)*(1+NOVMT!$K39*L$7)*(1+Satellite!$H39*L$8)*(1+Pricing!$I40*L$9)*L$10</f>
        <v>1.1038567399522701</v>
      </c>
    </row>
    <row r="39" spans="1:8" x14ac:dyDescent="0.25">
      <c r="A39" s="1">
        <f t="shared" si="0"/>
        <v>36</v>
      </c>
      <c r="B39" s="1">
        <f t="shared" si="1"/>
        <v>2053</v>
      </c>
      <c r="C39" s="17">
        <f>(1+Dedicate!$E40*J$4)*(1+Curb!$I40*J$5)*(1+VMT_fee!$K40*J$6)*(1+NOVMT!$K40*J$7)*(1+Satellite!$H40*J$8)*(1+Pricing!$I41*J$9)*J$10</f>
        <v>0.99009444456361617</v>
      </c>
      <c r="D39" s="17">
        <f>(1+Dedicate!$E40*K$4)*(1+Curb!$I40*K$5)*(1+VMT_fee!$K40*K$6)*(1+NOVMT!$K40*K$7)*(1+Satellite!$H40*K$8)*(1+Pricing!$I41*K$9)*K$10</f>
        <v>1.0509139157374481</v>
      </c>
      <c r="E39" s="17">
        <f>(1+Dedicate!$E40*L$4)*(1+Curb!$I40*L$5)*(1+VMT_fee!$K40*L$6)*(1+NOVMT!$K40*L$7)*(1+Satellite!$H40*L$8)*(1+Pricing!$I41*L$9)*L$10</f>
        <v>1.1038567399522701</v>
      </c>
      <c r="F39" s="17">
        <f>(1+Dedicate!$E40*J$4)*(1+Curb!$I40*J$5)*(1+VMT_fee!$K40*J$6)*(1+NOVMT!$K40*J$7)*(1+Satellite!$H40*J$8)*(1+Pricing!$I41*J$9)*J$10</f>
        <v>0.99009444456361617</v>
      </c>
      <c r="G39" s="17">
        <f>(1+Dedicate!$E40*K$4)*(1+Curb!$I40*K$5)*(1+VMT_fee!$K40*K$6)*(1+NOVMT!$K40*K$7)*(1+Satellite!$H40*K$8)*(1+Pricing!$I41*K$9)*K$10</f>
        <v>1.0509139157374481</v>
      </c>
      <c r="H39" s="17">
        <f>(1+Dedicate!$E40*L$4)*(1+Curb!$I40*L$5)*(1+VMT_fee!$K40*L$6)*(1+NOVMT!$K40*L$7)*(1+Satellite!$H40*L$8)*(1+Pricing!$I41*L$9)*L$10</f>
        <v>1.1038567399522701</v>
      </c>
    </row>
    <row r="40" spans="1:8" x14ac:dyDescent="0.25">
      <c r="A40" s="1">
        <f t="shared" si="0"/>
        <v>37</v>
      </c>
      <c r="B40" s="1">
        <f t="shared" si="1"/>
        <v>2054</v>
      </c>
      <c r="C40" s="17">
        <f>(1+Dedicate!$E41*J$4)*(1+Curb!$I41*J$5)*(1+VMT_fee!$K41*J$6)*(1+NOVMT!$K41*J$7)*(1+Satellite!$H41*J$8)*(1+Pricing!$I42*J$9)*J$10</f>
        <v>0.99009444456361617</v>
      </c>
      <c r="D40" s="17">
        <f>(1+Dedicate!$E41*K$4)*(1+Curb!$I41*K$5)*(1+VMT_fee!$K41*K$6)*(1+NOVMT!$K41*K$7)*(1+Satellite!$H41*K$8)*(1+Pricing!$I42*K$9)*K$10</f>
        <v>1.0509139157374481</v>
      </c>
      <c r="E40" s="17">
        <f>(1+Dedicate!$E41*L$4)*(1+Curb!$I41*L$5)*(1+VMT_fee!$K41*L$6)*(1+NOVMT!$K41*L$7)*(1+Satellite!$H41*L$8)*(1+Pricing!$I42*L$9)*L$10</f>
        <v>1.1038567399522701</v>
      </c>
      <c r="F40" s="17">
        <f>(1+Dedicate!$E41*J$4)*(1+Curb!$I41*J$5)*(1+VMT_fee!$K41*J$6)*(1+NOVMT!$K41*J$7)*(1+Satellite!$H41*J$8)*(1+Pricing!$I42*J$9)*J$10</f>
        <v>0.99009444456361617</v>
      </c>
      <c r="G40" s="17">
        <f>(1+Dedicate!$E41*K$4)*(1+Curb!$I41*K$5)*(1+VMT_fee!$K41*K$6)*(1+NOVMT!$K41*K$7)*(1+Satellite!$H41*K$8)*(1+Pricing!$I42*K$9)*K$10</f>
        <v>1.0509139157374481</v>
      </c>
      <c r="H40" s="17">
        <f>(1+Dedicate!$E41*L$4)*(1+Curb!$I41*L$5)*(1+VMT_fee!$K41*L$6)*(1+NOVMT!$K41*L$7)*(1+Satellite!$H41*L$8)*(1+Pricing!$I42*L$9)*L$10</f>
        <v>1.1038567399522701</v>
      </c>
    </row>
    <row r="41" spans="1:8" x14ac:dyDescent="0.25">
      <c r="A41" s="1">
        <f t="shared" si="0"/>
        <v>38</v>
      </c>
      <c r="B41" s="1">
        <f t="shared" si="1"/>
        <v>2055</v>
      </c>
      <c r="C41" s="17">
        <f>(1+Dedicate!$E42*J$4)*(1+Curb!$I42*J$5)*(1+VMT_fee!$K42*J$6)*(1+NOVMT!$K42*J$7)*(1+Satellite!$H42*J$8)*(1+Pricing!$I43*J$9)*J$10</f>
        <v>0.99009444456361617</v>
      </c>
      <c r="D41" s="17">
        <f>(1+Dedicate!$E42*K$4)*(1+Curb!$I42*K$5)*(1+VMT_fee!$K42*K$6)*(1+NOVMT!$K42*K$7)*(1+Satellite!$H42*K$8)*(1+Pricing!$I43*K$9)*K$10</f>
        <v>1.0509139157374481</v>
      </c>
      <c r="E41" s="17">
        <f>(1+Dedicate!$E42*L$4)*(1+Curb!$I42*L$5)*(1+VMT_fee!$K42*L$6)*(1+NOVMT!$K42*L$7)*(1+Satellite!$H42*L$8)*(1+Pricing!$I43*L$9)*L$10</f>
        <v>1.1038567399522701</v>
      </c>
      <c r="F41" s="17">
        <f>(1+Dedicate!$E42*J$4)*(1+Curb!$I42*J$5)*(1+VMT_fee!$K42*J$6)*(1+NOVMT!$K42*J$7)*(1+Satellite!$H42*J$8)*(1+Pricing!$I43*J$9)*J$10</f>
        <v>0.99009444456361617</v>
      </c>
      <c r="G41" s="17">
        <f>(1+Dedicate!$E42*K$4)*(1+Curb!$I42*K$5)*(1+VMT_fee!$K42*K$6)*(1+NOVMT!$K42*K$7)*(1+Satellite!$H42*K$8)*(1+Pricing!$I43*K$9)*K$10</f>
        <v>1.0509139157374481</v>
      </c>
      <c r="H41" s="17">
        <f>(1+Dedicate!$E42*L$4)*(1+Curb!$I42*L$5)*(1+VMT_fee!$K42*L$6)*(1+NOVMT!$K42*L$7)*(1+Satellite!$H42*L$8)*(1+Pricing!$I43*L$9)*L$10</f>
        <v>1.1038567399522701</v>
      </c>
    </row>
    <row r="42" spans="1:8" x14ac:dyDescent="0.25">
      <c r="A42" s="1">
        <f t="shared" si="0"/>
        <v>39</v>
      </c>
      <c r="B42" s="1">
        <f t="shared" si="1"/>
        <v>2056</v>
      </c>
      <c r="C42" s="17">
        <f>(1+Dedicate!$E43*J$4)*(1+Curb!$I43*J$5)*(1+VMT_fee!$K43*J$6)*(1+NOVMT!$K43*J$7)*(1+Satellite!$H43*J$8)*(1+Pricing!$I44*J$9)*J$10</f>
        <v>0.99009444456361617</v>
      </c>
      <c r="D42" s="17">
        <f>(1+Dedicate!$E43*K$4)*(1+Curb!$I43*K$5)*(1+VMT_fee!$K43*K$6)*(1+NOVMT!$K43*K$7)*(1+Satellite!$H43*K$8)*(1+Pricing!$I44*K$9)*K$10</f>
        <v>1.0509139157374481</v>
      </c>
      <c r="E42" s="17">
        <f>(1+Dedicate!$E43*L$4)*(1+Curb!$I43*L$5)*(1+VMT_fee!$K43*L$6)*(1+NOVMT!$K43*L$7)*(1+Satellite!$H43*L$8)*(1+Pricing!$I44*L$9)*L$10</f>
        <v>1.1038567399522701</v>
      </c>
      <c r="F42" s="17">
        <f>(1+Dedicate!$E43*J$4)*(1+Curb!$I43*J$5)*(1+VMT_fee!$K43*J$6)*(1+NOVMT!$K43*J$7)*(1+Satellite!$H43*J$8)*(1+Pricing!$I44*J$9)*J$10</f>
        <v>0.99009444456361617</v>
      </c>
      <c r="G42" s="17">
        <f>(1+Dedicate!$E43*K$4)*(1+Curb!$I43*K$5)*(1+VMT_fee!$K43*K$6)*(1+NOVMT!$K43*K$7)*(1+Satellite!$H43*K$8)*(1+Pricing!$I44*K$9)*K$10</f>
        <v>1.0509139157374481</v>
      </c>
      <c r="H42" s="17">
        <f>(1+Dedicate!$E43*L$4)*(1+Curb!$I43*L$5)*(1+VMT_fee!$K43*L$6)*(1+NOVMT!$K43*L$7)*(1+Satellite!$H43*L$8)*(1+Pricing!$I44*L$9)*L$10</f>
        <v>1.1038567399522701</v>
      </c>
    </row>
    <row r="43" spans="1:8" x14ac:dyDescent="0.25">
      <c r="A43" s="1">
        <f t="shared" si="0"/>
        <v>40</v>
      </c>
      <c r="B43" s="1">
        <f t="shared" si="1"/>
        <v>2057</v>
      </c>
      <c r="C43" s="17">
        <f>(1+Dedicate!$E44*J$4)*(1+Curb!$I44*J$5)*(1+VMT_fee!$K44*J$6)*(1+NOVMT!$K44*J$7)*(1+Satellite!$H44*J$8)*(1+Pricing!$I45*J$9)*J$10</f>
        <v>0.99009444456361617</v>
      </c>
      <c r="D43" s="17">
        <f>(1+Dedicate!$E44*K$4)*(1+Curb!$I44*K$5)*(1+VMT_fee!$K44*K$6)*(1+NOVMT!$K44*K$7)*(1+Satellite!$H44*K$8)*(1+Pricing!$I45*K$9)*K$10</f>
        <v>1.0509139157374481</v>
      </c>
      <c r="E43" s="17">
        <f>(1+Dedicate!$E44*L$4)*(1+Curb!$I44*L$5)*(1+VMT_fee!$K44*L$6)*(1+NOVMT!$K44*L$7)*(1+Satellite!$H44*L$8)*(1+Pricing!$I45*L$9)*L$10</f>
        <v>1.1038567399522701</v>
      </c>
      <c r="F43" s="17">
        <f>(1+Dedicate!$E44*J$4)*(1+Curb!$I44*J$5)*(1+VMT_fee!$K44*J$6)*(1+NOVMT!$K44*J$7)*(1+Satellite!$H44*J$8)*(1+Pricing!$I45*J$9)*J$10</f>
        <v>0.99009444456361617</v>
      </c>
      <c r="G43" s="17">
        <f>(1+Dedicate!$E44*K$4)*(1+Curb!$I44*K$5)*(1+VMT_fee!$K44*K$6)*(1+NOVMT!$K44*K$7)*(1+Satellite!$H44*K$8)*(1+Pricing!$I45*K$9)*K$10</f>
        <v>1.0509139157374481</v>
      </c>
      <c r="H43" s="17">
        <f>(1+Dedicate!$E44*L$4)*(1+Curb!$I44*L$5)*(1+VMT_fee!$K44*L$6)*(1+NOVMT!$K44*L$7)*(1+Satellite!$H44*L$8)*(1+Pricing!$I45*L$9)*L$10</f>
        <v>1.1038567399522701</v>
      </c>
    </row>
    <row r="44" spans="1:8" x14ac:dyDescent="0.25">
      <c r="A44" s="1">
        <f t="shared" si="0"/>
        <v>41</v>
      </c>
      <c r="B44" s="1">
        <f t="shared" si="1"/>
        <v>2058</v>
      </c>
      <c r="C44" s="17">
        <f>(1+Dedicate!$E45*J$4)*(1+Curb!$I45*J$5)*(1+VMT_fee!$K45*J$6)*(1+NOVMT!$K45*J$7)*(1+Satellite!$H45*J$8)*(1+Pricing!$I46*J$9)*J$10</f>
        <v>0.99009444456361617</v>
      </c>
      <c r="D44" s="17">
        <f>(1+Dedicate!$E45*K$4)*(1+Curb!$I45*K$5)*(1+VMT_fee!$K45*K$6)*(1+NOVMT!$K45*K$7)*(1+Satellite!$H45*K$8)*(1+Pricing!$I46*K$9)*K$10</f>
        <v>1.0509139157374481</v>
      </c>
      <c r="E44" s="17">
        <f>(1+Dedicate!$E45*L$4)*(1+Curb!$I45*L$5)*(1+VMT_fee!$K45*L$6)*(1+NOVMT!$K45*L$7)*(1+Satellite!$H45*L$8)*(1+Pricing!$I46*L$9)*L$10</f>
        <v>1.1038567399522701</v>
      </c>
      <c r="F44" s="17">
        <f>(1+Dedicate!$E45*J$4)*(1+Curb!$I45*J$5)*(1+VMT_fee!$K45*J$6)*(1+NOVMT!$K45*J$7)*(1+Satellite!$H45*J$8)*(1+Pricing!$I46*J$9)*J$10</f>
        <v>0.99009444456361617</v>
      </c>
      <c r="G44" s="17">
        <f>(1+Dedicate!$E45*K$4)*(1+Curb!$I45*K$5)*(1+VMT_fee!$K45*K$6)*(1+NOVMT!$K45*K$7)*(1+Satellite!$H45*K$8)*(1+Pricing!$I46*K$9)*K$10</f>
        <v>1.0509139157374481</v>
      </c>
      <c r="H44" s="17">
        <f>(1+Dedicate!$E45*L$4)*(1+Curb!$I45*L$5)*(1+VMT_fee!$K45*L$6)*(1+NOVMT!$K45*L$7)*(1+Satellite!$H45*L$8)*(1+Pricing!$I46*L$9)*L$10</f>
        <v>1.1038567399522701</v>
      </c>
    </row>
    <row r="45" spans="1:8" x14ac:dyDescent="0.25">
      <c r="A45" s="1">
        <f t="shared" si="0"/>
        <v>42</v>
      </c>
      <c r="B45" s="1">
        <f t="shared" si="1"/>
        <v>2059</v>
      </c>
      <c r="C45" s="17">
        <f>(1+Dedicate!$E46*J$4)*(1+Curb!$I46*J$5)*(1+VMT_fee!$K46*J$6)*(1+NOVMT!$K46*J$7)*(1+Satellite!$H46*J$8)*(1+Pricing!$I47*J$9)*J$10</f>
        <v>0.99009444456361617</v>
      </c>
      <c r="D45" s="17">
        <f>(1+Dedicate!$E46*K$4)*(1+Curb!$I46*K$5)*(1+VMT_fee!$K46*K$6)*(1+NOVMT!$K46*K$7)*(1+Satellite!$H46*K$8)*(1+Pricing!$I47*K$9)*K$10</f>
        <v>1.0509139157374481</v>
      </c>
      <c r="E45" s="17">
        <f>(1+Dedicate!$E46*L$4)*(1+Curb!$I46*L$5)*(1+VMT_fee!$K46*L$6)*(1+NOVMT!$K46*L$7)*(1+Satellite!$H46*L$8)*(1+Pricing!$I47*L$9)*L$10</f>
        <v>1.1038567399522701</v>
      </c>
      <c r="F45" s="17">
        <f>(1+Dedicate!$E46*J$4)*(1+Curb!$I46*J$5)*(1+VMT_fee!$K46*J$6)*(1+NOVMT!$K46*J$7)*(1+Satellite!$H46*J$8)*(1+Pricing!$I47*J$9)*J$10</f>
        <v>0.99009444456361617</v>
      </c>
      <c r="G45" s="17">
        <f>(1+Dedicate!$E46*K$4)*(1+Curb!$I46*K$5)*(1+VMT_fee!$K46*K$6)*(1+NOVMT!$K46*K$7)*(1+Satellite!$H46*K$8)*(1+Pricing!$I47*K$9)*K$10</f>
        <v>1.0509139157374481</v>
      </c>
      <c r="H45" s="17">
        <f>(1+Dedicate!$E46*L$4)*(1+Curb!$I46*L$5)*(1+VMT_fee!$K46*L$6)*(1+NOVMT!$K46*L$7)*(1+Satellite!$H46*L$8)*(1+Pricing!$I47*L$9)*L$10</f>
        <v>1.1038567399522701</v>
      </c>
    </row>
    <row r="46" spans="1:8" x14ac:dyDescent="0.25">
      <c r="A46" s="1">
        <f t="shared" si="0"/>
        <v>43</v>
      </c>
      <c r="B46" s="1">
        <f t="shared" si="1"/>
        <v>2060</v>
      </c>
      <c r="C46" s="17">
        <f>(1+Dedicate!$E47*J$4)*(1+Curb!$I47*J$5)*(1+VMT_fee!$K47*J$6)*(1+NOVMT!$K47*J$7)*(1+Satellite!$H47*J$8)*(1+Pricing!$I48*J$9)*J$10</f>
        <v>0.99009444456361617</v>
      </c>
      <c r="D46" s="17">
        <f>(1+Dedicate!$E47*K$4)*(1+Curb!$I47*K$5)*(1+VMT_fee!$K47*K$6)*(1+NOVMT!$K47*K$7)*(1+Satellite!$H47*K$8)*(1+Pricing!$I48*K$9)*K$10</f>
        <v>1.0509139157374481</v>
      </c>
      <c r="E46" s="17">
        <f>(1+Dedicate!$E47*L$4)*(1+Curb!$I47*L$5)*(1+VMT_fee!$K47*L$6)*(1+NOVMT!$K47*L$7)*(1+Satellite!$H47*L$8)*(1+Pricing!$I48*L$9)*L$10</f>
        <v>1.1038567399522701</v>
      </c>
      <c r="F46" s="17">
        <f>(1+Dedicate!$E47*J$4)*(1+Curb!$I47*J$5)*(1+VMT_fee!$K47*J$6)*(1+NOVMT!$K47*J$7)*(1+Satellite!$H47*J$8)*(1+Pricing!$I48*J$9)*J$10</f>
        <v>0.99009444456361617</v>
      </c>
      <c r="G46" s="17">
        <f>(1+Dedicate!$E47*K$4)*(1+Curb!$I47*K$5)*(1+VMT_fee!$K47*K$6)*(1+NOVMT!$K47*K$7)*(1+Satellite!$H47*K$8)*(1+Pricing!$I48*K$9)*K$10</f>
        <v>1.0509139157374481</v>
      </c>
      <c r="H46" s="17">
        <f>(1+Dedicate!$E47*L$4)*(1+Curb!$I47*L$5)*(1+VMT_fee!$K47*L$6)*(1+NOVMT!$K47*L$7)*(1+Satellite!$H47*L$8)*(1+Pricing!$I48*L$9)*L$10</f>
        <v>1.1038567399522701</v>
      </c>
    </row>
    <row r="47" spans="1:8" x14ac:dyDescent="0.25">
      <c r="A47" s="1">
        <f t="shared" si="0"/>
        <v>44</v>
      </c>
      <c r="B47" s="1">
        <f t="shared" si="1"/>
        <v>2061</v>
      </c>
      <c r="C47" s="17">
        <f>(1+Dedicate!$E48*J$4)*(1+Curb!$I48*J$5)*(1+VMT_fee!$K48*J$6)*(1+NOVMT!$K48*J$7)*(1+Satellite!$H48*J$8)*(1+Pricing!$I49*J$9)*J$10</f>
        <v>0.99009444456361617</v>
      </c>
      <c r="D47" s="17">
        <f>(1+Dedicate!$E48*K$4)*(1+Curb!$I48*K$5)*(1+VMT_fee!$K48*K$6)*(1+NOVMT!$K48*K$7)*(1+Satellite!$H48*K$8)*(1+Pricing!$I49*K$9)*K$10</f>
        <v>1.0509139157374481</v>
      </c>
      <c r="E47" s="17">
        <f>(1+Dedicate!$E48*L$4)*(1+Curb!$I48*L$5)*(1+VMT_fee!$K48*L$6)*(1+NOVMT!$K48*L$7)*(1+Satellite!$H48*L$8)*(1+Pricing!$I49*L$9)*L$10</f>
        <v>1.1038567399522701</v>
      </c>
      <c r="F47" s="17">
        <f>(1+Dedicate!$E48*J$4)*(1+Curb!$I48*J$5)*(1+VMT_fee!$K48*J$6)*(1+NOVMT!$K48*J$7)*(1+Satellite!$H48*J$8)*(1+Pricing!$I49*J$9)*J$10</f>
        <v>0.99009444456361617</v>
      </c>
      <c r="G47" s="17">
        <f>(1+Dedicate!$E48*K$4)*(1+Curb!$I48*K$5)*(1+VMT_fee!$K48*K$6)*(1+NOVMT!$K48*K$7)*(1+Satellite!$H48*K$8)*(1+Pricing!$I49*K$9)*K$10</f>
        <v>1.0509139157374481</v>
      </c>
      <c r="H47" s="17">
        <f>(1+Dedicate!$E48*L$4)*(1+Curb!$I48*L$5)*(1+VMT_fee!$K48*L$6)*(1+NOVMT!$K48*L$7)*(1+Satellite!$H48*L$8)*(1+Pricing!$I49*L$9)*L$10</f>
        <v>1.1038567399522701</v>
      </c>
    </row>
    <row r="48" spans="1:8" x14ac:dyDescent="0.25">
      <c r="A48" s="1">
        <f t="shared" si="0"/>
        <v>45</v>
      </c>
      <c r="B48" s="1">
        <f t="shared" si="1"/>
        <v>2062</v>
      </c>
      <c r="C48" s="17">
        <f>(1+Dedicate!$E49*J$4)*(1+Curb!$I49*J$5)*(1+VMT_fee!$K49*J$6)*(1+NOVMT!$K49*J$7)*(1+Satellite!$H49*J$8)*(1+Pricing!$I50*J$9)*J$10</f>
        <v>0.99009444456361617</v>
      </c>
      <c r="D48" s="17">
        <f>(1+Dedicate!$E49*K$4)*(1+Curb!$I49*K$5)*(1+VMT_fee!$K49*K$6)*(1+NOVMT!$K49*K$7)*(1+Satellite!$H49*K$8)*(1+Pricing!$I50*K$9)*K$10</f>
        <v>1.0509139157374481</v>
      </c>
      <c r="E48" s="17">
        <f>(1+Dedicate!$E49*L$4)*(1+Curb!$I49*L$5)*(1+VMT_fee!$K49*L$6)*(1+NOVMT!$K49*L$7)*(1+Satellite!$H49*L$8)*(1+Pricing!$I50*L$9)*L$10</f>
        <v>1.1038567399522701</v>
      </c>
      <c r="F48" s="17">
        <f>(1+Dedicate!$E49*J$4)*(1+Curb!$I49*J$5)*(1+VMT_fee!$K49*J$6)*(1+NOVMT!$K49*J$7)*(1+Satellite!$H49*J$8)*(1+Pricing!$I50*J$9)*J$10</f>
        <v>0.99009444456361617</v>
      </c>
      <c r="G48" s="17">
        <f>(1+Dedicate!$E49*K$4)*(1+Curb!$I49*K$5)*(1+VMT_fee!$K49*K$6)*(1+NOVMT!$K49*K$7)*(1+Satellite!$H49*K$8)*(1+Pricing!$I50*K$9)*K$10</f>
        <v>1.0509139157374481</v>
      </c>
      <c r="H48" s="17">
        <f>(1+Dedicate!$E49*L$4)*(1+Curb!$I49*L$5)*(1+VMT_fee!$K49*L$6)*(1+NOVMT!$K49*L$7)*(1+Satellite!$H49*L$8)*(1+Pricing!$I50*L$9)*L$10</f>
        <v>1.1038567399522701</v>
      </c>
    </row>
    <row r="49" spans="1:8" x14ac:dyDescent="0.25">
      <c r="A49" s="1">
        <f t="shared" si="0"/>
        <v>46</v>
      </c>
      <c r="B49" s="1">
        <f t="shared" si="1"/>
        <v>2063</v>
      </c>
      <c r="C49" s="17">
        <f>(1+Dedicate!$E50*J$4)*(1+Curb!$I50*J$5)*(1+VMT_fee!$K50*J$6)*(1+NOVMT!$K50*J$7)*(1+Satellite!$H50*J$8)*(1+Pricing!$I51*J$9)*J$10</f>
        <v>0.99009444456361617</v>
      </c>
      <c r="D49" s="17">
        <f>(1+Dedicate!$E50*K$4)*(1+Curb!$I50*K$5)*(1+VMT_fee!$K50*K$6)*(1+NOVMT!$K50*K$7)*(1+Satellite!$H50*K$8)*(1+Pricing!$I51*K$9)*K$10</f>
        <v>1.0509139157374481</v>
      </c>
      <c r="E49" s="17">
        <f>(1+Dedicate!$E50*L$4)*(1+Curb!$I50*L$5)*(1+VMT_fee!$K50*L$6)*(1+NOVMT!$K50*L$7)*(1+Satellite!$H50*L$8)*(1+Pricing!$I51*L$9)*L$10</f>
        <v>1.1038567399522701</v>
      </c>
      <c r="F49" s="17">
        <f>(1+Dedicate!$E50*J$4)*(1+Curb!$I50*J$5)*(1+VMT_fee!$K50*J$6)*(1+NOVMT!$K50*J$7)*(1+Satellite!$H50*J$8)*(1+Pricing!$I51*J$9)*J$10</f>
        <v>0.99009444456361617</v>
      </c>
      <c r="G49" s="17">
        <f>(1+Dedicate!$E50*K$4)*(1+Curb!$I50*K$5)*(1+VMT_fee!$K50*K$6)*(1+NOVMT!$K50*K$7)*(1+Satellite!$H50*K$8)*(1+Pricing!$I51*K$9)*K$10</f>
        <v>1.0509139157374481</v>
      </c>
      <c r="H49" s="17">
        <f>(1+Dedicate!$E50*L$4)*(1+Curb!$I50*L$5)*(1+VMT_fee!$K50*L$6)*(1+NOVMT!$K50*L$7)*(1+Satellite!$H50*L$8)*(1+Pricing!$I51*L$9)*L$10</f>
        <v>1.1038567399522701</v>
      </c>
    </row>
    <row r="50" spans="1:8" x14ac:dyDescent="0.25">
      <c r="A50" s="1">
        <f t="shared" si="0"/>
        <v>47</v>
      </c>
      <c r="B50" s="1">
        <f t="shared" si="1"/>
        <v>2064</v>
      </c>
      <c r="C50" s="17">
        <f>(1+Dedicate!$E51*J$4)*(1+Curb!$I51*J$5)*(1+VMT_fee!$K51*J$6)*(1+NOVMT!$K51*J$7)*(1+Satellite!$H51*J$8)*(1+Pricing!$I52*J$9)*J$10</f>
        <v>0.99009444456361617</v>
      </c>
      <c r="D50" s="17">
        <f>(1+Dedicate!$E51*K$4)*(1+Curb!$I51*K$5)*(1+VMT_fee!$K51*K$6)*(1+NOVMT!$K51*K$7)*(1+Satellite!$H51*K$8)*(1+Pricing!$I52*K$9)*K$10</f>
        <v>1.0509139157374481</v>
      </c>
      <c r="E50" s="17">
        <f>(1+Dedicate!$E51*L$4)*(1+Curb!$I51*L$5)*(1+VMT_fee!$K51*L$6)*(1+NOVMT!$K51*L$7)*(1+Satellite!$H51*L$8)*(1+Pricing!$I52*L$9)*L$10</f>
        <v>1.1038567399522701</v>
      </c>
      <c r="F50" s="17">
        <f>(1+Dedicate!$E51*J$4)*(1+Curb!$I51*J$5)*(1+VMT_fee!$K51*J$6)*(1+NOVMT!$K51*J$7)*(1+Satellite!$H51*J$8)*(1+Pricing!$I52*J$9)*J$10</f>
        <v>0.99009444456361617</v>
      </c>
      <c r="G50" s="17">
        <f>(1+Dedicate!$E51*K$4)*(1+Curb!$I51*K$5)*(1+VMT_fee!$K51*K$6)*(1+NOVMT!$K51*K$7)*(1+Satellite!$H51*K$8)*(1+Pricing!$I52*K$9)*K$10</f>
        <v>1.0509139157374481</v>
      </c>
      <c r="H50" s="17">
        <f>(1+Dedicate!$E51*L$4)*(1+Curb!$I51*L$5)*(1+VMT_fee!$K51*L$6)*(1+NOVMT!$K51*L$7)*(1+Satellite!$H51*L$8)*(1+Pricing!$I52*L$9)*L$10</f>
        <v>1.1038567399522701</v>
      </c>
    </row>
    <row r="51" spans="1:8" x14ac:dyDescent="0.25">
      <c r="A51" s="1">
        <f t="shared" si="0"/>
        <v>48</v>
      </c>
      <c r="B51" s="1">
        <f t="shared" si="1"/>
        <v>2065</v>
      </c>
      <c r="C51" s="17">
        <f>(1+Dedicate!$E52*J$4)*(1+Curb!$I52*J$5)*(1+VMT_fee!$K52*J$6)*(1+NOVMT!$K52*J$7)*(1+Satellite!$H52*J$8)*(1+Pricing!$I53*J$9)*J$10</f>
        <v>0.99009444456361617</v>
      </c>
      <c r="D51" s="17">
        <f>(1+Dedicate!$E52*K$4)*(1+Curb!$I52*K$5)*(1+VMT_fee!$K52*K$6)*(1+NOVMT!$K52*K$7)*(1+Satellite!$H52*K$8)*(1+Pricing!$I53*K$9)*K$10</f>
        <v>1.0509139157374481</v>
      </c>
      <c r="E51" s="17">
        <f>(1+Dedicate!$E52*L$4)*(1+Curb!$I52*L$5)*(1+VMT_fee!$K52*L$6)*(1+NOVMT!$K52*L$7)*(1+Satellite!$H52*L$8)*(1+Pricing!$I53*L$9)*L$10</f>
        <v>1.1038567399522701</v>
      </c>
      <c r="F51" s="17">
        <f>(1+Dedicate!$E52*J$4)*(1+Curb!$I52*J$5)*(1+VMT_fee!$K52*J$6)*(1+NOVMT!$K52*J$7)*(1+Satellite!$H52*J$8)*(1+Pricing!$I53*J$9)*J$10</f>
        <v>0.99009444456361617</v>
      </c>
      <c r="G51" s="17">
        <f>(1+Dedicate!$E52*K$4)*(1+Curb!$I52*K$5)*(1+VMT_fee!$K52*K$6)*(1+NOVMT!$K52*K$7)*(1+Satellite!$H52*K$8)*(1+Pricing!$I53*K$9)*K$10</f>
        <v>1.0509139157374481</v>
      </c>
      <c r="H51" s="17">
        <f>(1+Dedicate!$E52*L$4)*(1+Curb!$I52*L$5)*(1+VMT_fee!$K52*L$6)*(1+NOVMT!$K52*L$7)*(1+Satellite!$H52*L$8)*(1+Pricing!$I53*L$9)*L$10</f>
        <v>1.1038567399522701</v>
      </c>
    </row>
    <row r="52" spans="1:8" x14ac:dyDescent="0.25">
      <c r="A52" s="1">
        <f t="shared" si="0"/>
        <v>49</v>
      </c>
      <c r="B52" s="1">
        <f t="shared" si="1"/>
        <v>2066</v>
      </c>
      <c r="C52" s="17">
        <f>(1+Dedicate!$E53*J$4)*(1+Curb!$I53*J$5)*(1+VMT_fee!$K53*J$6)*(1+NOVMT!$K53*J$7)*(1+Satellite!$H53*J$8)*(1+Pricing!$I54*J$9)*J$10</f>
        <v>0.99009444456361617</v>
      </c>
      <c r="D52" s="17">
        <f>(1+Dedicate!$E53*K$4)*(1+Curb!$I53*K$5)*(1+VMT_fee!$K53*K$6)*(1+NOVMT!$K53*K$7)*(1+Satellite!$H53*K$8)*(1+Pricing!$I54*K$9)*K$10</f>
        <v>1.0509139157374481</v>
      </c>
      <c r="E52" s="17">
        <f>(1+Dedicate!$E53*L$4)*(1+Curb!$I53*L$5)*(1+VMT_fee!$K53*L$6)*(1+NOVMT!$K53*L$7)*(1+Satellite!$H53*L$8)*(1+Pricing!$I54*L$9)*L$10</f>
        <v>1.1038567399522701</v>
      </c>
      <c r="F52" s="17">
        <f>(1+Dedicate!$E53*J$4)*(1+Curb!$I53*J$5)*(1+VMT_fee!$K53*J$6)*(1+NOVMT!$K53*J$7)*(1+Satellite!$H53*J$8)*(1+Pricing!$I54*J$9)*J$10</f>
        <v>0.99009444456361617</v>
      </c>
      <c r="G52" s="17">
        <f>(1+Dedicate!$E53*K$4)*(1+Curb!$I53*K$5)*(1+VMT_fee!$K53*K$6)*(1+NOVMT!$K53*K$7)*(1+Satellite!$H53*K$8)*(1+Pricing!$I54*K$9)*K$10</f>
        <v>1.0509139157374481</v>
      </c>
      <c r="H52" s="17">
        <f>(1+Dedicate!$E53*L$4)*(1+Curb!$I53*L$5)*(1+VMT_fee!$K53*L$6)*(1+NOVMT!$K53*L$7)*(1+Satellite!$H53*L$8)*(1+Pricing!$I54*L$9)*L$10</f>
        <v>1.1038567399522701</v>
      </c>
    </row>
    <row r="53" spans="1:8" x14ac:dyDescent="0.25">
      <c r="A53" s="1">
        <f t="shared" si="0"/>
        <v>50</v>
      </c>
      <c r="B53" s="1">
        <f t="shared" si="1"/>
        <v>2067</v>
      </c>
      <c r="C53" s="17">
        <f>(1+Dedicate!$E54*J$4)*(1+Curb!$I54*J$5)*(1+VMT_fee!$K54*J$6)*(1+NOVMT!$K54*J$7)*(1+Satellite!$H54*J$8)*(1+Pricing!$I55*J$9)*J$10</f>
        <v>0.99009444456361617</v>
      </c>
      <c r="D53" s="17">
        <f>(1+Dedicate!$E54*K$4)*(1+Curb!$I54*K$5)*(1+VMT_fee!$K54*K$6)*(1+NOVMT!$K54*K$7)*(1+Satellite!$H54*K$8)*(1+Pricing!$I55*K$9)*K$10</f>
        <v>1.0509139157374481</v>
      </c>
      <c r="E53" s="17">
        <f>(1+Dedicate!$E54*L$4)*(1+Curb!$I54*L$5)*(1+VMT_fee!$K54*L$6)*(1+NOVMT!$K54*L$7)*(1+Satellite!$H54*L$8)*(1+Pricing!$I55*L$9)*L$10</f>
        <v>1.1038567399522701</v>
      </c>
      <c r="F53" s="17">
        <f>(1+Dedicate!$E54*J$4)*(1+Curb!$I54*J$5)*(1+VMT_fee!$K54*J$6)*(1+NOVMT!$K54*J$7)*(1+Satellite!$H54*J$8)*(1+Pricing!$I55*J$9)*J$10</f>
        <v>0.99009444456361617</v>
      </c>
      <c r="G53" s="17">
        <f>(1+Dedicate!$E54*K$4)*(1+Curb!$I54*K$5)*(1+VMT_fee!$K54*K$6)*(1+NOVMT!$K54*K$7)*(1+Satellite!$H54*K$8)*(1+Pricing!$I55*K$9)*K$10</f>
        <v>1.0509139157374481</v>
      </c>
      <c r="H53" s="17">
        <f>(1+Dedicate!$E54*L$4)*(1+Curb!$I54*L$5)*(1+VMT_fee!$K54*L$6)*(1+NOVMT!$K54*L$7)*(1+Satellite!$H54*L$8)*(1+Pricing!$I55*L$9)*L$10</f>
        <v>1.1038567399522701</v>
      </c>
    </row>
    <row r="54" spans="1:8" x14ac:dyDescent="0.25">
      <c r="A54" s="1">
        <f t="shared" si="0"/>
        <v>51</v>
      </c>
      <c r="B54" s="1">
        <f t="shared" si="1"/>
        <v>2068</v>
      </c>
      <c r="C54" s="17">
        <f>(1+Dedicate!$E55*J$4)*(1+Curb!$I55*J$5)*(1+VMT_fee!$K55*J$6)*(1+NOVMT!$K55*J$7)*(1+Satellite!$H55*J$8)*(1+Pricing!$I56*J$9)*J$10</f>
        <v>0.99009444456361617</v>
      </c>
      <c r="D54" s="17">
        <f>(1+Dedicate!$E55*K$4)*(1+Curb!$I55*K$5)*(1+VMT_fee!$K55*K$6)*(1+NOVMT!$K55*K$7)*(1+Satellite!$H55*K$8)*(1+Pricing!$I56*K$9)*K$10</f>
        <v>1.0509139157374481</v>
      </c>
      <c r="E54" s="17">
        <f>(1+Dedicate!$E55*L$4)*(1+Curb!$I55*L$5)*(1+VMT_fee!$K55*L$6)*(1+NOVMT!$K55*L$7)*(1+Satellite!$H55*L$8)*(1+Pricing!$I56*L$9)*L$10</f>
        <v>1.1038567399522701</v>
      </c>
      <c r="F54" s="17">
        <f>(1+Dedicate!$E55*J$4)*(1+Curb!$I55*J$5)*(1+VMT_fee!$K55*J$6)*(1+NOVMT!$K55*J$7)*(1+Satellite!$H55*J$8)*(1+Pricing!$I56*J$9)*J$10</f>
        <v>0.99009444456361617</v>
      </c>
      <c r="G54" s="17">
        <f>(1+Dedicate!$E55*K$4)*(1+Curb!$I55*K$5)*(1+VMT_fee!$K55*K$6)*(1+NOVMT!$K55*K$7)*(1+Satellite!$H55*K$8)*(1+Pricing!$I56*K$9)*K$10</f>
        <v>1.0509139157374481</v>
      </c>
      <c r="H54" s="17">
        <f>(1+Dedicate!$E55*L$4)*(1+Curb!$I55*L$5)*(1+VMT_fee!$K55*L$6)*(1+NOVMT!$K55*L$7)*(1+Satellite!$H55*L$8)*(1+Pricing!$I56*L$9)*L$10</f>
        <v>1.1038567399522701</v>
      </c>
    </row>
    <row r="55" spans="1:8" x14ac:dyDescent="0.25">
      <c r="A55" s="1">
        <f t="shared" si="0"/>
        <v>52</v>
      </c>
      <c r="B55" s="1">
        <f t="shared" si="1"/>
        <v>2069</v>
      </c>
      <c r="C55" s="17">
        <f>(1+Dedicate!$E56*J$4)*(1+Curb!$I56*J$5)*(1+VMT_fee!$K56*J$6)*(1+NOVMT!$K56*J$7)*(1+Satellite!$H56*J$8)*(1+Pricing!$I57*J$9)*J$10</f>
        <v>0.99009444456361617</v>
      </c>
      <c r="D55" s="17">
        <f>(1+Dedicate!$E56*K$4)*(1+Curb!$I56*K$5)*(1+VMT_fee!$K56*K$6)*(1+NOVMT!$K56*K$7)*(1+Satellite!$H56*K$8)*(1+Pricing!$I57*K$9)*K$10</f>
        <v>1.0509139157374481</v>
      </c>
      <c r="E55" s="17">
        <f>(1+Dedicate!$E56*L$4)*(1+Curb!$I56*L$5)*(1+VMT_fee!$K56*L$6)*(1+NOVMT!$K56*L$7)*(1+Satellite!$H56*L$8)*(1+Pricing!$I57*L$9)*L$10</f>
        <v>1.1038567399522701</v>
      </c>
      <c r="F55" s="17">
        <f>(1+Dedicate!$E56*J$4)*(1+Curb!$I56*J$5)*(1+VMT_fee!$K56*J$6)*(1+NOVMT!$K56*J$7)*(1+Satellite!$H56*J$8)*(1+Pricing!$I57*J$9)*J$10</f>
        <v>0.99009444456361617</v>
      </c>
      <c r="G55" s="17">
        <f>(1+Dedicate!$E56*K$4)*(1+Curb!$I56*K$5)*(1+VMT_fee!$K56*K$6)*(1+NOVMT!$K56*K$7)*(1+Satellite!$H56*K$8)*(1+Pricing!$I57*K$9)*K$10</f>
        <v>1.0509139157374481</v>
      </c>
      <c r="H55" s="17">
        <f>(1+Dedicate!$E56*L$4)*(1+Curb!$I56*L$5)*(1+VMT_fee!$K56*L$6)*(1+NOVMT!$K56*L$7)*(1+Satellite!$H56*L$8)*(1+Pricing!$I57*L$9)*L$10</f>
        <v>1.1038567399522701</v>
      </c>
    </row>
    <row r="56" spans="1:8" x14ac:dyDescent="0.25">
      <c r="A56" s="1">
        <f t="shared" si="0"/>
        <v>53</v>
      </c>
      <c r="B56" s="1">
        <f t="shared" si="1"/>
        <v>2070</v>
      </c>
      <c r="C56" s="17">
        <f>(1+Dedicate!$E57*J$4)*(1+Curb!$I57*J$5)*(1+VMT_fee!$K57*J$6)*(1+NOVMT!$K57*J$7)*(1+Satellite!$H57*J$8)*(1+Pricing!$I58*J$9)*J$10</f>
        <v>0.99009444456361617</v>
      </c>
      <c r="D56" s="17">
        <f>(1+Dedicate!$E57*K$4)*(1+Curb!$I57*K$5)*(1+VMT_fee!$K57*K$6)*(1+NOVMT!$K57*K$7)*(1+Satellite!$H57*K$8)*(1+Pricing!$I58*K$9)*K$10</f>
        <v>1.0509139157374481</v>
      </c>
      <c r="E56" s="17">
        <f>(1+Dedicate!$E57*L$4)*(1+Curb!$I57*L$5)*(1+VMT_fee!$K57*L$6)*(1+NOVMT!$K57*L$7)*(1+Satellite!$H57*L$8)*(1+Pricing!$I58*L$9)*L$10</f>
        <v>1.1038567399522701</v>
      </c>
      <c r="F56" s="17">
        <f>(1+Dedicate!$E57*J$4)*(1+Curb!$I57*J$5)*(1+VMT_fee!$K57*J$6)*(1+NOVMT!$K57*J$7)*(1+Satellite!$H57*J$8)*(1+Pricing!$I58*J$9)*J$10</f>
        <v>0.99009444456361617</v>
      </c>
      <c r="G56" s="17">
        <f>(1+Dedicate!$E57*K$4)*(1+Curb!$I57*K$5)*(1+VMT_fee!$K57*K$6)*(1+NOVMT!$K57*K$7)*(1+Satellite!$H57*K$8)*(1+Pricing!$I58*K$9)*K$10</f>
        <v>1.0509139157374481</v>
      </c>
      <c r="H56" s="17">
        <f>(1+Dedicate!$E57*L$4)*(1+Curb!$I57*L$5)*(1+VMT_fee!$K57*L$6)*(1+NOVMT!$K57*L$7)*(1+Satellite!$H57*L$8)*(1+Pricing!$I58*L$9)*L$10</f>
        <v>1.1038567399522701</v>
      </c>
    </row>
  </sheetData>
  <mergeCells count="1">
    <mergeCell ref="C2:H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56"/>
  <sheetViews>
    <sheetView workbookViewId="0">
      <selection activeCell="L12" sqref="L12"/>
    </sheetView>
  </sheetViews>
  <sheetFormatPr defaultRowHeight="15" x14ac:dyDescent="0.25"/>
  <cols>
    <col min="1" max="1" width="7.28515625" style="40" customWidth="1"/>
    <col min="2" max="2" width="8.85546875" style="40" customWidth="1"/>
    <col min="3" max="8" width="13.7109375" customWidth="1"/>
    <col min="11" max="11" width="9.140625" style="15"/>
  </cols>
  <sheetData>
    <row r="1" spans="1:16" ht="15.75" x14ac:dyDescent="0.25">
      <c r="A1" s="33" t="s">
        <v>147</v>
      </c>
    </row>
    <row r="2" spans="1:16" ht="20.25" customHeight="1" x14ac:dyDescent="0.25">
      <c r="C2" s="177" t="s">
        <v>6</v>
      </c>
      <c r="D2" s="177"/>
      <c r="E2" s="177"/>
      <c r="F2" s="177"/>
      <c r="G2" s="177"/>
      <c r="H2" s="177"/>
    </row>
    <row r="3" spans="1:16" x14ac:dyDescent="0.25">
      <c r="B3" s="40" t="s">
        <v>97</v>
      </c>
      <c r="C3" s="40" t="s">
        <v>0</v>
      </c>
      <c r="D3" s="40" t="s">
        <v>1</v>
      </c>
      <c r="E3" s="40" t="s">
        <v>2</v>
      </c>
      <c r="F3" s="40" t="s">
        <v>3</v>
      </c>
      <c r="G3" s="40" t="s">
        <v>4</v>
      </c>
      <c r="H3" s="40" t="s">
        <v>5</v>
      </c>
      <c r="J3" s="40" t="s">
        <v>100</v>
      </c>
      <c r="K3" s="40" t="s">
        <v>101</v>
      </c>
      <c r="L3" s="40" t="s">
        <v>102</v>
      </c>
      <c r="M3" s="6" t="s">
        <v>137</v>
      </c>
    </row>
    <row r="4" spans="1:16" x14ac:dyDescent="0.25">
      <c r="A4" s="40">
        <v>1</v>
      </c>
      <c r="B4" s="40">
        <f>City!B3</f>
        <v>2018</v>
      </c>
      <c r="C4" s="17">
        <f>(1+RideSource!$H7*J$4)*(1+nonDriver!$F5*J$5)*(1+Curb!$I5*J$6)*(1+EV!$C5*J$7)*(1+VMT_fee!$K5*J$8)*(1+NOVMT!$K5*J$9)*(1+Satellite!$H5*J$10)*(1+ShareRide!$H5*J$11)*(1+Pricing!$I6*J$12)*J$13</f>
        <v>1</v>
      </c>
      <c r="D4" s="17">
        <f>(1+RideSource!$H7*K$4)*(1+nonDriver!$F5*K$5)*(1+Curb!$I5*K$6)*(1+EV!$C5*K$7)*(1+VMT_fee!$K5*K$8)*(1+NOVMT!$K5*K$9)*(1+Satellite!$H5*K$10)*(1+ShareRide!$H5*K$11)*(1+Pricing!$I6*K$12)*K$13</f>
        <v>0.95</v>
      </c>
      <c r="E4" s="17">
        <f>(1+RideSource!$H7*L$4)*(1+nonDriver!$F5*L$5)*(1+Curb!$I5*L$6)*(1+EV!$C5*L$7)*(1+VMT_fee!$K5*L$8)*(1+NOVMT!$K5*L$9)*(1+Satellite!$H5*L$10)*(1+ShareRide!$H5*L$11)*(1+Pricing!$I6*L$12)*L$13</f>
        <v>0.9</v>
      </c>
      <c r="F4" s="17">
        <f>(1+RideSource!$H7*J$4)*(1+nonDriver!$F5*J$5)*(1+Curb!$I5*J$6)*(1+EV!$C5*J$7)*(1+VMT_fee!$K5*J$8)*(1+NOVMT!$K5*J$9)*(1+Satellite!$H5*J$10)*(1+ShareRide!$H5*J$11)*(1+Pricing!$I6*J$12)*J$13</f>
        <v>1</v>
      </c>
      <c r="G4" s="17">
        <f>(1+RideSource!$H7*K$4)*(1+nonDriver!$F5*K$5)*(1+Curb!$I5*K$6)*(1+EV!$C5*K$7)*(1+VMT_fee!$K5*K$8)*(1+NOVMT!$K5*K$9)*(1+Satellite!$H5*K$10)*(1+ShareRide!$H5*K$11)*(1+Pricing!$I6*K$12)*K$13</f>
        <v>0.95</v>
      </c>
      <c r="H4" s="17">
        <f>(1+RideSource!$H7*L$4)*(1+nonDriver!$F5*L$5)*(1+Curb!$I5*L$6)*(1+EV!$C5*L$7)*(1+VMT_fee!$K5*L$8)*(1+NOVMT!$K5*L$9)*(1+Satellite!$H5*L$10)*(1+ShareRide!$H5*L$11)*(1+Pricing!$I6*L$12)*L$13</f>
        <v>0.9</v>
      </c>
      <c r="J4" s="16">
        <v>0</v>
      </c>
      <c r="K4" s="46">
        <v>0.05</v>
      </c>
      <c r="L4" s="16">
        <v>7.0000000000000007E-2</v>
      </c>
      <c r="M4" s="2" t="s">
        <v>164</v>
      </c>
      <c r="P4" t="s">
        <v>171</v>
      </c>
    </row>
    <row r="5" spans="1:16" x14ac:dyDescent="0.25">
      <c r="A5" s="40">
        <f>A4+1</f>
        <v>2</v>
      </c>
      <c r="B5" s="40">
        <f>B4+1</f>
        <v>2019</v>
      </c>
      <c r="C5" s="17">
        <f>(1+RideSource!$H8*J$4)*(1+nonDriver!$F6*J$5)*(1+Curb!$I6*J$6)*(1+EV!$C6*J$7)*(1+VMT_fee!$K6*J$8)*(1+NOVMT!$K6*J$9)*(1+Satellite!$H6*J$10)*(1+ShareRide!$H6*J$11)*(1+Pricing!$I7*J$12)*J$13</f>
        <v>1</v>
      </c>
      <c r="D5" s="17">
        <f>(1+RideSource!$H8*K$4)*(1+nonDriver!$F6*K$5)*(1+Curb!$I6*K$6)*(1+EV!$C6*K$7)*(1+VMT_fee!$K6*K$8)*(1+NOVMT!$K6*K$9)*(1+Satellite!$H6*K$10)*(1+ShareRide!$H6*K$11)*(1+Pricing!$I7*K$12)*K$13</f>
        <v>0.95</v>
      </c>
      <c r="E5" s="17">
        <f>(1+RideSource!$H8*L$4)*(1+nonDriver!$F6*L$5)*(1+Curb!$I6*L$6)*(1+EV!$C6*L$7)*(1+VMT_fee!$K6*L$8)*(1+NOVMT!$K6*L$9)*(1+Satellite!$H6*L$10)*(1+ShareRide!$H6*L$11)*(1+Pricing!$I7*L$12)*L$13</f>
        <v>0.9</v>
      </c>
      <c r="F5" s="17">
        <f>(1+RideSource!$H8*J$4)*(1+nonDriver!$F6*J$5)*(1+Curb!$I6*J$6)*(1+EV!$C6*J$7)*(1+VMT_fee!$K6*J$8)*(1+NOVMT!$K6*J$9)*(1+Satellite!$H6*J$10)*(1+ShareRide!$H6*J$11)*(1+Pricing!$I7*J$12)*J$13</f>
        <v>1</v>
      </c>
      <c r="G5" s="17">
        <f>(1+RideSource!$H8*K$4)*(1+nonDriver!$F6*K$5)*(1+Curb!$I6*K$6)*(1+EV!$C6*K$7)*(1+VMT_fee!$K6*K$8)*(1+NOVMT!$K6*K$9)*(1+Satellite!$H6*K$10)*(1+ShareRide!$H6*K$11)*(1+Pricing!$I7*K$12)*K$13</f>
        <v>0.95</v>
      </c>
      <c r="H5" s="17">
        <f>(1+RideSource!$H8*L$4)*(1+nonDriver!$F6*L$5)*(1+Curb!$I6*L$6)*(1+EV!$C6*L$7)*(1+VMT_fee!$K6*L$8)*(1+NOVMT!$K6*L$9)*(1+Satellite!$H6*L$10)*(1+ShareRide!$H6*L$11)*(1+Pricing!$I7*L$12)*L$13</f>
        <v>0.9</v>
      </c>
      <c r="J5" s="16">
        <v>0</v>
      </c>
      <c r="K5" s="46">
        <v>0</v>
      </c>
      <c r="L5" s="16">
        <v>0.5</v>
      </c>
      <c r="M5" t="s">
        <v>165</v>
      </c>
      <c r="P5" t="s">
        <v>168</v>
      </c>
    </row>
    <row r="6" spans="1:16" x14ac:dyDescent="0.25">
      <c r="A6" s="40">
        <f t="shared" ref="A6:B21" si="0">A5+1</f>
        <v>3</v>
      </c>
      <c r="B6" s="40">
        <f t="shared" si="0"/>
        <v>2020</v>
      </c>
      <c r="C6" s="17">
        <f>(1+RideSource!$H9*J$4)*(1+nonDriver!$F7*J$5)*(1+Curb!$I7*J$6)*(1+EV!$C7*J$7)*(1+VMT_fee!$K7*J$8)*(1+NOVMT!$K7*J$9)*(1+Satellite!$H7*J$10)*(1+ShareRide!$H7*J$11)*(1+Pricing!$I8*J$12)*J$13</f>
        <v>1</v>
      </c>
      <c r="D6" s="17">
        <f>(1+RideSource!$H9*K$4)*(1+nonDriver!$F7*K$5)*(1+Curb!$I7*K$6)*(1+EV!$C7*K$7)*(1+VMT_fee!$K7*K$8)*(1+NOVMT!$K7*K$9)*(1+Satellite!$H7*K$10)*(1+ShareRide!$H7*K$11)*(1+Pricing!$I8*K$12)*K$13</f>
        <v>0.95</v>
      </c>
      <c r="E6" s="17">
        <f>(1+RideSource!$H9*L$4)*(1+nonDriver!$F7*L$5)*(1+Curb!$I7*L$6)*(1+EV!$C7*L$7)*(1+VMT_fee!$K7*L$8)*(1+NOVMT!$K7*L$9)*(1+Satellite!$H7*L$10)*(1+ShareRide!$H7*L$11)*(1+Pricing!$I8*L$12)*L$13</f>
        <v>0.9</v>
      </c>
      <c r="F6" s="17">
        <f>(1+RideSource!$H9*J$4)*(1+nonDriver!$F7*J$5)*(1+Curb!$I7*J$6)*(1+EV!$C7*J$7)*(1+VMT_fee!$K7*J$8)*(1+NOVMT!$K7*J$9)*(1+Satellite!$H7*J$10)*(1+ShareRide!$H7*J$11)*(1+Pricing!$I8*J$12)*J$13</f>
        <v>1</v>
      </c>
      <c r="G6" s="17">
        <f>(1+RideSource!$H9*K$4)*(1+nonDriver!$F7*K$5)*(1+Curb!$I7*K$6)*(1+EV!$C7*K$7)*(1+VMT_fee!$K7*K$8)*(1+NOVMT!$K7*K$9)*(1+Satellite!$H7*K$10)*(1+ShareRide!$H7*K$11)*(1+Pricing!$I8*K$12)*K$13</f>
        <v>0.95</v>
      </c>
      <c r="H6" s="17">
        <f>(1+RideSource!$H9*L$4)*(1+nonDriver!$F7*L$5)*(1+Curb!$I7*L$6)*(1+EV!$C7*L$7)*(1+VMT_fee!$K7*L$8)*(1+NOVMT!$K7*L$9)*(1+Satellite!$H7*L$10)*(1+ShareRide!$H7*L$11)*(1+Pricing!$I8*L$12)*L$13</f>
        <v>0.9</v>
      </c>
      <c r="J6" s="16">
        <v>0</v>
      </c>
      <c r="K6" s="46">
        <v>0.05</v>
      </c>
      <c r="L6" s="16">
        <v>0.05</v>
      </c>
      <c r="M6" s="2" t="s">
        <v>122</v>
      </c>
      <c r="P6" t="s">
        <v>169</v>
      </c>
    </row>
    <row r="7" spans="1:16" x14ac:dyDescent="0.25">
      <c r="A7" s="40">
        <f t="shared" si="0"/>
        <v>4</v>
      </c>
      <c r="B7" s="40">
        <f t="shared" si="0"/>
        <v>2021</v>
      </c>
      <c r="C7" s="17">
        <f>(1+RideSource!$H10*J$4)*(1+nonDriver!$F8*J$5)*(1+Curb!$I8*J$6)*(1+EV!$C8*J$7)*(1+VMT_fee!$K8*J$8)*(1+NOVMT!$K8*J$9)*(1+Satellite!$H8*J$10)*(1+ShareRide!$H8*J$11)*(1+Pricing!$I9*J$12)*J$13</f>
        <v>1</v>
      </c>
      <c r="D7" s="17">
        <f>(1+RideSource!$H10*K$4)*(1+nonDriver!$F8*K$5)*(1+Curb!$I8*K$6)*(1+EV!$C8*K$7)*(1+VMT_fee!$K8*K$8)*(1+NOVMT!$K8*K$9)*(1+Satellite!$H8*K$10)*(1+ShareRide!$H8*K$11)*(1+Pricing!$I9*K$12)*K$13</f>
        <v>0.95</v>
      </c>
      <c r="E7" s="17">
        <f>(1+RideSource!$H10*L$4)*(1+nonDriver!$F8*L$5)*(1+Curb!$I8*L$6)*(1+EV!$C8*L$7)*(1+VMT_fee!$K8*L$8)*(1+NOVMT!$K8*L$9)*(1+Satellite!$H8*L$10)*(1+ShareRide!$H8*L$11)*(1+Pricing!$I9*L$12)*L$13</f>
        <v>0.9</v>
      </c>
      <c r="F7" s="17">
        <f>(1+RideSource!$H10*J$4)*(1+nonDriver!$F8*J$5)*(1+Curb!$I8*J$6)*(1+EV!$C8*J$7)*(1+VMT_fee!$K8*J$8)*(1+NOVMT!$K8*J$9)*(1+Satellite!$H8*J$10)*(1+ShareRide!$H8*J$11)*(1+Pricing!$I9*J$12)*J$13</f>
        <v>1</v>
      </c>
      <c r="G7" s="17">
        <f>(1+RideSource!$H10*K$4)*(1+nonDriver!$F8*K$5)*(1+Curb!$I8*K$6)*(1+EV!$C8*K$7)*(1+VMT_fee!$K8*K$8)*(1+NOVMT!$K8*K$9)*(1+Satellite!$H8*K$10)*(1+ShareRide!$H8*K$11)*(1+Pricing!$I9*K$12)*K$13</f>
        <v>0.95</v>
      </c>
      <c r="H7" s="17">
        <f>(1+RideSource!$H10*L$4)*(1+nonDriver!$F8*L$5)*(1+Curb!$I8*L$6)*(1+EV!$C8*L$7)*(1+VMT_fee!$K8*L$8)*(1+NOVMT!$K8*L$9)*(1+Satellite!$H8*L$10)*(1+ShareRide!$H8*L$11)*(1+Pricing!$I9*L$12)*L$13</f>
        <v>0.9</v>
      </c>
      <c r="J7" s="16">
        <v>0</v>
      </c>
      <c r="K7" s="46">
        <v>0.02</v>
      </c>
      <c r="L7" s="16">
        <v>0.04</v>
      </c>
      <c r="M7" t="s">
        <v>166</v>
      </c>
      <c r="P7" t="s">
        <v>168</v>
      </c>
    </row>
    <row r="8" spans="1:16" x14ac:dyDescent="0.25">
      <c r="A8" s="40">
        <f t="shared" si="0"/>
        <v>5</v>
      </c>
      <c r="B8" s="40">
        <f t="shared" si="0"/>
        <v>2022</v>
      </c>
      <c r="C8" s="17">
        <f>(1+RideSource!$H11*J$4)*(1+nonDriver!$F9*J$5)*(1+Curb!$I9*J$6)*(1+EV!$C9*J$7)*(1+VMT_fee!$K9*J$8)*(1+NOVMT!$K9*J$9)*(1+Satellite!$H9*J$10)*(1+ShareRide!$H9*J$11)*(1+Pricing!$I10*J$12)*J$13</f>
        <v>1</v>
      </c>
      <c r="D8" s="17">
        <f>(1+RideSource!$H11*K$4)*(1+nonDriver!$F9*K$5)*(1+Curb!$I9*K$6)*(1+EV!$C9*K$7)*(1+VMT_fee!$K9*K$8)*(1+NOVMT!$K9*K$9)*(1+Satellite!$H9*K$10)*(1+ShareRide!$H9*K$11)*(1+Pricing!$I10*K$12)*K$13</f>
        <v>0.95</v>
      </c>
      <c r="E8" s="17">
        <f>(1+RideSource!$H11*L$4)*(1+nonDriver!$F9*L$5)*(1+Curb!$I9*L$6)*(1+EV!$C9*L$7)*(1+VMT_fee!$K9*L$8)*(1+NOVMT!$K9*L$9)*(1+Satellite!$H9*L$10)*(1+ShareRide!$H9*L$11)*(1+Pricing!$I10*L$12)*L$13</f>
        <v>0.9</v>
      </c>
      <c r="F8" s="17">
        <f>(1+RideSource!$H11*J$4)*(1+nonDriver!$F9*J$5)*(1+Curb!$I9*J$6)*(1+EV!$C9*J$7)*(1+VMT_fee!$K9*J$8)*(1+NOVMT!$K9*J$9)*(1+Satellite!$H9*J$10)*(1+ShareRide!$H9*J$11)*(1+Pricing!$I10*J$12)*J$13</f>
        <v>1</v>
      </c>
      <c r="G8" s="17">
        <f>(1+RideSource!$H11*K$4)*(1+nonDriver!$F9*K$5)*(1+Curb!$I9*K$6)*(1+EV!$C9*K$7)*(1+VMT_fee!$K9*K$8)*(1+NOVMT!$K9*K$9)*(1+Satellite!$H9*K$10)*(1+ShareRide!$H9*K$11)*(1+Pricing!$I10*K$12)*K$13</f>
        <v>0.95</v>
      </c>
      <c r="H8" s="17">
        <f>(1+RideSource!$H11*L$4)*(1+nonDriver!$F9*L$5)*(1+Curb!$I9*L$6)*(1+EV!$C9*L$7)*(1+VMT_fee!$K9*L$8)*(1+NOVMT!$K9*L$9)*(1+Satellite!$H9*L$10)*(1+ShareRide!$H9*L$11)*(1+Pricing!$I10*L$12)*L$13</f>
        <v>0.9</v>
      </c>
      <c r="J8" s="16">
        <v>-0.02</v>
      </c>
      <c r="K8" s="46">
        <v>-0.05</v>
      </c>
      <c r="L8" s="16">
        <v>-0.1</v>
      </c>
      <c r="M8" s="2" t="s">
        <v>123</v>
      </c>
      <c r="P8" t="s">
        <v>170</v>
      </c>
    </row>
    <row r="9" spans="1:16" x14ac:dyDescent="0.25">
      <c r="A9" s="40">
        <f t="shared" si="0"/>
        <v>6</v>
      </c>
      <c r="B9" s="40">
        <f t="shared" si="0"/>
        <v>2023</v>
      </c>
      <c r="C9" s="17">
        <f>(1+RideSource!$H12*J$4)*(1+nonDriver!$F10*J$5)*(1+Curb!$I10*J$6)*(1+EV!$C10*J$7)*(1+VMT_fee!$K10*J$8)*(1+NOVMT!$K10*J$9)*(1+Satellite!$H10*J$10)*(1+ShareRide!$H10*J$11)*(1+Pricing!$I11*J$12)*J$13</f>
        <v>0.99929999999999997</v>
      </c>
      <c r="D9" s="17">
        <f>(1+RideSource!$H12*K$4)*(1+nonDriver!$F10*K$5)*(1+Curb!$I10*K$6)*(1+EV!$C10*K$7)*(1+VMT_fee!$K10*K$8)*(1+NOVMT!$K10*K$9)*(1+Satellite!$H10*K$10)*(1+ShareRide!$H10*K$11)*(1+Pricing!$I11*K$12)*K$13</f>
        <v>0.97309385043749985</v>
      </c>
      <c r="E9" s="17">
        <f>(1+RideSource!$H12*L$4)*(1+nonDriver!$F10*L$5)*(1+Curb!$I10*L$6)*(1+EV!$C10*L$7)*(1+VMT_fee!$K10*L$8)*(1+NOVMT!$K10*L$9)*(1+Satellite!$H10*L$10)*(1+ShareRide!$H10*L$11)*(1+Pricing!$I11*L$12)*L$13</f>
        <v>0.93919028850000008</v>
      </c>
      <c r="F9" s="17">
        <f>(1+RideSource!$H12*J$4)*(1+nonDriver!$F10*J$5)*(1+Curb!$I10*J$6)*(1+EV!$C10*J$7)*(1+VMT_fee!$K10*J$8)*(1+NOVMT!$K10*J$9)*(1+Satellite!$H10*J$10)*(1+ShareRide!$H10*J$11)*(1+Pricing!$I11*J$12)*J$13</f>
        <v>0.99929999999999997</v>
      </c>
      <c r="G9" s="17">
        <f>(1+RideSource!$H12*K$4)*(1+nonDriver!$F10*K$5)*(1+Curb!$I10*K$6)*(1+EV!$C10*K$7)*(1+VMT_fee!$K10*K$8)*(1+NOVMT!$K10*K$9)*(1+Satellite!$H10*K$10)*(1+ShareRide!$H10*K$11)*(1+Pricing!$I11*K$12)*K$13</f>
        <v>0.97309385043749985</v>
      </c>
      <c r="H9" s="17">
        <f>(1+RideSource!$H12*L$4)*(1+nonDriver!$F10*L$5)*(1+Curb!$I10*L$6)*(1+EV!$C10*L$7)*(1+VMT_fee!$K10*L$8)*(1+NOVMT!$K10*L$9)*(1+Satellite!$H10*L$10)*(1+ShareRide!$H10*L$11)*(1+Pricing!$I11*L$12)*L$13</f>
        <v>0.93919028850000008</v>
      </c>
      <c r="J9" s="16">
        <v>0</v>
      </c>
      <c r="K9" s="46">
        <v>0</v>
      </c>
      <c r="L9" s="16">
        <v>-0.1</v>
      </c>
      <c r="M9" s="2" t="s">
        <v>124</v>
      </c>
      <c r="P9" t="s">
        <v>170</v>
      </c>
    </row>
    <row r="10" spans="1:16" x14ac:dyDescent="0.25">
      <c r="A10" s="40">
        <f t="shared" si="0"/>
        <v>7</v>
      </c>
      <c r="B10" s="40">
        <f t="shared" si="0"/>
        <v>2024</v>
      </c>
      <c r="C10" s="17">
        <f>(1+RideSource!$H13*J$4)*(1+nonDriver!$F11*J$5)*(1+Curb!$I11*J$6)*(1+EV!$C11*J$7)*(1+VMT_fee!$K11*J$8)*(1+NOVMT!$K11*J$9)*(1+Satellite!$H11*J$10)*(1+ShareRide!$H11*J$11)*(1+Pricing!$I12*J$12)*J$13</f>
        <v>0.99929999999999997</v>
      </c>
      <c r="D10" s="17">
        <f>(1+RideSource!$H13*K$4)*(1+nonDriver!$F11*K$5)*(1+Curb!$I11*K$6)*(1+EV!$C11*K$7)*(1+VMT_fee!$K11*K$8)*(1+NOVMT!$K11*K$9)*(1+Satellite!$H11*K$10)*(1+ShareRide!$H11*K$11)*(1+Pricing!$I12*K$12)*K$13</f>
        <v>0.97309385043749985</v>
      </c>
      <c r="E10" s="17">
        <f>(1+RideSource!$H13*L$4)*(1+nonDriver!$F11*L$5)*(1+Curb!$I11*L$6)*(1+EV!$C11*L$7)*(1+VMT_fee!$K11*L$8)*(1+NOVMT!$K11*L$9)*(1+Satellite!$H11*L$10)*(1+ShareRide!$H11*L$11)*(1+Pricing!$I12*L$12)*L$13</f>
        <v>0.93919028850000008</v>
      </c>
      <c r="F10" s="17">
        <f>(1+RideSource!$H13*J$4)*(1+nonDriver!$F11*J$5)*(1+Curb!$I11*J$6)*(1+EV!$C11*J$7)*(1+VMT_fee!$K11*J$8)*(1+NOVMT!$K11*J$9)*(1+Satellite!$H11*J$10)*(1+ShareRide!$H11*J$11)*(1+Pricing!$I12*J$12)*J$13</f>
        <v>0.99929999999999997</v>
      </c>
      <c r="G10" s="17">
        <f>(1+RideSource!$H13*K$4)*(1+nonDriver!$F11*K$5)*(1+Curb!$I11*K$6)*(1+EV!$C11*K$7)*(1+VMT_fee!$K11*K$8)*(1+NOVMT!$K11*K$9)*(1+Satellite!$H11*K$10)*(1+ShareRide!$H11*K$11)*(1+Pricing!$I12*K$12)*K$13</f>
        <v>0.97309385043749985</v>
      </c>
      <c r="H10" s="17">
        <f>(1+RideSource!$H13*L$4)*(1+nonDriver!$F11*L$5)*(1+Curb!$I11*L$6)*(1+EV!$C11*L$7)*(1+VMT_fee!$K11*L$8)*(1+NOVMT!$K11*L$9)*(1+Satellite!$H11*L$10)*(1+ShareRide!$H11*L$11)*(1+Pricing!$I12*L$12)*L$13</f>
        <v>0.93919028850000008</v>
      </c>
      <c r="J10" s="16">
        <v>0</v>
      </c>
      <c r="K10" s="46">
        <v>0</v>
      </c>
      <c r="L10" s="16">
        <v>0.05</v>
      </c>
      <c r="M10" s="2" t="s">
        <v>125</v>
      </c>
      <c r="P10" t="s">
        <v>168</v>
      </c>
    </row>
    <row r="11" spans="1:16" x14ac:dyDescent="0.25">
      <c r="A11" s="40">
        <f t="shared" si="0"/>
        <v>8</v>
      </c>
      <c r="B11" s="40">
        <f t="shared" si="0"/>
        <v>2025</v>
      </c>
      <c r="C11" s="17">
        <f>(1+RideSource!$H14*J$4)*(1+nonDriver!$F12*J$5)*(1+Curb!$I12*J$6)*(1+EV!$C12*J$7)*(1+VMT_fee!$K12*J$8)*(1+NOVMT!$K12*J$9)*(1+Satellite!$H12*J$10)*(1+ShareRide!$H12*J$11)*(1+Pricing!$I13*J$12)*J$13</f>
        <v>0.99929999999999997</v>
      </c>
      <c r="D11" s="17">
        <f>(1+RideSource!$H14*K$4)*(1+nonDriver!$F12*K$5)*(1+Curb!$I12*K$6)*(1+EV!$C12*K$7)*(1+VMT_fee!$K12*K$8)*(1+NOVMT!$K12*K$9)*(1+Satellite!$H12*K$10)*(1+ShareRide!$H12*K$11)*(1+Pricing!$I13*K$12)*K$13</f>
        <v>0.97309385043749985</v>
      </c>
      <c r="E11" s="17">
        <f>(1+RideSource!$H14*L$4)*(1+nonDriver!$F12*L$5)*(1+Curb!$I12*L$6)*(1+EV!$C12*L$7)*(1+VMT_fee!$K12*L$8)*(1+NOVMT!$K12*L$9)*(1+Satellite!$H12*L$10)*(1+ShareRide!$H12*L$11)*(1+Pricing!$I13*L$12)*L$13</f>
        <v>0.93919028850000008</v>
      </c>
      <c r="F11" s="17">
        <f>(1+RideSource!$H14*J$4)*(1+nonDriver!$F12*J$5)*(1+Curb!$I12*J$6)*(1+EV!$C12*J$7)*(1+VMT_fee!$K12*J$8)*(1+NOVMT!$K12*J$9)*(1+Satellite!$H12*J$10)*(1+ShareRide!$H12*J$11)*(1+Pricing!$I13*J$12)*J$13</f>
        <v>0.99929999999999997</v>
      </c>
      <c r="G11" s="17">
        <f>(1+RideSource!$H14*K$4)*(1+nonDriver!$F12*K$5)*(1+Curb!$I12*K$6)*(1+EV!$C12*K$7)*(1+VMT_fee!$K12*K$8)*(1+NOVMT!$K12*K$9)*(1+Satellite!$H12*K$10)*(1+ShareRide!$H12*K$11)*(1+Pricing!$I13*K$12)*K$13</f>
        <v>0.97309385043749985</v>
      </c>
      <c r="H11" s="17">
        <f>(1+RideSource!$H14*L$4)*(1+nonDriver!$F12*L$5)*(1+Curb!$I12*L$6)*(1+EV!$C12*L$7)*(1+VMT_fee!$K12*L$8)*(1+NOVMT!$K12*L$9)*(1+Satellite!$H12*L$10)*(1+ShareRide!$H12*L$11)*(1+Pricing!$I13*L$12)*L$13</f>
        <v>0.93919028850000008</v>
      </c>
      <c r="J11" s="16">
        <v>0</v>
      </c>
      <c r="K11" s="46">
        <v>0.05</v>
      </c>
      <c r="L11" s="16">
        <v>0.1</v>
      </c>
      <c r="M11" s="2" t="s">
        <v>167</v>
      </c>
      <c r="P11" t="s">
        <v>168</v>
      </c>
    </row>
    <row r="12" spans="1:16" x14ac:dyDescent="0.25">
      <c r="A12" s="40">
        <f t="shared" si="0"/>
        <v>9</v>
      </c>
      <c r="B12" s="40">
        <f t="shared" si="0"/>
        <v>2026</v>
      </c>
      <c r="C12" s="17">
        <f>(1+RideSource!$H15*J$4)*(1+nonDriver!$F13*J$5)*(1+Curb!$I13*J$6)*(1+EV!$C13*J$7)*(1+VMT_fee!$K13*J$8)*(1+NOVMT!$K13*J$9)*(1+Satellite!$H13*J$10)*(1+ShareRide!$H13*J$11)*(1+Pricing!$I14*J$12)*J$13</f>
        <v>0.99929999999999997</v>
      </c>
      <c r="D12" s="17">
        <f>(1+RideSource!$H15*K$4)*(1+nonDriver!$F13*K$5)*(1+Curb!$I13*K$6)*(1+EV!$C13*K$7)*(1+VMT_fee!$K13*K$8)*(1+NOVMT!$K13*K$9)*(1+Satellite!$H13*K$10)*(1+ShareRide!$H13*K$11)*(1+Pricing!$I14*K$12)*K$13</f>
        <v>0.97309385043749985</v>
      </c>
      <c r="E12" s="17">
        <f>(1+RideSource!$H15*L$4)*(1+nonDriver!$F13*L$5)*(1+Curb!$I13*L$6)*(1+EV!$C13*L$7)*(1+VMT_fee!$K13*L$8)*(1+NOVMT!$K13*L$9)*(1+Satellite!$H13*L$10)*(1+ShareRide!$H13*L$11)*(1+Pricing!$I14*L$12)*L$13</f>
        <v>0.93919028850000008</v>
      </c>
      <c r="F12" s="17">
        <f>(1+RideSource!$H15*J$4)*(1+nonDriver!$F13*J$5)*(1+Curb!$I13*J$6)*(1+EV!$C13*J$7)*(1+VMT_fee!$K13*J$8)*(1+NOVMT!$K13*J$9)*(1+Satellite!$H13*J$10)*(1+ShareRide!$H13*J$11)*(1+Pricing!$I14*J$12)*J$13</f>
        <v>0.99929999999999997</v>
      </c>
      <c r="G12" s="17">
        <f>(1+RideSource!$H15*K$4)*(1+nonDriver!$F13*K$5)*(1+Curb!$I13*K$6)*(1+EV!$C13*K$7)*(1+VMT_fee!$K13*K$8)*(1+NOVMT!$K13*K$9)*(1+Satellite!$H13*K$10)*(1+ShareRide!$H13*K$11)*(1+Pricing!$I14*K$12)*K$13</f>
        <v>0.97309385043749985</v>
      </c>
      <c r="H12" s="17">
        <f>(1+RideSource!$H15*L$4)*(1+nonDriver!$F13*L$5)*(1+Curb!$I13*L$6)*(1+EV!$C13*L$7)*(1+VMT_fee!$K13*L$8)*(1+NOVMT!$K13*L$9)*(1+Satellite!$H13*L$10)*(1+ShareRide!$H13*L$11)*(1+Pricing!$I14*L$12)*L$13</f>
        <v>0.93919028850000008</v>
      </c>
      <c r="J12" s="16">
        <v>0</v>
      </c>
      <c r="K12" s="45">
        <v>0</v>
      </c>
      <c r="L12" s="13">
        <v>0.05</v>
      </c>
      <c r="M12" s="2" t="s">
        <v>231</v>
      </c>
    </row>
    <row r="13" spans="1:16" x14ac:dyDescent="0.25">
      <c r="A13" s="40">
        <f t="shared" si="0"/>
        <v>10</v>
      </c>
      <c r="B13" s="40">
        <f t="shared" si="0"/>
        <v>2027</v>
      </c>
      <c r="C13" s="17">
        <f>(1+RideSource!$H16*J$4)*(1+nonDriver!$F14*J$5)*(1+Curb!$I14*J$6)*(1+EV!$C14*J$7)*(1+VMT_fee!$K14*J$8)*(1+NOVMT!$K14*J$9)*(1+Satellite!$H14*J$10)*(1+ShareRide!$H14*J$11)*(1+Pricing!$I15*J$12)*J$13</f>
        <v>0.99929999999999997</v>
      </c>
      <c r="D13" s="17">
        <f>(1+RideSource!$H16*K$4)*(1+nonDriver!$F14*K$5)*(1+Curb!$I14*K$6)*(1+EV!$C14*K$7)*(1+VMT_fee!$K14*K$8)*(1+NOVMT!$K14*K$9)*(1+Satellite!$H14*K$10)*(1+ShareRide!$H14*K$11)*(1+Pricing!$I15*K$12)*K$13</f>
        <v>0.9735803973627184</v>
      </c>
      <c r="E13" s="17">
        <f>(1+RideSource!$H16*L$4)*(1+nonDriver!$F14*L$5)*(1+Curb!$I14*L$6)*(1+EV!$C14*L$7)*(1+VMT_fee!$K14*L$8)*(1+NOVMT!$K14*L$9)*(1+Satellite!$H14*L$10)*(1+ShareRide!$H14*L$11)*(1+Pricing!$I15*L$12)*L$13</f>
        <v>0.93984772170195008</v>
      </c>
      <c r="F13" s="17">
        <f>(1+RideSource!$H16*J$4)*(1+nonDriver!$F14*J$5)*(1+Curb!$I14*J$6)*(1+EV!$C14*J$7)*(1+VMT_fee!$K14*J$8)*(1+NOVMT!$K14*J$9)*(1+Satellite!$H14*J$10)*(1+ShareRide!$H14*J$11)*(1+Pricing!$I15*J$12)*J$13</f>
        <v>0.99929999999999997</v>
      </c>
      <c r="G13" s="17">
        <f>(1+RideSource!$H16*K$4)*(1+nonDriver!$F14*K$5)*(1+Curb!$I14*K$6)*(1+EV!$C14*K$7)*(1+VMT_fee!$K14*K$8)*(1+NOVMT!$K14*K$9)*(1+Satellite!$H14*K$10)*(1+ShareRide!$H14*K$11)*(1+Pricing!$I15*K$12)*K$13</f>
        <v>0.9735803973627184</v>
      </c>
      <c r="H13" s="17">
        <f>(1+RideSource!$H16*L$4)*(1+nonDriver!$F14*L$5)*(1+Curb!$I14*L$6)*(1+EV!$C14*L$7)*(1+VMT_fee!$K14*L$8)*(1+NOVMT!$K14*L$9)*(1+Satellite!$H14*L$10)*(1+ShareRide!$H14*L$11)*(1+Pricing!$I15*L$12)*L$13</f>
        <v>0.93984772170195008</v>
      </c>
      <c r="J13" s="16">
        <v>1</v>
      </c>
      <c r="K13" s="46">
        <v>0.95</v>
      </c>
      <c r="L13" s="16">
        <v>0.9</v>
      </c>
      <c r="M13" s="2" t="s">
        <v>163</v>
      </c>
    </row>
    <row r="14" spans="1:16" x14ac:dyDescent="0.25">
      <c r="A14" s="40">
        <f t="shared" si="0"/>
        <v>11</v>
      </c>
      <c r="B14" s="40">
        <f t="shared" si="0"/>
        <v>2028</v>
      </c>
      <c r="C14" s="17">
        <f>(1+RideSource!$H17*J$4)*(1+nonDriver!$F15*J$5)*(1+Curb!$I15*J$6)*(1+EV!$C15*J$7)*(1+VMT_fee!$K15*J$8)*(1+NOVMT!$K15*J$9)*(1+Satellite!$H15*J$10)*(1+ShareRide!$H15*J$11)*(1+Pricing!$I16*J$12)*J$13</f>
        <v>0.99929999999999997</v>
      </c>
      <c r="D14" s="17">
        <f>(1+RideSource!$H17*K$4)*(1+nonDriver!$F15*K$5)*(1+Curb!$I15*K$6)*(1+EV!$C15*K$7)*(1+VMT_fee!$K15*K$8)*(1+NOVMT!$K15*K$9)*(1+Satellite!$H15*K$10)*(1+ShareRide!$H15*K$11)*(1+Pricing!$I16*K$12)*K$13</f>
        <v>0.97374267119003199</v>
      </c>
      <c r="E14" s="17">
        <f>(1+RideSource!$H17*L$4)*(1+nonDriver!$F15*L$5)*(1+Curb!$I15*L$6)*(1+EV!$C15*L$7)*(1+VMT_fee!$K15*L$8)*(1+NOVMT!$K15*L$9)*(1+Satellite!$H15*L$10)*(1+ShareRide!$H15*L$11)*(1+Pricing!$I16*L$12)*L$13</f>
        <v>0.94483761990169179</v>
      </c>
      <c r="F14" s="17">
        <f>(1+RideSource!$H17*J$4)*(1+nonDriver!$F15*J$5)*(1+Curb!$I15*J$6)*(1+EV!$C15*J$7)*(1+VMT_fee!$K15*J$8)*(1+NOVMT!$K15*J$9)*(1+Satellite!$H15*J$10)*(1+ShareRide!$H15*J$11)*(1+Pricing!$I16*J$12)*J$13</f>
        <v>0.99929999999999997</v>
      </c>
      <c r="G14" s="17">
        <f>(1+RideSource!$H17*K$4)*(1+nonDriver!$F15*K$5)*(1+Curb!$I15*K$6)*(1+EV!$C15*K$7)*(1+VMT_fee!$K15*K$8)*(1+NOVMT!$K15*K$9)*(1+Satellite!$H15*K$10)*(1+ShareRide!$H15*K$11)*(1+Pricing!$I16*K$12)*K$13</f>
        <v>0.97374267119003199</v>
      </c>
      <c r="H14" s="17">
        <f>(1+RideSource!$H17*L$4)*(1+nonDriver!$F15*L$5)*(1+Curb!$I15*L$6)*(1+EV!$C15*L$7)*(1+VMT_fee!$K15*L$8)*(1+NOVMT!$K15*L$9)*(1+Satellite!$H15*L$10)*(1+ShareRide!$H15*L$11)*(1+Pricing!$I16*L$12)*L$13</f>
        <v>0.94483761990169179</v>
      </c>
    </row>
    <row r="15" spans="1:16" x14ac:dyDescent="0.25">
      <c r="A15" s="40">
        <f t="shared" si="0"/>
        <v>12</v>
      </c>
      <c r="B15" s="40">
        <f t="shared" si="0"/>
        <v>2029</v>
      </c>
      <c r="C15" s="17">
        <f>(1+RideSource!$H18*J$4)*(1+nonDriver!$F16*J$5)*(1+Curb!$I16*J$6)*(1+EV!$C16*J$7)*(1+VMT_fee!$K16*J$8)*(1+NOVMT!$K16*J$9)*(1+Satellite!$H16*J$10)*(1+ShareRide!$H16*J$11)*(1+Pricing!$I17*J$12)*J$13</f>
        <v>0.99929999999999997</v>
      </c>
      <c r="D15" s="17">
        <f>(1+RideSource!$H18*K$4)*(1+nonDriver!$F16*K$5)*(1+Curb!$I16*K$6)*(1+EV!$C16*K$7)*(1+VMT_fee!$K16*K$8)*(1+NOVMT!$K16*K$9)*(1+Satellite!$H16*K$10)*(1+ShareRide!$H16*K$11)*(1+Pricing!$I17*K$12)*K$13</f>
        <v>0.97395906681663402</v>
      </c>
      <c r="E15" s="17">
        <f>(1+RideSource!$H18*L$4)*(1+nonDriver!$F16*L$5)*(1+Curb!$I16*L$6)*(1+EV!$C16*L$7)*(1+VMT_fee!$K16*L$8)*(1+NOVMT!$K16*L$9)*(1+Satellite!$H16*L$10)*(1+ShareRide!$H16*L$11)*(1+Pricing!$I17*L$12)*L$13</f>
        <v>0.94513150242111887</v>
      </c>
      <c r="F15" s="17">
        <f>(1+RideSource!$H18*J$4)*(1+nonDriver!$F16*J$5)*(1+Curb!$I16*J$6)*(1+EV!$C16*J$7)*(1+VMT_fee!$K16*J$8)*(1+NOVMT!$K16*J$9)*(1+Satellite!$H16*J$10)*(1+ShareRide!$H16*J$11)*(1+Pricing!$I17*J$12)*J$13</f>
        <v>0.99929999999999997</v>
      </c>
      <c r="G15" s="17">
        <f>(1+RideSource!$H18*K$4)*(1+nonDriver!$F16*K$5)*(1+Curb!$I16*K$6)*(1+EV!$C16*K$7)*(1+VMT_fee!$K16*K$8)*(1+NOVMT!$K16*K$9)*(1+Satellite!$H16*K$10)*(1+ShareRide!$H16*K$11)*(1+Pricing!$I17*K$12)*K$13</f>
        <v>0.97395906681663402</v>
      </c>
      <c r="H15" s="17">
        <f>(1+RideSource!$H18*L$4)*(1+nonDriver!$F16*L$5)*(1+Curb!$I16*L$6)*(1+EV!$C16*L$7)*(1+VMT_fee!$K16*L$8)*(1+NOVMT!$K16*L$9)*(1+Satellite!$H16*L$10)*(1+ShareRide!$H16*L$11)*(1+Pricing!$I17*L$12)*L$13</f>
        <v>0.94513150242111887</v>
      </c>
    </row>
    <row r="16" spans="1:16" x14ac:dyDescent="0.25">
      <c r="A16" s="40">
        <f t="shared" si="0"/>
        <v>13</v>
      </c>
      <c r="B16" s="40">
        <f t="shared" si="0"/>
        <v>2030</v>
      </c>
      <c r="C16" s="17">
        <f>(1+RideSource!$H19*J$4)*(1+nonDriver!$F17*J$5)*(1+Curb!$I17*J$6)*(1+EV!$C17*J$7)*(1+VMT_fee!$K17*J$8)*(1+NOVMT!$K17*J$9)*(1+Satellite!$H17*J$10)*(1+ShareRide!$H17*J$11)*(1+Pricing!$I18*J$12)*J$13</f>
        <v>0.99929999999999997</v>
      </c>
      <c r="D16" s="17">
        <f>(1+RideSource!$H19*K$4)*(1+nonDriver!$F17*K$5)*(1+Curb!$I17*K$6)*(1+EV!$C17*K$7)*(1+VMT_fee!$K17*K$8)*(1+NOVMT!$K17*K$9)*(1+Satellite!$H17*K$10)*(1+ShareRide!$H17*K$11)*(1+Pricing!$I18*K$12)*K$13</f>
        <v>0.97546400233558095</v>
      </c>
      <c r="E16" s="17">
        <f>(1+RideSource!$H19*L$4)*(1+nonDriver!$F17*L$5)*(1+Curb!$I17*L$6)*(1+EV!$C17*L$7)*(1+VMT_fee!$K17*L$8)*(1+NOVMT!$K17*L$9)*(1+Satellite!$H17*L$10)*(1+ShareRide!$H17*L$11)*(1+Pricing!$I18*L$12)*L$13</f>
        <v>0.94717532488106659</v>
      </c>
      <c r="F16" s="17">
        <f>(1+RideSource!$H19*J$4)*(1+nonDriver!$F17*J$5)*(1+Curb!$I17*J$6)*(1+EV!$C17*J$7)*(1+VMT_fee!$K17*J$8)*(1+NOVMT!$K17*J$9)*(1+Satellite!$H17*J$10)*(1+ShareRide!$H17*J$11)*(1+Pricing!$I18*J$12)*J$13</f>
        <v>0.99929999999999997</v>
      </c>
      <c r="G16" s="17">
        <f>(1+RideSource!$H19*K$4)*(1+nonDriver!$F17*K$5)*(1+Curb!$I17*K$6)*(1+EV!$C17*K$7)*(1+VMT_fee!$K17*K$8)*(1+NOVMT!$K17*K$9)*(1+Satellite!$H17*K$10)*(1+ShareRide!$H17*K$11)*(1+Pricing!$I18*K$12)*K$13</f>
        <v>0.97546400233558095</v>
      </c>
      <c r="H16" s="17">
        <f>(1+RideSource!$H19*L$4)*(1+nonDriver!$F17*L$5)*(1+Curb!$I17*L$6)*(1+EV!$C17*L$7)*(1+VMT_fee!$K17*L$8)*(1+NOVMT!$K17*L$9)*(1+Satellite!$H17*L$10)*(1+ShareRide!$H17*L$11)*(1+Pricing!$I18*L$12)*L$13</f>
        <v>0.94717532488106659</v>
      </c>
    </row>
    <row r="17" spans="1:8" x14ac:dyDescent="0.25">
      <c r="A17" s="40">
        <f t="shared" si="0"/>
        <v>14</v>
      </c>
      <c r="B17" s="40">
        <f t="shared" si="0"/>
        <v>2031</v>
      </c>
      <c r="C17" s="17">
        <f>(1+RideSource!$H20*J$4)*(1+nonDriver!$F18*J$5)*(1+Curb!$I18*J$6)*(1+EV!$C18*J$7)*(1+VMT_fee!$K18*J$8)*(1+NOVMT!$K18*J$9)*(1+Satellite!$H18*J$10)*(1+ShareRide!$H18*J$11)*(1+Pricing!$I19*J$12)*J$13</f>
        <v>0.99929999999999997</v>
      </c>
      <c r="D17" s="17">
        <f>(1+RideSource!$H20*K$4)*(1+nonDriver!$F18*K$5)*(1+Curb!$I18*K$6)*(1+EV!$C18*K$7)*(1+VMT_fee!$K18*K$8)*(1+NOVMT!$K18*K$9)*(1+Satellite!$H18*K$10)*(1+ShareRide!$H18*K$11)*(1+Pricing!$I19*K$12)*K$13</f>
        <v>0.97620988015428634</v>
      </c>
      <c r="E17" s="17">
        <f>(1+RideSource!$H20*L$4)*(1+nonDriver!$F18*L$5)*(1+Curb!$I18*L$6)*(1+EV!$C18*L$7)*(1+VMT_fee!$K18*L$8)*(1+NOVMT!$K18*L$9)*(1+Satellite!$H18*L$10)*(1+ShareRide!$H18*L$11)*(1+Pricing!$I19*L$12)*L$13</f>
        <v>0.94818828644590081</v>
      </c>
      <c r="F17" s="17">
        <f>(1+RideSource!$H20*J$4)*(1+nonDriver!$F18*J$5)*(1+Curb!$I18*J$6)*(1+EV!$C18*J$7)*(1+VMT_fee!$K18*J$8)*(1+NOVMT!$K18*J$9)*(1+Satellite!$H18*J$10)*(1+ShareRide!$H18*J$11)*(1+Pricing!$I19*J$12)*J$13</f>
        <v>0.99929999999999997</v>
      </c>
      <c r="G17" s="17">
        <f>(1+RideSource!$H20*K$4)*(1+nonDriver!$F18*K$5)*(1+Curb!$I18*K$6)*(1+EV!$C18*K$7)*(1+VMT_fee!$K18*K$8)*(1+NOVMT!$K18*K$9)*(1+Satellite!$H18*K$10)*(1+ShareRide!$H18*K$11)*(1+Pricing!$I19*K$12)*K$13</f>
        <v>0.97620988015428634</v>
      </c>
      <c r="H17" s="17">
        <f>(1+RideSource!$H20*L$4)*(1+nonDriver!$F18*L$5)*(1+Curb!$I18*L$6)*(1+EV!$C18*L$7)*(1+VMT_fee!$K18*L$8)*(1+NOVMT!$K18*L$9)*(1+Satellite!$H18*L$10)*(1+ShareRide!$H18*L$11)*(1+Pricing!$I19*L$12)*L$13</f>
        <v>0.94818828644590081</v>
      </c>
    </row>
    <row r="18" spans="1:8" x14ac:dyDescent="0.25">
      <c r="A18" s="40">
        <f t="shared" si="0"/>
        <v>15</v>
      </c>
      <c r="B18" s="40">
        <f t="shared" si="0"/>
        <v>2032</v>
      </c>
      <c r="C18" s="17">
        <f>(1+RideSource!$H21*J$4)*(1+nonDriver!$F19*J$5)*(1+Curb!$I19*J$6)*(1+EV!$C19*J$7)*(1+VMT_fee!$K19*J$8)*(1+NOVMT!$K19*J$9)*(1+Satellite!$H19*J$10)*(1+ShareRide!$H19*J$11)*(1+Pricing!$I20*J$12)*J$13</f>
        <v>0.99929999999999997</v>
      </c>
      <c r="D18" s="17">
        <f>(1+RideSource!$H21*K$4)*(1+nonDriver!$F19*K$5)*(1+Curb!$I19*K$6)*(1+EV!$C19*K$7)*(1+VMT_fee!$K19*K$8)*(1+NOVMT!$K19*K$9)*(1+Satellite!$H19*K$10)*(1+ShareRide!$H19*K$11)*(1+Pricing!$I20*K$12)*K$13</f>
        <v>0.97767782656025104</v>
      </c>
      <c r="E18" s="17">
        <f>(1+RideSource!$H21*L$4)*(1+nonDriver!$F19*L$5)*(1+Curb!$I19*L$6)*(1+EV!$C19*L$7)*(1+VMT_fee!$K19*L$8)*(1+NOVMT!$K19*L$9)*(1+Satellite!$H19*L$10)*(1+ShareRide!$H19*L$11)*(1+Pricing!$I20*L$12)*L$13</f>
        <v>0.95018187474037441</v>
      </c>
      <c r="F18" s="17">
        <f>(1+RideSource!$H21*J$4)*(1+nonDriver!$F19*J$5)*(1+Curb!$I19*J$6)*(1+EV!$C19*J$7)*(1+VMT_fee!$K19*J$8)*(1+NOVMT!$K19*J$9)*(1+Satellite!$H19*J$10)*(1+ShareRide!$H19*J$11)*(1+Pricing!$I20*J$12)*J$13</f>
        <v>0.99929999999999997</v>
      </c>
      <c r="G18" s="17">
        <f>(1+RideSource!$H21*K$4)*(1+nonDriver!$F19*K$5)*(1+Curb!$I19*K$6)*(1+EV!$C19*K$7)*(1+VMT_fee!$K19*K$8)*(1+NOVMT!$K19*K$9)*(1+Satellite!$H19*K$10)*(1+ShareRide!$H19*K$11)*(1+Pricing!$I20*K$12)*K$13</f>
        <v>0.97767782656025104</v>
      </c>
      <c r="H18" s="17">
        <f>(1+RideSource!$H21*L$4)*(1+nonDriver!$F19*L$5)*(1+Curb!$I19*L$6)*(1+EV!$C19*L$7)*(1+VMT_fee!$K19*L$8)*(1+NOVMT!$K19*L$9)*(1+Satellite!$H19*L$10)*(1+ShareRide!$H19*L$11)*(1+Pricing!$I20*L$12)*L$13</f>
        <v>0.95018187474037441</v>
      </c>
    </row>
    <row r="19" spans="1:8" x14ac:dyDescent="0.25">
      <c r="A19" s="40">
        <f t="shared" si="0"/>
        <v>16</v>
      </c>
      <c r="B19" s="40">
        <f t="shared" si="0"/>
        <v>2033</v>
      </c>
      <c r="C19" s="17">
        <f>(1+RideSource!$H22*J$4)*(1+nonDriver!$F20*J$5)*(1+Curb!$I20*J$6)*(1+EV!$C20*J$7)*(1+VMT_fee!$K20*J$8)*(1+NOVMT!$K20*J$9)*(1+Satellite!$H20*J$10)*(1+ShareRide!$H20*J$11)*(1+Pricing!$I21*J$12)*J$13</f>
        <v>0.99929999999999997</v>
      </c>
      <c r="D19" s="17">
        <f>(1+RideSource!$H22*K$4)*(1+nonDriver!$F20*K$5)*(1+Curb!$I20*K$6)*(1+EV!$C20*K$7)*(1+VMT_fee!$K20*K$8)*(1+NOVMT!$K20*K$9)*(1+Satellite!$H20*K$10)*(1+ShareRide!$H20*K$11)*(1+Pricing!$I21*K$12)*K$13</f>
        <v>0.98885204010948802</v>
      </c>
      <c r="E19" s="17">
        <f>(1+RideSource!$H22*L$4)*(1+nonDriver!$F20*L$5)*(1+Curb!$I20*L$6)*(1+EV!$C20*L$7)*(1+VMT_fee!$K20*L$8)*(1+NOVMT!$K20*L$9)*(1+Satellite!$H20*L$10)*(1+ShareRide!$H20*L$11)*(1+Pricing!$I21*L$12)*L$13</f>
        <v>0.97110213118380906</v>
      </c>
      <c r="F19" s="17">
        <f>(1+RideSource!$H22*J$4)*(1+nonDriver!$F20*J$5)*(1+Curb!$I20*J$6)*(1+EV!$C20*J$7)*(1+VMT_fee!$K20*J$8)*(1+NOVMT!$K20*J$9)*(1+Satellite!$H20*J$10)*(1+ShareRide!$H20*J$11)*(1+Pricing!$I21*J$12)*J$13</f>
        <v>0.99929999999999997</v>
      </c>
      <c r="G19" s="17">
        <f>(1+RideSource!$H22*K$4)*(1+nonDriver!$F20*K$5)*(1+Curb!$I20*K$6)*(1+EV!$C20*K$7)*(1+VMT_fee!$K20*K$8)*(1+NOVMT!$K20*K$9)*(1+Satellite!$H20*K$10)*(1+ShareRide!$H20*K$11)*(1+Pricing!$I21*K$12)*K$13</f>
        <v>0.98885204010948802</v>
      </c>
      <c r="H19" s="17">
        <f>(1+RideSource!$H22*L$4)*(1+nonDriver!$F20*L$5)*(1+Curb!$I20*L$6)*(1+EV!$C20*L$7)*(1+VMT_fee!$K20*L$8)*(1+NOVMT!$K20*L$9)*(1+Satellite!$H20*L$10)*(1+ShareRide!$H20*L$11)*(1+Pricing!$I21*L$12)*L$13</f>
        <v>0.97110213118380906</v>
      </c>
    </row>
    <row r="20" spans="1:8" x14ac:dyDescent="0.25">
      <c r="A20" s="40">
        <f t="shared" si="0"/>
        <v>17</v>
      </c>
      <c r="B20" s="40">
        <f t="shared" si="0"/>
        <v>2034</v>
      </c>
      <c r="C20" s="17">
        <f>(1+RideSource!$H23*J$4)*(1+nonDriver!$F21*J$5)*(1+Curb!$I21*J$6)*(1+EV!$C21*J$7)*(1+VMT_fee!$K21*J$8)*(1+NOVMT!$K21*J$9)*(1+Satellite!$H21*J$10)*(1+ShareRide!$H21*J$11)*(1+Pricing!$I22*J$12)*J$13</f>
        <v>0.99929999999999997</v>
      </c>
      <c r="D20" s="17">
        <f>(1+RideSource!$H23*K$4)*(1+nonDriver!$F21*K$5)*(1+Curb!$I21*K$6)*(1+EV!$C21*K$7)*(1+VMT_fee!$K21*K$8)*(1+NOVMT!$K21*K$9)*(1+Satellite!$H21*K$10)*(1+ShareRide!$H21*K$11)*(1+Pricing!$I22*K$12)*K$13</f>
        <v>0.99067963446982854</v>
      </c>
      <c r="E20" s="17">
        <f>(1+RideSource!$H23*L$4)*(1+nonDriver!$F21*L$5)*(1+Curb!$I21*L$6)*(1+EV!$C21*L$7)*(1+VMT_fee!$K21*L$8)*(1+NOVMT!$K21*L$9)*(1+Satellite!$H21*L$10)*(1+ShareRide!$H21*L$11)*(1+Pricing!$I22*L$12)*L$13</f>
        <v>0.9736087245283831</v>
      </c>
      <c r="F20" s="17">
        <f>(1+RideSource!$H23*J$4)*(1+nonDriver!$F21*J$5)*(1+Curb!$I21*J$6)*(1+EV!$C21*J$7)*(1+VMT_fee!$K21*J$8)*(1+NOVMT!$K21*J$9)*(1+Satellite!$H21*J$10)*(1+ShareRide!$H21*J$11)*(1+Pricing!$I22*J$12)*J$13</f>
        <v>0.99929999999999997</v>
      </c>
      <c r="G20" s="17">
        <f>(1+RideSource!$H23*K$4)*(1+nonDriver!$F21*K$5)*(1+Curb!$I21*K$6)*(1+EV!$C21*K$7)*(1+VMT_fee!$K21*K$8)*(1+NOVMT!$K21*K$9)*(1+Satellite!$H21*K$10)*(1+ShareRide!$H21*K$11)*(1+Pricing!$I22*K$12)*K$13</f>
        <v>0.99067963446982854</v>
      </c>
      <c r="H20" s="17">
        <f>(1+RideSource!$H23*L$4)*(1+nonDriver!$F21*L$5)*(1+Curb!$I21*L$6)*(1+EV!$C21*L$7)*(1+VMT_fee!$K21*L$8)*(1+NOVMT!$K21*L$9)*(1+Satellite!$H21*L$10)*(1+ShareRide!$H21*L$11)*(1+Pricing!$I22*L$12)*L$13</f>
        <v>0.9736087245283831</v>
      </c>
    </row>
    <row r="21" spans="1:8" x14ac:dyDescent="0.25">
      <c r="A21" s="40">
        <f t="shared" si="0"/>
        <v>18</v>
      </c>
      <c r="B21" s="40">
        <f t="shared" si="0"/>
        <v>2035</v>
      </c>
      <c r="C21" s="17">
        <f>(1+RideSource!$H24*J$4)*(1+nonDriver!$F22*J$5)*(1+Curb!$I22*J$6)*(1+EV!$C22*J$7)*(1+VMT_fee!$K22*J$8)*(1+NOVMT!$K22*J$9)*(1+Satellite!$H22*J$10)*(1+ShareRide!$H22*J$11)*(1+Pricing!$I23*J$12)*J$13</f>
        <v>0.99929999999999997</v>
      </c>
      <c r="D21" s="17">
        <f>(1+RideSource!$H24*K$4)*(1+nonDriver!$F22*K$5)*(1+Curb!$I22*K$6)*(1+EV!$C22*K$7)*(1+VMT_fee!$K22*K$8)*(1+NOVMT!$K22*K$9)*(1+Satellite!$H22*K$10)*(1+ShareRide!$H22*K$11)*(1+Pricing!$I23*K$12)*K$13</f>
        <v>0.99307163825453526</v>
      </c>
      <c r="E21" s="17">
        <f>(1+RideSource!$H24*L$4)*(1+nonDriver!$F22*L$5)*(1+Curb!$I22*L$6)*(1+EV!$C22*L$7)*(1+VMT_fee!$K22*L$8)*(1+NOVMT!$K22*L$9)*(1+Satellite!$H22*L$10)*(1+ShareRide!$H22*L$11)*(1+Pricing!$I23*L$12)*L$13</f>
        <v>0.96787911108441338</v>
      </c>
      <c r="F21" s="17">
        <f>(1+RideSource!$H24*J$4)*(1+nonDriver!$F22*J$5)*(1+Curb!$I22*J$6)*(1+EV!$C22*J$7)*(1+VMT_fee!$K22*J$8)*(1+NOVMT!$K22*J$9)*(1+Satellite!$H22*J$10)*(1+ShareRide!$H22*J$11)*(1+Pricing!$I23*J$12)*J$13</f>
        <v>0.99929999999999997</v>
      </c>
      <c r="G21" s="17">
        <f>(1+RideSource!$H24*K$4)*(1+nonDriver!$F22*K$5)*(1+Curb!$I22*K$6)*(1+EV!$C22*K$7)*(1+VMT_fee!$K22*K$8)*(1+NOVMT!$K22*K$9)*(1+Satellite!$H22*K$10)*(1+ShareRide!$H22*K$11)*(1+Pricing!$I23*K$12)*K$13</f>
        <v>0.99307163825453526</v>
      </c>
      <c r="H21" s="17">
        <f>(1+RideSource!$H24*L$4)*(1+nonDriver!$F22*L$5)*(1+Curb!$I22*L$6)*(1+EV!$C22*L$7)*(1+VMT_fee!$K22*L$8)*(1+NOVMT!$K22*L$9)*(1+Satellite!$H22*L$10)*(1+ShareRide!$H22*L$11)*(1+Pricing!$I23*L$12)*L$13</f>
        <v>0.96787911108441338</v>
      </c>
    </row>
    <row r="22" spans="1:8" x14ac:dyDescent="0.25">
      <c r="A22" s="40">
        <f t="shared" ref="A22:B37" si="1">A21+1</f>
        <v>19</v>
      </c>
      <c r="B22" s="40">
        <f t="shared" si="1"/>
        <v>2036</v>
      </c>
      <c r="C22" s="17">
        <f>(1+RideSource!$H25*J$4)*(1+nonDriver!$F23*J$5)*(1+Curb!$I23*J$6)*(1+EV!$C23*J$7)*(1+VMT_fee!$K23*J$8)*(1+NOVMT!$K23*J$9)*(1+Satellite!$H23*J$10)*(1+ShareRide!$H23*J$11)*(1+Pricing!$I24*J$12)*J$13</f>
        <v>0.99929999999999997</v>
      </c>
      <c r="D22" s="17">
        <f>(1+RideSource!$H25*K$4)*(1+nonDriver!$F23*K$5)*(1+Curb!$I23*K$6)*(1+EV!$C23*K$7)*(1+VMT_fee!$K23*K$8)*(1+NOVMT!$K23*K$9)*(1+Satellite!$H23*K$10)*(1+ShareRide!$H23*K$11)*(1+Pricing!$I24*K$12)*K$13</f>
        <v>0.99456564883457965</v>
      </c>
      <c r="E22" s="17">
        <f>(1+RideSource!$H25*L$4)*(1+nonDriver!$F23*L$5)*(1+Curb!$I23*L$6)*(1+EV!$C23*L$7)*(1+VMT_fee!$K23*L$8)*(1+NOVMT!$K23*L$9)*(1+Satellite!$H23*L$10)*(1+ShareRide!$H23*L$11)*(1+Pricing!$I24*L$12)*L$13</f>
        <v>1.0184047502969351</v>
      </c>
      <c r="F22" s="17">
        <f>(1+RideSource!$H25*J$4)*(1+nonDriver!$F23*J$5)*(1+Curb!$I23*J$6)*(1+EV!$C23*J$7)*(1+VMT_fee!$K23*J$8)*(1+NOVMT!$K23*J$9)*(1+Satellite!$H23*J$10)*(1+ShareRide!$H23*J$11)*(1+Pricing!$I24*J$12)*J$13</f>
        <v>0.99929999999999997</v>
      </c>
      <c r="G22" s="17">
        <f>(1+RideSource!$H25*K$4)*(1+nonDriver!$F23*K$5)*(1+Curb!$I23*K$6)*(1+EV!$C23*K$7)*(1+VMT_fee!$K23*K$8)*(1+NOVMT!$K23*K$9)*(1+Satellite!$H23*K$10)*(1+ShareRide!$H23*K$11)*(1+Pricing!$I24*K$12)*K$13</f>
        <v>0.99456564883457965</v>
      </c>
      <c r="H22" s="17">
        <f>(1+RideSource!$H25*L$4)*(1+nonDriver!$F23*L$5)*(1+Curb!$I23*L$6)*(1+EV!$C23*L$7)*(1+VMT_fee!$K23*L$8)*(1+NOVMT!$K23*L$9)*(1+Satellite!$H23*L$10)*(1+ShareRide!$H23*L$11)*(1+Pricing!$I24*L$12)*L$13</f>
        <v>1.0184047502969351</v>
      </c>
    </row>
    <row r="23" spans="1:8" x14ac:dyDescent="0.25">
      <c r="A23" s="40">
        <f t="shared" si="1"/>
        <v>20</v>
      </c>
      <c r="B23" s="40">
        <f t="shared" si="1"/>
        <v>2037</v>
      </c>
      <c r="C23" s="17">
        <f>(1+RideSource!$H26*J$4)*(1+nonDriver!$F24*J$5)*(1+Curb!$I24*J$6)*(1+EV!$C24*J$7)*(1+VMT_fee!$K24*J$8)*(1+NOVMT!$K24*J$9)*(1+Satellite!$H24*J$10)*(1+ShareRide!$H24*J$11)*(1+Pricing!$I25*J$12)*J$13</f>
        <v>0.99929999999999997</v>
      </c>
      <c r="D23" s="17">
        <f>(1+RideSource!$H26*K$4)*(1+nonDriver!$F24*K$5)*(1+Curb!$I24*K$6)*(1+EV!$C24*K$7)*(1+VMT_fee!$K24*K$8)*(1+NOVMT!$K24*K$9)*(1+Satellite!$H24*K$10)*(1+ShareRide!$H24*K$11)*(1+Pricing!$I25*K$12)*K$13</f>
        <v>0.99648631026332202</v>
      </c>
      <c r="E23" s="17">
        <f>(1+RideSource!$H26*L$4)*(1+nonDriver!$F24*L$5)*(1+Curb!$I24*L$6)*(1+EV!$C24*L$7)*(1+VMT_fee!$K24*L$8)*(1+NOVMT!$K24*L$9)*(1+Satellite!$H24*L$10)*(1+ShareRide!$H24*L$11)*(1+Pricing!$I25*L$12)*L$13</f>
        <v>1.021145187771386</v>
      </c>
      <c r="F23" s="17">
        <f>(1+RideSource!$H26*J$4)*(1+nonDriver!$F24*J$5)*(1+Curb!$I24*J$6)*(1+EV!$C24*J$7)*(1+VMT_fee!$K24*J$8)*(1+NOVMT!$K24*J$9)*(1+Satellite!$H24*J$10)*(1+ShareRide!$H24*J$11)*(1+Pricing!$I25*J$12)*J$13</f>
        <v>0.99929999999999997</v>
      </c>
      <c r="G23" s="17">
        <f>(1+RideSource!$H26*K$4)*(1+nonDriver!$F24*K$5)*(1+Curb!$I24*K$6)*(1+EV!$C24*K$7)*(1+VMT_fee!$K24*K$8)*(1+NOVMT!$K24*K$9)*(1+Satellite!$H24*K$10)*(1+ShareRide!$H24*K$11)*(1+Pricing!$I25*K$12)*K$13</f>
        <v>0.99648631026332202</v>
      </c>
      <c r="H23" s="17">
        <f>(1+RideSource!$H26*L$4)*(1+nonDriver!$F24*L$5)*(1+Curb!$I24*L$6)*(1+EV!$C24*L$7)*(1+VMT_fee!$K24*L$8)*(1+NOVMT!$K24*L$9)*(1+Satellite!$H24*L$10)*(1+ShareRide!$H24*L$11)*(1+Pricing!$I25*L$12)*L$13</f>
        <v>1.021145187771386</v>
      </c>
    </row>
    <row r="24" spans="1:8" x14ac:dyDescent="0.25">
      <c r="A24" s="40">
        <f t="shared" si="1"/>
        <v>21</v>
      </c>
      <c r="B24" s="40">
        <f t="shared" si="1"/>
        <v>2038</v>
      </c>
      <c r="C24" s="17">
        <f>(1+RideSource!$H27*J$4)*(1+nonDriver!$F25*J$5)*(1+Curb!$I25*J$6)*(1+EV!$C25*J$7)*(1+VMT_fee!$K25*J$8)*(1+NOVMT!$K25*J$9)*(1+Satellite!$H25*J$10)*(1+ShareRide!$H25*J$11)*(1+Pricing!$I26*J$12)*J$13</f>
        <v>0.99929999999999997</v>
      </c>
      <c r="D24" s="17">
        <f>(1+RideSource!$H27*K$4)*(1+nonDriver!$F25*K$5)*(1+Curb!$I25*K$6)*(1+EV!$C25*K$7)*(1+VMT_fee!$K25*K$8)*(1+NOVMT!$K25*K$9)*(1+Satellite!$H25*K$10)*(1+ShareRide!$H25*K$11)*(1+Pricing!$I26*K$12)*K$13</f>
        <v>0.99895708492196078</v>
      </c>
      <c r="E24" s="17">
        <f>(1+RideSource!$H27*L$4)*(1+nonDriver!$F25*L$5)*(1+Curb!$I25*L$6)*(1+EV!$C25*L$7)*(1+VMT_fee!$K25*L$8)*(1+NOVMT!$K25*L$9)*(1+Satellite!$H25*L$10)*(1+ShareRide!$H25*L$11)*(1+Pricing!$I26*L$12)*L$13</f>
        <v>1.0978612903006733</v>
      </c>
      <c r="F24" s="17">
        <f>(1+RideSource!$H27*J$4)*(1+nonDriver!$F25*J$5)*(1+Curb!$I25*J$6)*(1+EV!$C25*J$7)*(1+VMT_fee!$K25*J$8)*(1+NOVMT!$K25*J$9)*(1+Satellite!$H25*J$10)*(1+ShareRide!$H25*J$11)*(1+Pricing!$I26*J$12)*J$13</f>
        <v>0.99929999999999997</v>
      </c>
      <c r="G24" s="17">
        <f>(1+RideSource!$H27*K$4)*(1+nonDriver!$F25*K$5)*(1+Curb!$I25*K$6)*(1+EV!$C25*K$7)*(1+VMT_fee!$K25*K$8)*(1+NOVMT!$K25*K$9)*(1+Satellite!$H25*K$10)*(1+ShareRide!$H25*K$11)*(1+Pricing!$I26*K$12)*K$13</f>
        <v>0.99895708492196078</v>
      </c>
      <c r="H24" s="17">
        <f>(1+RideSource!$H27*L$4)*(1+nonDriver!$F25*L$5)*(1+Curb!$I25*L$6)*(1+EV!$C25*L$7)*(1+VMT_fee!$K25*L$8)*(1+NOVMT!$K25*L$9)*(1+Satellite!$H25*L$10)*(1+ShareRide!$H25*L$11)*(1+Pricing!$I26*L$12)*L$13</f>
        <v>1.0978612903006733</v>
      </c>
    </row>
    <row r="25" spans="1:8" x14ac:dyDescent="0.25">
      <c r="A25" s="40">
        <f t="shared" si="1"/>
        <v>22</v>
      </c>
      <c r="B25" s="40">
        <f t="shared" si="1"/>
        <v>2039</v>
      </c>
      <c r="C25" s="17">
        <f>(1+RideSource!$H28*J$4)*(1+nonDriver!$F26*J$5)*(1+Curb!$I26*J$6)*(1+EV!$C26*J$7)*(1+VMT_fee!$K26*J$8)*(1+NOVMT!$K26*J$9)*(1+Satellite!$H26*J$10)*(1+ShareRide!$H26*J$11)*(1+Pricing!$I27*J$12)*J$13</f>
        <v>0.99929999999999997</v>
      </c>
      <c r="D25" s="17">
        <f>(1+RideSource!$H28*K$4)*(1+nonDriver!$F26*K$5)*(1+Curb!$I26*K$6)*(1+EV!$C26*K$7)*(1+VMT_fee!$K26*K$8)*(1+NOVMT!$K26*K$9)*(1+Satellite!$H26*K$10)*(1+ShareRide!$H26*K$11)*(1+Pricing!$I27*K$12)*K$13</f>
        <v>0.99922006845969058</v>
      </c>
      <c r="E25" s="17">
        <f>(1+RideSource!$H28*L$4)*(1+nonDriver!$F26*L$5)*(1+Curb!$I26*L$6)*(1+EV!$C26*L$7)*(1+VMT_fee!$K26*L$8)*(1+NOVMT!$K26*L$9)*(1+Satellite!$H26*L$10)*(1+ShareRide!$H26*L$11)*(1+Pricing!$I27*L$12)*L$13</f>
        <v>1.0982633225294658</v>
      </c>
      <c r="F25" s="17">
        <f>(1+RideSource!$H28*J$4)*(1+nonDriver!$F26*J$5)*(1+Curb!$I26*J$6)*(1+EV!$C26*J$7)*(1+VMT_fee!$K26*J$8)*(1+NOVMT!$K26*J$9)*(1+Satellite!$H26*J$10)*(1+ShareRide!$H26*J$11)*(1+Pricing!$I27*J$12)*J$13</f>
        <v>0.99929999999999997</v>
      </c>
      <c r="G25" s="17">
        <f>(1+RideSource!$H28*K$4)*(1+nonDriver!$F26*K$5)*(1+Curb!$I26*K$6)*(1+EV!$C26*K$7)*(1+VMT_fee!$K26*K$8)*(1+NOVMT!$K26*K$9)*(1+Satellite!$H26*K$10)*(1+ShareRide!$H26*K$11)*(1+Pricing!$I27*K$12)*K$13</f>
        <v>0.99922006845969058</v>
      </c>
      <c r="H25" s="17">
        <f>(1+RideSource!$H28*L$4)*(1+nonDriver!$F26*L$5)*(1+Curb!$I26*L$6)*(1+EV!$C26*L$7)*(1+VMT_fee!$K26*L$8)*(1+NOVMT!$K26*L$9)*(1+Satellite!$H26*L$10)*(1+ShareRide!$H26*L$11)*(1+Pricing!$I27*L$12)*L$13</f>
        <v>1.0982633225294658</v>
      </c>
    </row>
    <row r="26" spans="1:8" x14ac:dyDescent="0.25">
      <c r="A26" s="40">
        <f t="shared" si="1"/>
        <v>23</v>
      </c>
      <c r="B26" s="40">
        <f t="shared" si="1"/>
        <v>2040</v>
      </c>
      <c r="C26" s="17">
        <f>(1+RideSource!$H29*J$4)*(1+nonDriver!$F27*J$5)*(1+Curb!$I27*J$6)*(1+EV!$C27*J$7)*(1+VMT_fee!$K27*J$8)*(1+NOVMT!$K27*J$9)*(1+Satellite!$H27*J$10)*(1+ShareRide!$H27*J$11)*(1+Pricing!$I28*J$12)*J$13</f>
        <v>0.99929999999999997</v>
      </c>
      <c r="D26" s="17">
        <f>(1+RideSource!$H29*K$4)*(1+nonDriver!$F27*K$5)*(1+Curb!$I27*K$6)*(1+EV!$C27*K$7)*(1+VMT_fee!$K27*K$8)*(1+NOVMT!$K27*K$9)*(1+Satellite!$H27*K$10)*(1+ShareRide!$H27*K$11)*(1+Pricing!$I28*K$12)*K$13</f>
        <v>0.9995328103538863</v>
      </c>
      <c r="E26" s="17">
        <f>(1+RideSource!$H29*L$4)*(1+nonDriver!$F27*L$5)*(1+Curb!$I27*L$6)*(1+EV!$C27*L$7)*(1+VMT_fee!$K27*L$8)*(1+NOVMT!$K27*L$9)*(1+Satellite!$H27*L$10)*(1+ShareRide!$H27*L$11)*(1+Pricing!$I28*L$12)*L$13</f>
        <v>1.0987414221164071</v>
      </c>
      <c r="F26" s="17">
        <f>(1+RideSource!$H29*J$4)*(1+nonDriver!$F27*J$5)*(1+Curb!$I27*J$6)*(1+EV!$C27*J$7)*(1+VMT_fee!$K27*J$8)*(1+NOVMT!$K27*J$9)*(1+Satellite!$H27*J$10)*(1+ShareRide!$H27*J$11)*(1+Pricing!$I28*J$12)*J$13</f>
        <v>0.99929999999999997</v>
      </c>
      <c r="G26" s="17">
        <f>(1+RideSource!$H29*K$4)*(1+nonDriver!$F27*K$5)*(1+Curb!$I27*K$6)*(1+EV!$C27*K$7)*(1+VMT_fee!$K27*K$8)*(1+NOVMT!$K27*K$9)*(1+Satellite!$H27*K$10)*(1+ShareRide!$H27*K$11)*(1+Pricing!$I28*K$12)*K$13</f>
        <v>0.9995328103538863</v>
      </c>
      <c r="H26" s="17">
        <f>(1+RideSource!$H29*L$4)*(1+nonDriver!$F27*L$5)*(1+Curb!$I27*L$6)*(1+EV!$C27*L$7)*(1+VMT_fee!$K27*L$8)*(1+NOVMT!$K27*L$9)*(1+Satellite!$H27*L$10)*(1+ShareRide!$H27*L$11)*(1+Pricing!$I28*L$12)*L$13</f>
        <v>1.0987414221164071</v>
      </c>
    </row>
    <row r="27" spans="1:8" x14ac:dyDescent="0.25">
      <c r="A27" s="40">
        <f t="shared" si="1"/>
        <v>24</v>
      </c>
      <c r="B27" s="40">
        <f t="shared" si="1"/>
        <v>2041</v>
      </c>
      <c r="C27" s="17">
        <f>(1+RideSource!$H30*J$4)*(1+nonDriver!$F28*J$5)*(1+Curb!$I28*J$6)*(1+EV!$C28*J$7)*(1+VMT_fee!$K28*J$8)*(1+NOVMT!$K28*J$9)*(1+Satellite!$H28*J$10)*(1+ShareRide!$H28*J$11)*(1+Pricing!$I29*J$12)*J$13</f>
        <v>0.99929999999999997</v>
      </c>
      <c r="D27" s="17">
        <f>(1+RideSource!$H30*K$4)*(1+nonDriver!$F28*K$5)*(1+Curb!$I28*K$6)*(1+EV!$C28*K$7)*(1+VMT_fee!$K28*K$8)*(1+NOVMT!$K28*K$9)*(1+Satellite!$H28*K$10)*(1+ShareRide!$H28*K$11)*(1+Pricing!$I29*K$12)*K$13</f>
        <v>0.9995328103538863</v>
      </c>
      <c r="E27" s="17">
        <f>(1+RideSource!$H30*L$4)*(1+nonDriver!$F28*L$5)*(1+Curb!$I28*L$6)*(1+EV!$C28*L$7)*(1+VMT_fee!$K28*L$8)*(1+NOVMT!$K28*L$9)*(1+Satellite!$H28*L$10)*(1+ShareRide!$H28*L$11)*(1+Pricing!$I29*L$12)*L$13</f>
        <v>1.0987414221164071</v>
      </c>
      <c r="F27" s="17">
        <f>(1+RideSource!$H30*J$4)*(1+nonDriver!$F28*J$5)*(1+Curb!$I28*J$6)*(1+EV!$C28*J$7)*(1+VMT_fee!$K28*J$8)*(1+NOVMT!$K28*J$9)*(1+Satellite!$H28*J$10)*(1+ShareRide!$H28*J$11)*(1+Pricing!$I29*J$12)*J$13</f>
        <v>0.99929999999999997</v>
      </c>
      <c r="G27" s="17">
        <f>(1+RideSource!$H30*K$4)*(1+nonDriver!$F28*K$5)*(1+Curb!$I28*K$6)*(1+EV!$C28*K$7)*(1+VMT_fee!$K28*K$8)*(1+NOVMT!$K28*K$9)*(1+Satellite!$H28*K$10)*(1+ShareRide!$H28*K$11)*(1+Pricing!$I29*K$12)*K$13</f>
        <v>0.9995328103538863</v>
      </c>
      <c r="H27" s="17">
        <f>(1+RideSource!$H30*L$4)*(1+nonDriver!$F28*L$5)*(1+Curb!$I28*L$6)*(1+EV!$C28*L$7)*(1+VMT_fee!$K28*L$8)*(1+NOVMT!$K28*L$9)*(1+Satellite!$H28*L$10)*(1+ShareRide!$H28*L$11)*(1+Pricing!$I29*L$12)*L$13</f>
        <v>1.0987414221164071</v>
      </c>
    </row>
    <row r="28" spans="1:8" x14ac:dyDescent="0.25">
      <c r="A28" s="40">
        <f t="shared" si="1"/>
        <v>25</v>
      </c>
      <c r="B28" s="40">
        <f t="shared" si="1"/>
        <v>2042</v>
      </c>
      <c r="C28" s="17">
        <f>(1+RideSource!$H31*J$4)*(1+nonDriver!$F29*J$5)*(1+Curb!$I29*J$6)*(1+EV!$C29*J$7)*(1+VMT_fee!$K29*J$8)*(1+NOVMT!$K29*J$9)*(1+Satellite!$H29*J$10)*(1+ShareRide!$H29*J$11)*(1+Pricing!$I30*J$12)*J$13</f>
        <v>0.99929999999999997</v>
      </c>
      <c r="D28" s="17">
        <f>(1+RideSource!$H31*K$4)*(1+nonDriver!$F29*K$5)*(1+Curb!$I29*K$6)*(1+EV!$C29*K$7)*(1+VMT_fee!$K29*K$8)*(1+NOVMT!$K29*K$9)*(1+Satellite!$H29*K$10)*(1+ShareRide!$H29*K$11)*(1+Pricing!$I30*K$12)*K$13</f>
        <v>0.9995328103538863</v>
      </c>
      <c r="E28" s="17">
        <f>(1+RideSource!$H31*L$4)*(1+nonDriver!$F29*L$5)*(1+Curb!$I29*L$6)*(1+EV!$C29*L$7)*(1+VMT_fee!$K29*L$8)*(1+NOVMT!$K29*L$9)*(1+Satellite!$H29*L$10)*(1+ShareRide!$H29*L$11)*(1+Pricing!$I30*L$12)*L$13</f>
        <v>1.0987414221164071</v>
      </c>
      <c r="F28" s="17">
        <f>(1+RideSource!$H31*J$4)*(1+nonDriver!$F29*J$5)*(1+Curb!$I29*J$6)*(1+EV!$C29*J$7)*(1+VMT_fee!$K29*J$8)*(1+NOVMT!$K29*J$9)*(1+Satellite!$H29*J$10)*(1+ShareRide!$H29*J$11)*(1+Pricing!$I30*J$12)*J$13</f>
        <v>0.99929999999999997</v>
      </c>
      <c r="G28" s="17">
        <f>(1+RideSource!$H31*K$4)*(1+nonDriver!$F29*K$5)*(1+Curb!$I29*K$6)*(1+EV!$C29*K$7)*(1+VMT_fee!$K29*K$8)*(1+NOVMT!$K29*K$9)*(1+Satellite!$H29*K$10)*(1+ShareRide!$H29*K$11)*(1+Pricing!$I30*K$12)*K$13</f>
        <v>0.9995328103538863</v>
      </c>
      <c r="H28" s="17">
        <f>(1+RideSource!$H31*L$4)*(1+nonDriver!$F29*L$5)*(1+Curb!$I29*L$6)*(1+EV!$C29*L$7)*(1+VMT_fee!$K29*L$8)*(1+NOVMT!$K29*L$9)*(1+Satellite!$H29*L$10)*(1+ShareRide!$H29*L$11)*(1+Pricing!$I30*L$12)*L$13</f>
        <v>1.0987414221164071</v>
      </c>
    </row>
    <row r="29" spans="1:8" x14ac:dyDescent="0.25">
      <c r="A29" s="40">
        <f t="shared" si="1"/>
        <v>26</v>
      </c>
      <c r="B29" s="40">
        <f t="shared" si="1"/>
        <v>2043</v>
      </c>
      <c r="C29" s="17">
        <f>(1+RideSource!$H32*J$4)*(1+nonDriver!$F30*J$5)*(1+Curb!$I30*J$6)*(1+EV!$C30*J$7)*(1+VMT_fee!$K30*J$8)*(1+NOVMT!$K30*J$9)*(1+Satellite!$H30*J$10)*(1+ShareRide!$H30*J$11)*(1+Pricing!$I31*J$12)*J$13</f>
        <v>0.99929999999999997</v>
      </c>
      <c r="D29" s="17">
        <f>(1+RideSource!$H32*K$4)*(1+nonDriver!$F30*K$5)*(1+Curb!$I30*K$6)*(1+EV!$C30*K$7)*(1+VMT_fee!$K30*K$8)*(1+NOVMT!$K30*K$9)*(1+Satellite!$H30*K$10)*(1+ShareRide!$H30*K$11)*(1+Pricing!$I31*K$12)*K$13</f>
        <v>0.9995328103538863</v>
      </c>
      <c r="E29" s="17">
        <f>(1+RideSource!$H32*L$4)*(1+nonDriver!$F30*L$5)*(1+Curb!$I30*L$6)*(1+EV!$C30*L$7)*(1+VMT_fee!$K30*L$8)*(1+NOVMT!$K30*L$9)*(1+Satellite!$H30*L$10)*(1+ShareRide!$H30*L$11)*(1+Pricing!$I31*L$12)*L$13</f>
        <v>1.0987414221164071</v>
      </c>
      <c r="F29" s="17">
        <f>(1+RideSource!$H32*J$4)*(1+nonDriver!$F30*J$5)*(1+Curb!$I30*J$6)*(1+EV!$C30*J$7)*(1+VMT_fee!$K30*J$8)*(1+NOVMT!$K30*J$9)*(1+Satellite!$H30*J$10)*(1+ShareRide!$H30*J$11)*(1+Pricing!$I31*J$12)*J$13</f>
        <v>0.99929999999999997</v>
      </c>
      <c r="G29" s="17">
        <f>(1+RideSource!$H32*K$4)*(1+nonDriver!$F30*K$5)*(1+Curb!$I30*K$6)*(1+EV!$C30*K$7)*(1+VMT_fee!$K30*K$8)*(1+NOVMT!$K30*K$9)*(1+Satellite!$H30*K$10)*(1+ShareRide!$H30*K$11)*(1+Pricing!$I31*K$12)*K$13</f>
        <v>0.9995328103538863</v>
      </c>
      <c r="H29" s="17">
        <f>(1+RideSource!$H32*L$4)*(1+nonDriver!$F30*L$5)*(1+Curb!$I30*L$6)*(1+EV!$C30*L$7)*(1+VMT_fee!$K30*L$8)*(1+NOVMT!$K30*L$9)*(1+Satellite!$H30*L$10)*(1+ShareRide!$H30*L$11)*(1+Pricing!$I31*L$12)*L$13</f>
        <v>1.0987414221164071</v>
      </c>
    </row>
    <row r="30" spans="1:8" x14ac:dyDescent="0.25">
      <c r="A30" s="40">
        <f t="shared" si="1"/>
        <v>27</v>
      </c>
      <c r="B30" s="40">
        <f t="shared" si="1"/>
        <v>2044</v>
      </c>
      <c r="C30" s="17">
        <f>(1+RideSource!$H33*J$4)*(1+nonDriver!$F31*J$5)*(1+Curb!$I31*J$6)*(1+EV!$C31*J$7)*(1+VMT_fee!$K31*J$8)*(1+NOVMT!$K31*J$9)*(1+Satellite!$H31*J$10)*(1+ShareRide!$H31*J$11)*(1+Pricing!$I32*J$12)*J$13</f>
        <v>0.99929999999999997</v>
      </c>
      <c r="D30" s="17">
        <f>(1+RideSource!$H33*K$4)*(1+nonDriver!$F31*K$5)*(1+Curb!$I31*K$6)*(1+EV!$C31*K$7)*(1+VMT_fee!$K31*K$8)*(1+NOVMT!$K31*K$9)*(1+Satellite!$H31*K$10)*(1+ShareRide!$H31*K$11)*(1+Pricing!$I32*K$12)*K$13</f>
        <v>0.9995328103538863</v>
      </c>
      <c r="E30" s="17">
        <f>(1+RideSource!$H33*L$4)*(1+nonDriver!$F31*L$5)*(1+Curb!$I31*L$6)*(1+EV!$C31*L$7)*(1+VMT_fee!$K31*L$8)*(1+NOVMT!$K31*L$9)*(1+Satellite!$H31*L$10)*(1+ShareRide!$H31*L$11)*(1+Pricing!$I32*L$12)*L$13</f>
        <v>1.0987414221164071</v>
      </c>
      <c r="F30" s="17">
        <f>(1+RideSource!$H33*J$4)*(1+nonDriver!$F31*J$5)*(1+Curb!$I31*J$6)*(1+EV!$C31*J$7)*(1+VMT_fee!$K31*J$8)*(1+NOVMT!$K31*J$9)*(1+Satellite!$H31*J$10)*(1+ShareRide!$H31*J$11)*(1+Pricing!$I32*J$12)*J$13</f>
        <v>0.99929999999999997</v>
      </c>
      <c r="G30" s="17">
        <f>(1+RideSource!$H33*K$4)*(1+nonDriver!$F31*K$5)*(1+Curb!$I31*K$6)*(1+EV!$C31*K$7)*(1+VMT_fee!$K31*K$8)*(1+NOVMT!$K31*K$9)*(1+Satellite!$H31*K$10)*(1+ShareRide!$H31*K$11)*(1+Pricing!$I32*K$12)*K$13</f>
        <v>0.9995328103538863</v>
      </c>
      <c r="H30" s="17">
        <f>(1+RideSource!$H33*L$4)*(1+nonDriver!$F31*L$5)*(1+Curb!$I31*L$6)*(1+EV!$C31*L$7)*(1+VMT_fee!$K31*L$8)*(1+NOVMT!$K31*L$9)*(1+Satellite!$H31*L$10)*(1+ShareRide!$H31*L$11)*(1+Pricing!$I32*L$12)*L$13</f>
        <v>1.0987414221164071</v>
      </c>
    </row>
    <row r="31" spans="1:8" x14ac:dyDescent="0.25">
      <c r="A31" s="40">
        <f t="shared" si="1"/>
        <v>28</v>
      </c>
      <c r="B31" s="40">
        <f t="shared" si="1"/>
        <v>2045</v>
      </c>
      <c r="C31" s="17">
        <f>(1+RideSource!$H34*J$4)*(1+nonDriver!$F32*J$5)*(1+Curb!$I32*J$6)*(1+EV!$C32*J$7)*(1+VMT_fee!$K32*J$8)*(1+NOVMT!$K32*J$9)*(1+Satellite!$H32*J$10)*(1+ShareRide!$H32*J$11)*(1+Pricing!$I33*J$12)*J$13</f>
        <v>0.99929999999999997</v>
      </c>
      <c r="D31" s="17">
        <f>(1+RideSource!$H34*K$4)*(1+nonDriver!$F32*K$5)*(1+Curb!$I32*K$6)*(1+EV!$C32*K$7)*(1+VMT_fee!$K32*K$8)*(1+NOVMT!$K32*K$9)*(1+Satellite!$H32*K$10)*(1+ShareRide!$H32*K$11)*(1+Pricing!$I33*K$12)*K$13</f>
        <v>0.9995328103538863</v>
      </c>
      <c r="E31" s="17">
        <f>(1+RideSource!$H34*L$4)*(1+nonDriver!$F32*L$5)*(1+Curb!$I32*L$6)*(1+EV!$C32*L$7)*(1+VMT_fee!$K32*L$8)*(1+NOVMT!$K32*L$9)*(1+Satellite!$H32*L$10)*(1+ShareRide!$H32*L$11)*(1+Pricing!$I33*L$12)*L$13</f>
        <v>1.0987414221164071</v>
      </c>
      <c r="F31" s="17">
        <f>(1+RideSource!$H34*J$4)*(1+nonDriver!$F32*J$5)*(1+Curb!$I32*J$6)*(1+EV!$C32*J$7)*(1+VMT_fee!$K32*J$8)*(1+NOVMT!$K32*J$9)*(1+Satellite!$H32*J$10)*(1+ShareRide!$H32*J$11)*(1+Pricing!$I33*J$12)*J$13</f>
        <v>0.99929999999999997</v>
      </c>
      <c r="G31" s="17">
        <f>(1+RideSource!$H34*K$4)*(1+nonDriver!$F32*K$5)*(1+Curb!$I32*K$6)*(1+EV!$C32*K$7)*(1+VMT_fee!$K32*K$8)*(1+NOVMT!$K32*K$9)*(1+Satellite!$H32*K$10)*(1+ShareRide!$H32*K$11)*(1+Pricing!$I33*K$12)*K$13</f>
        <v>0.9995328103538863</v>
      </c>
      <c r="H31" s="17">
        <f>(1+RideSource!$H34*L$4)*(1+nonDriver!$F32*L$5)*(1+Curb!$I32*L$6)*(1+EV!$C32*L$7)*(1+VMT_fee!$K32*L$8)*(1+NOVMT!$K32*L$9)*(1+Satellite!$H32*L$10)*(1+ShareRide!$H32*L$11)*(1+Pricing!$I33*L$12)*L$13</f>
        <v>1.0987414221164071</v>
      </c>
    </row>
    <row r="32" spans="1:8" x14ac:dyDescent="0.25">
      <c r="A32" s="40">
        <f t="shared" si="1"/>
        <v>29</v>
      </c>
      <c r="B32" s="40">
        <f t="shared" si="1"/>
        <v>2046</v>
      </c>
      <c r="C32" s="17">
        <f>(1+RideSource!$H35*J$4)*(1+nonDriver!$F33*J$5)*(1+Curb!$I33*J$6)*(1+EV!$C33*J$7)*(1+VMT_fee!$K33*J$8)*(1+NOVMT!$K33*J$9)*(1+Satellite!$H33*J$10)*(1+ShareRide!$H33*J$11)*(1+Pricing!$I34*J$12)*J$13</f>
        <v>0.99929999999999997</v>
      </c>
      <c r="D32" s="17">
        <f>(1+RideSource!$H35*K$4)*(1+nonDriver!$F33*K$5)*(1+Curb!$I33*K$6)*(1+EV!$C33*K$7)*(1+VMT_fee!$K33*K$8)*(1+NOVMT!$K33*K$9)*(1+Satellite!$H33*K$10)*(1+ShareRide!$H33*K$11)*(1+Pricing!$I34*K$12)*K$13</f>
        <v>0.9995328103538863</v>
      </c>
      <c r="E32" s="17">
        <f>(1+RideSource!$H35*L$4)*(1+nonDriver!$F33*L$5)*(1+Curb!$I33*L$6)*(1+EV!$C33*L$7)*(1+VMT_fee!$K33*L$8)*(1+NOVMT!$K33*L$9)*(1+Satellite!$H33*L$10)*(1+ShareRide!$H33*L$11)*(1+Pricing!$I34*L$12)*L$13</f>
        <v>1.0987414221164071</v>
      </c>
      <c r="F32" s="17">
        <f>(1+RideSource!$H35*J$4)*(1+nonDriver!$F33*J$5)*(1+Curb!$I33*J$6)*(1+EV!$C33*J$7)*(1+VMT_fee!$K33*J$8)*(1+NOVMT!$K33*J$9)*(1+Satellite!$H33*J$10)*(1+ShareRide!$H33*J$11)*(1+Pricing!$I34*J$12)*J$13</f>
        <v>0.99929999999999997</v>
      </c>
      <c r="G32" s="17">
        <f>(1+RideSource!$H35*K$4)*(1+nonDriver!$F33*K$5)*(1+Curb!$I33*K$6)*(1+EV!$C33*K$7)*(1+VMT_fee!$K33*K$8)*(1+NOVMT!$K33*K$9)*(1+Satellite!$H33*K$10)*(1+ShareRide!$H33*K$11)*(1+Pricing!$I34*K$12)*K$13</f>
        <v>0.9995328103538863</v>
      </c>
      <c r="H32" s="17">
        <f>(1+RideSource!$H35*L$4)*(1+nonDriver!$F33*L$5)*(1+Curb!$I33*L$6)*(1+EV!$C33*L$7)*(1+VMT_fee!$K33*L$8)*(1+NOVMT!$K33*L$9)*(1+Satellite!$H33*L$10)*(1+ShareRide!$H33*L$11)*(1+Pricing!$I34*L$12)*L$13</f>
        <v>1.0987414221164071</v>
      </c>
    </row>
    <row r="33" spans="1:8" x14ac:dyDescent="0.25">
      <c r="A33" s="40">
        <f t="shared" si="1"/>
        <v>30</v>
      </c>
      <c r="B33" s="40">
        <f t="shared" si="1"/>
        <v>2047</v>
      </c>
      <c r="C33" s="17">
        <f>(1+RideSource!$H36*J$4)*(1+nonDriver!$F34*J$5)*(1+Curb!$I34*J$6)*(1+EV!$C34*J$7)*(1+VMT_fee!$K34*J$8)*(1+NOVMT!$K34*J$9)*(1+Satellite!$H34*J$10)*(1+ShareRide!$H34*J$11)*(1+Pricing!$I35*J$12)*J$13</f>
        <v>0.99929999999999997</v>
      </c>
      <c r="D33" s="17">
        <f>(1+RideSource!$H36*K$4)*(1+nonDriver!$F34*K$5)*(1+Curb!$I34*K$6)*(1+EV!$C34*K$7)*(1+VMT_fee!$K34*K$8)*(1+NOVMT!$K34*K$9)*(1+Satellite!$H34*K$10)*(1+ShareRide!$H34*K$11)*(1+Pricing!$I35*K$12)*K$13</f>
        <v>0.9995328103538863</v>
      </c>
      <c r="E33" s="17">
        <f>(1+RideSource!$H36*L$4)*(1+nonDriver!$F34*L$5)*(1+Curb!$I34*L$6)*(1+EV!$C34*L$7)*(1+VMT_fee!$K34*L$8)*(1+NOVMT!$K34*L$9)*(1+Satellite!$H34*L$10)*(1+ShareRide!$H34*L$11)*(1+Pricing!$I35*L$12)*L$13</f>
        <v>1.0987414221164071</v>
      </c>
      <c r="F33" s="17">
        <f>(1+RideSource!$H36*J$4)*(1+nonDriver!$F34*J$5)*(1+Curb!$I34*J$6)*(1+EV!$C34*J$7)*(1+VMT_fee!$K34*J$8)*(1+NOVMT!$K34*J$9)*(1+Satellite!$H34*J$10)*(1+ShareRide!$H34*J$11)*(1+Pricing!$I35*J$12)*J$13</f>
        <v>0.99929999999999997</v>
      </c>
      <c r="G33" s="17">
        <f>(1+RideSource!$H36*K$4)*(1+nonDriver!$F34*K$5)*(1+Curb!$I34*K$6)*(1+EV!$C34*K$7)*(1+VMT_fee!$K34*K$8)*(1+NOVMT!$K34*K$9)*(1+Satellite!$H34*K$10)*(1+ShareRide!$H34*K$11)*(1+Pricing!$I35*K$12)*K$13</f>
        <v>0.9995328103538863</v>
      </c>
      <c r="H33" s="17">
        <f>(1+RideSource!$H36*L$4)*(1+nonDriver!$F34*L$5)*(1+Curb!$I34*L$6)*(1+EV!$C34*L$7)*(1+VMT_fee!$K34*L$8)*(1+NOVMT!$K34*L$9)*(1+Satellite!$H34*L$10)*(1+ShareRide!$H34*L$11)*(1+Pricing!$I35*L$12)*L$13</f>
        <v>1.0987414221164071</v>
      </c>
    </row>
    <row r="34" spans="1:8" x14ac:dyDescent="0.25">
      <c r="A34" s="40">
        <f t="shared" si="1"/>
        <v>31</v>
      </c>
      <c r="B34" s="40">
        <f t="shared" si="1"/>
        <v>2048</v>
      </c>
      <c r="C34" s="17">
        <f>(1+RideSource!$H37*J$4)*(1+nonDriver!$F35*J$5)*(1+Curb!$I35*J$6)*(1+EV!$C35*J$7)*(1+VMT_fee!$K35*J$8)*(1+NOVMT!$K35*J$9)*(1+Satellite!$H35*J$10)*(1+ShareRide!$H35*J$11)*(1+Pricing!$I36*J$12)*J$13</f>
        <v>0.99929999999999997</v>
      </c>
      <c r="D34" s="17">
        <f>(1+RideSource!$H37*K$4)*(1+nonDriver!$F35*K$5)*(1+Curb!$I35*K$6)*(1+EV!$C35*K$7)*(1+VMT_fee!$K35*K$8)*(1+NOVMT!$K35*K$9)*(1+Satellite!$H35*K$10)*(1+ShareRide!$H35*K$11)*(1+Pricing!$I36*K$12)*K$13</f>
        <v>0.9995328103538863</v>
      </c>
      <c r="E34" s="17">
        <f>(1+RideSource!$H37*L$4)*(1+nonDriver!$F35*L$5)*(1+Curb!$I35*L$6)*(1+EV!$C35*L$7)*(1+VMT_fee!$K35*L$8)*(1+NOVMT!$K35*L$9)*(1+Satellite!$H35*L$10)*(1+ShareRide!$H35*L$11)*(1+Pricing!$I36*L$12)*L$13</f>
        <v>1.0987414221164071</v>
      </c>
      <c r="F34" s="17">
        <f>(1+RideSource!$H37*J$4)*(1+nonDriver!$F35*J$5)*(1+Curb!$I35*J$6)*(1+EV!$C35*J$7)*(1+VMT_fee!$K35*J$8)*(1+NOVMT!$K35*J$9)*(1+Satellite!$H35*J$10)*(1+ShareRide!$H35*J$11)*(1+Pricing!$I36*J$12)*J$13</f>
        <v>0.99929999999999997</v>
      </c>
      <c r="G34" s="17">
        <f>(1+RideSource!$H37*K$4)*(1+nonDriver!$F35*K$5)*(1+Curb!$I35*K$6)*(1+EV!$C35*K$7)*(1+VMT_fee!$K35*K$8)*(1+NOVMT!$K35*K$9)*(1+Satellite!$H35*K$10)*(1+ShareRide!$H35*K$11)*(1+Pricing!$I36*K$12)*K$13</f>
        <v>0.9995328103538863</v>
      </c>
      <c r="H34" s="17">
        <f>(1+RideSource!$H37*L$4)*(1+nonDriver!$F35*L$5)*(1+Curb!$I35*L$6)*(1+EV!$C35*L$7)*(1+VMT_fee!$K35*L$8)*(1+NOVMT!$K35*L$9)*(1+Satellite!$H35*L$10)*(1+ShareRide!$H35*L$11)*(1+Pricing!$I36*L$12)*L$13</f>
        <v>1.0987414221164071</v>
      </c>
    </row>
    <row r="35" spans="1:8" x14ac:dyDescent="0.25">
      <c r="A35" s="40">
        <f t="shared" si="1"/>
        <v>32</v>
      </c>
      <c r="B35" s="40">
        <f t="shared" si="1"/>
        <v>2049</v>
      </c>
      <c r="C35" s="17">
        <f>(1+RideSource!$H38*J$4)*(1+nonDriver!$F36*J$5)*(1+Curb!$I36*J$6)*(1+EV!$C36*J$7)*(1+VMT_fee!$K36*J$8)*(1+NOVMT!$K36*J$9)*(1+Satellite!$H36*J$10)*(1+ShareRide!$H36*J$11)*(1+Pricing!$I37*J$12)*J$13</f>
        <v>0.99929999999999997</v>
      </c>
      <c r="D35" s="17">
        <f>(1+RideSource!$H38*K$4)*(1+nonDriver!$F36*K$5)*(1+Curb!$I36*K$6)*(1+EV!$C36*K$7)*(1+VMT_fee!$K36*K$8)*(1+NOVMT!$K36*K$9)*(1+Satellite!$H36*K$10)*(1+ShareRide!$H36*K$11)*(1+Pricing!$I37*K$12)*K$13</f>
        <v>0.9995328103538863</v>
      </c>
      <c r="E35" s="17">
        <f>(1+RideSource!$H38*L$4)*(1+nonDriver!$F36*L$5)*(1+Curb!$I36*L$6)*(1+EV!$C36*L$7)*(1+VMT_fee!$K36*L$8)*(1+NOVMT!$K36*L$9)*(1+Satellite!$H36*L$10)*(1+ShareRide!$H36*L$11)*(1+Pricing!$I37*L$12)*L$13</f>
        <v>1.0987414221164071</v>
      </c>
      <c r="F35" s="17">
        <f>(1+RideSource!$H38*J$4)*(1+nonDriver!$F36*J$5)*(1+Curb!$I36*J$6)*(1+EV!$C36*J$7)*(1+VMT_fee!$K36*J$8)*(1+NOVMT!$K36*J$9)*(1+Satellite!$H36*J$10)*(1+ShareRide!$H36*J$11)*(1+Pricing!$I37*J$12)*J$13</f>
        <v>0.99929999999999997</v>
      </c>
      <c r="G35" s="17">
        <f>(1+RideSource!$H38*K$4)*(1+nonDriver!$F36*K$5)*(1+Curb!$I36*K$6)*(1+EV!$C36*K$7)*(1+VMT_fee!$K36*K$8)*(1+NOVMT!$K36*K$9)*(1+Satellite!$H36*K$10)*(1+ShareRide!$H36*K$11)*(1+Pricing!$I37*K$12)*K$13</f>
        <v>0.9995328103538863</v>
      </c>
      <c r="H35" s="17">
        <f>(1+RideSource!$H38*L$4)*(1+nonDriver!$F36*L$5)*(1+Curb!$I36*L$6)*(1+EV!$C36*L$7)*(1+VMT_fee!$K36*L$8)*(1+NOVMT!$K36*L$9)*(1+Satellite!$H36*L$10)*(1+ShareRide!$H36*L$11)*(1+Pricing!$I37*L$12)*L$13</f>
        <v>1.0987414221164071</v>
      </c>
    </row>
    <row r="36" spans="1:8" x14ac:dyDescent="0.25">
      <c r="A36" s="40">
        <f t="shared" si="1"/>
        <v>33</v>
      </c>
      <c r="B36" s="40">
        <f t="shared" si="1"/>
        <v>2050</v>
      </c>
      <c r="C36" s="17">
        <f>(1+RideSource!$H39*J$4)*(1+nonDriver!$F37*J$5)*(1+Curb!$I37*J$6)*(1+EV!$C37*J$7)*(1+VMT_fee!$K37*J$8)*(1+NOVMT!$K37*J$9)*(1+Satellite!$H37*J$10)*(1+ShareRide!$H37*J$11)*(1+Pricing!$I38*J$12)*J$13</f>
        <v>0.99929999999999997</v>
      </c>
      <c r="D36" s="17">
        <f>(1+RideSource!$H39*K$4)*(1+nonDriver!$F37*K$5)*(1+Curb!$I37*K$6)*(1+EV!$C37*K$7)*(1+VMT_fee!$K37*K$8)*(1+NOVMT!$K37*K$9)*(1+Satellite!$H37*K$10)*(1+ShareRide!$H37*K$11)*(1+Pricing!$I38*K$12)*K$13</f>
        <v>0.9995328103538863</v>
      </c>
      <c r="E36" s="17">
        <f>(1+RideSource!$H39*L$4)*(1+nonDriver!$F37*L$5)*(1+Curb!$I37*L$6)*(1+EV!$C37*L$7)*(1+VMT_fee!$K37*L$8)*(1+NOVMT!$K37*L$9)*(1+Satellite!$H37*L$10)*(1+ShareRide!$H37*L$11)*(1+Pricing!$I38*L$12)*L$13</f>
        <v>1.0987414221164071</v>
      </c>
      <c r="F36" s="17">
        <f>(1+RideSource!$H39*J$4)*(1+nonDriver!$F37*J$5)*(1+Curb!$I37*J$6)*(1+EV!$C37*J$7)*(1+VMT_fee!$K37*J$8)*(1+NOVMT!$K37*J$9)*(1+Satellite!$H37*J$10)*(1+ShareRide!$H37*J$11)*(1+Pricing!$I38*J$12)*J$13</f>
        <v>0.99929999999999997</v>
      </c>
      <c r="G36" s="17">
        <f>(1+RideSource!$H39*K$4)*(1+nonDriver!$F37*K$5)*(1+Curb!$I37*K$6)*(1+EV!$C37*K$7)*(1+VMT_fee!$K37*K$8)*(1+NOVMT!$K37*K$9)*(1+Satellite!$H37*K$10)*(1+ShareRide!$H37*K$11)*(1+Pricing!$I38*K$12)*K$13</f>
        <v>0.9995328103538863</v>
      </c>
      <c r="H36" s="17">
        <f>(1+RideSource!$H39*L$4)*(1+nonDriver!$F37*L$5)*(1+Curb!$I37*L$6)*(1+EV!$C37*L$7)*(1+VMT_fee!$K37*L$8)*(1+NOVMT!$K37*L$9)*(1+Satellite!$H37*L$10)*(1+ShareRide!$H37*L$11)*(1+Pricing!$I38*L$12)*L$13</f>
        <v>1.0987414221164071</v>
      </c>
    </row>
    <row r="37" spans="1:8" x14ac:dyDescent="0.25">
      <c r="A37" s="40">
        <f t="shared" si="1"/>
        <v>34</v>
      </c>
      <c r="B37" s="40">
        <f t="shared" si="1"/>
        <v>2051</v>
      </c>
      <c r="C37" s="17">
        <f>(1+RideSource!$H40*J$4)*(1+nonDriver!$F38*J$5)*(1+Curb!$I38*J$6)*(1+EV!$C38*J$7)*(1+VMT_fee!$K38*J$8)*(1+NOVMT!$K38*J$9)*(1+Satellite!$H38*J$10)*(1+ShareRide!$H38*J$11)*(1+Pricing!$I39*J$12)*J$13</f>
        <v>0.99929999999999997</v>
      </c>
      <c r="D37" s="17">
        <f>(1+RideSource!$H40*K$4)*(1+nonDriver!$F38*K$5)*(1+Curb!$I38*K$6)*(1+EV!$C38*K$7)*(1+VMT_fee!$K38*K$8)*(1+NOVMT!$K38*K$9)*(1+Satellite!$H38*K$10)*(1+ShareRide!$H38*K$11)*(1+Pricing!$I39*K$12)*K$13</f>
        <v>0.9995328103538863</v>
      </c>
      <c r="E37" s="17">
        <f>(1+RideSource!$H40*L$4)*(1+nonDriver!$F38*L$5)*(1+Curb!$I38*L$6)*(1+EV!$C38*L$7)*(1+VMT_fee!$K38*L$8)*(1+NOVMT!$K38*L$9)*(1+Satellite!$H38*L$10)*(1+ShareRide!$H38*L$11)*(1+Pricing!$I39*L$12)*L$13</f>
        <v>1.0987414221164071</v>
      </c>
      <c r="F37" s="17">
        <f>(1+RideSource!$H40*J$4)*(1+nonDriver!$F38*J$5)*(1+Curb!$I38*J$6)*(1+EV!$C38*J$7)*(1+VMT_fee!$K38*J$8)*(1+NOVMT!$K38*J$9)*(1+Satellite!$H38*J$10)*(1+ShareRide!$H38*J$11)*(1+Pricing!$I39*J$12)*J$13</f>
        <v>0.99929999999999997</v>
      </c>
      <c r="G37" s="17">
        <f>(1+RideSource!$H40*K$4)*(1+nonDriver!$F38*K$5)*(1+Curb!$I38*K$6)*(1+EV!$C38*K$7)*(1+VMT_fee!$K38*K$8)*(1+NOVMT!$K38*K$9)*(1+Satellite!$H38*K$10)*(1+ShareRide!$H38*K$11)*(1+Pricing!$I39*K$12)*K$13</f>
        <v>0.9995328103538863</v>
      </c>
      <c r="H37" s="17">
        <f>(1+RideSource!$H40*L$4)*(1+nonDriver!$F38*L$5)*(1+Curb!$I38*L$6)*(1+EV!$C38*L$7)*(1+VMT_fee!$K38*L$8)*(1+NOVMT!$K38*L$9)*(1+Satellite!$H38*L$10)*(1+ShareRide!$H38*L$11)*(1+Pricing!$I39*L$12)*L$13</f>
        <v>1.0987414221164071</v>
      </c>
    </row>
    <row r="38" spans="1:8" x14ac:dyDescent="0.25">
      <c r="A38" s="40">
        <f t="shared" ref="A38:B53" si="2">A37+1</f>
        <v>35</v>
      </c>
      <c r="B38" s="40">
        <f t="shared" si="2"/>
        <v>2052</v>
      </c>
      <c r="C38" s="17">
        <f>(1+RideSource!$H41*J$4)*(1+nonDriver!$F39*J$5)*(1+Curb!$I39*J$6)*(1+EV!$C39*J$7)*(1+VMT_fee!$K39*J$8)*(1+NOVMT!$K39*J$9)*(1+Satellite!$H39*J$10)*(1+ShareRide!$H39*J$11)*(1+Pricing!$I40*J$12)*J$13</f>
        <v>0.99929999999999997</v>
      </c>
      <c r="D38" s="17">
        <f>(1+RideSource!$H41*K$4)*(1+nonDriver!$F39*K$5)*(1+Curb!$I39*K$6)*(1+EV!$C39*K$7)*(1+VMT_fee!$K39*K$8)*(1+NOVMT!$K39*K$9)*(1+Satellite!$H39*K$10)*(1+ShareRide!$H39*K$11)*(1+Pricing!$I40*K$12)*K$13</f>
        <v>0.9995328103538863</v>
      </c>
      <c r="E38" s="17">
        <f>(1+RideSource!$H41*L$4)*(1+nonDriver!$F39*L$5)*(1+Curb!$I39*L$6)*(1+EV!$C39*L$7)*(1+VMT_fee!$K39*L$8)*(1+NOVMT!$K39*L$9)*(1+Satellite!$H39*L$10)*(1+ShareRide!$H39*L$11)*(1+Pricing!$I40*L$12)*L$13</f>
        <v>1.0987414221164071</v>
      </c>
      <c r="F38" s="17">
        <f>(1+RideSource!$H41*J$4)*(1+nonDriver!$F39*J$5)*(1+Curb!$I39*J$6)*(1+EV!$C39*J$7)*(1+VMT_fee!$K39*J$8)*(1+NOVMT!$K39*J$9)*(1+Satellite!$H39*J$10)*(1+ShareRide!$H39*J$11)*(1+Pricing!$I40*J$12)*J$13</f>
        <v>0.99929999999999997</v>
      </c>
      <c r="G38" s="17">
        <f>(1+RideSource!$H41*K$4)*(1+nonDriver!$F39*K$5)*(1+Curb!$I39*K$6)*(1+EV!$C39*K$7)*(1+VMT_fee!$K39*K$8)*(1+NOVMT!$K39*K$9)*(1+Satellite!$H39*K$10)*(1+ShareRide!$H39*K$11)*(1+Pricing!$I40*K$12)*K$13</f>
        <v>0.9995328103538863</v>
      </c>
      <c r="H38" s="17">
        <f>(1+RideSource!$H41*L$4)*(1+nonDriver!$F39*L$5)*(1+Curb!$I39*L$6)*(1+EV!$C39*L$7)*(1+VMT_fee!$K39*L$8)*(1+NOVMT!$K39*L$9)*(1+Satellite!$H39*L$10)*(1+ShareRide!$H39*L$11)*(1+Pricing!$I40*L$12)*L$13</f>
        <v>1.0987414221164071</v>
      </c>
    </row>
    <row r="39" spans="1:8" x14ac:dyDescent="0.25">
      <c r="A39" s="40">
        <f t="shared" si="2"/>
        <v>36</v>
      </c>
      <c r="B39" s="40">
        <f t="shared" si="2"/>
        <v>2053</v>
      </c>
      <c r="C39" s="17">
        <f>(1+RideSource!$H42*J$4)*(1+nonDriver!$F40*J$5)*(1+Curb!$I40*J$6)*(1+EV!$C40*J$7)*(1+VMT_fee!$K40*J$8)*(1+NOVMT!$K40*J$9)*(1+Satellite!$H40*J$10)*(1+ShareRide!$H40*J$11)*(1+Pricing!$I41*J$12)*J$13</f>
        <v>0.99929999999999997</v>
      </c>
      <c r="D39" s="17">
        <f>(1+RideSource!$H42*K$4)*(1+nonDriver!$F40*K$5)*(1+Curb!$I40*K$6)*(1+EV!$C40*K$7)*(1+VMT_fee!$K40*K$8)*(1+NOVMT!$K40*K$9)*(1+Satellite!$H40*K$10)*(1+ShareRide!$H40*K$11)*(1+Pricing!$I41*K$12)*K$13</f>
        <v>0.9995328103538863</v>
      </c>
      <c r="E39" s="17">
        <f>(1+RideSource!$H42*L$4)*(1+nonDriver!$F40*L$5)*(1+Curb!$I40*L$6)*(1+EV!$C40*L$7)*(1+VMT_fee!$K40*L$8)*(1+NOVMT!$K40*L$9)*(1+Satellite!$H40*L$10)*(1+ShareRide!$H40*L$11)*(1+Pricing!$I41*L$12)*L$13</f>
        <v>1.0987414221164071</v>
      </c>
      <c r="F39" s="17">
        <f>(1+RideSource!$H42*J$4)*(1+nonDriver!$F40*J$5)*(1+Curb!$I40*J$6)*(1+EV!$C40*J$7)*(1+VMT_fee!$K40*J$8)*(1+NOVMT!$K40*J$9)*(1+Satellite!$H40*J$10)*(1+ShareRide!$H40*J$11)*(1+Pricing!$I41*J$12)*J$13</f>
        <v>0.99929999999999997</v>
      </c>
      <c r="G39" s="17">
        <f>(1+RideSource!$H42*K$4)*(1+nonDriver!$F40*K$5)*(1+Curb!$I40*K$6)*(1+EV!$C40*K$7)*(1+VMT_fee!$K40*K$8)*(1+NOVMT!$K40*K$9)*(1+Satellite!$H40*K$10)*(1+ShareRide!$H40*K$11)*(1+Pricing!$I41*K$12)*K$13</f>
        <v>0.9995328103538863</v>
      </c>
      <c r="H39" s="17">
        <f>(1+RideSource!$H42*L$4)*(1+nonDriver!$F40*L$5)*(1+Curb!$I40*L$6)*(1+EV!$C40*L$7)*(1+VMT_fee!$K40*L$8)*(1+NOVMT!$K40*L$9)*(1+Satellite!$H40*L$10)*(1+ShareRide!$H40*L$11)*(1+Pricing!$I41*L$12)*L$13</f>
        <v>1.0987414221164071</v>
      </c>
    </row>
    <row r="40" spans="1:8" x14ac:dyDescent="0.25">
      <c r="A40" s="40">
        <f t="shared" si="2"/>
        <v>37</v>
      </c>
      <c r="B40" s="40">
        <f t="shared" si="2"/>
        <v>2054</v>
      </c>
      <c r="C40" s="17">
        <f>(1+RideSource!$H43*J$4)*(1+nonDriver!$F41*J$5)*(1+Curb!$I41*J$6)*(1+EV!$C41*J$7)*(1+VMT_fee!$K41*J$8)*(1+NOVMT!$K41*J$9)*(1+Satellite!$H41*J$10)*(1+ShareRide!$H41*J$11)*(1+Pricing!$I42*J$12)*J$13</f>
        <v>0.99929999999999997</v>
      </c>
      <c r="D40" s="17">
        <f>(1+RideSource!$H43*K$4)*(1+nonDriver!$F41*K$5)*(1+Curb!$I41*K$6)*(1+EV!$C41*K$7)*(1+VMT_fee!$K41*K$8)*(1+NOVMT!$K41*K$9)*(1+Satellite!$H41*K$10)*(1+ShareRide!$H41*K$11)*(1+Pricing!$I42*K$12)*K$13</f>
        <v>0.9995328103538863</v>
      </c>
      <c r="E40" s="17">
        <f>(1+RideSource!$H43*L$4)*(1+nonDriver!$F41*L$5)*(1+Curb!$I41*L$6)*(1+EV!$C41*L$7)*(1+VMT_fee!$K41*L$8)*(1+NOVMT!$K41*L$9)*(1+Satellite!$H41*L$10)*(1+ShareRide!$H41*L$11)*(1+Pricing!$I42*L$12)*L$13</f>
        <v>1.0987414221164071</v>
      </c>
      <c r="F40" s="17">
        <f>(1+RideSource!$H43*J$4)*(1+nonDriver!$F41*J$5)*(1+Curb!$I41*J$6)*(1+EV!$C41*J$7)*(1+VMT_fee!$K41*J$8)*(1+NOVMT!$K41*J$9)*(1+Satellite!$H41*J$10)*(1+ShareRide!$H41*J$11)*(1+Pricing!$I42*J$12)*J$13</f>
        <v>0.99929999999999997</v>
      </c>
      <c r="G40" s="17">
        <f>(1+RideSource!$H43*K$4)*(1+nonDriver!$F41*K$5)*(1+Curb!$I41*K$6)*(1+EV!$C41*K$7)*(1+VMT_fee!$K41*K$8)*(1+NOVMT!$K41*K$9)*(1+Satellite!$H41*K$10)*(1+ShareRide!$H41*K$11)*(1+Pricing!$I42*K$12)*K$13</f>
        <v>0.9995328103538863</v>
      </c>
      <c r="H40" s="17">
        <f>(1+RideSource!$H43*L$4)*(1+nonDriver!$F41*L$5)*(1+Curb!$I41*L$6)*(1+EV!$C41*L$7)*(1+VMT_fee!$K41*L$8)*(1+NOVMT!$K41*L$9)*(1+Satellite!$H41*L$10)*(1+ShareRide!$H41*L$11)*(1+Pricing!$I42*L$12)*L$13</f>
        <v>1.0987414221164071</v>
      </c>
    </row>
    <row r="41" spans="1:8" x14ac:dyDescent="0.25">
      <c r="A41" s="40">
        <f t="shared" si="2"/>
        <v>38</v>
      </c>
      <c r="B41" s="40">
        <f t="shared" si="2"/>
        <v>2055</v>
      </c>
      <c r="C41" s="17">
        <f>(1+RideSource!$H44*J$4)*(1+nonDriver!$F42*J$5)*(1+Curb!$I42*J$6)*(1+EV!$C42*J$7)*(1+VMT_fee!$K42*J$8)*(1+NOVMT!$K42*J$9)*(1+Satellite!$H42*J$10)*(1+ShareRide!$H42*J$11)*(1+Pricing!$I43*J$12)*J$13</f>
        <v>0.99929999999999997</v>
      </c>
      <c r="D41" s="17">
        <f>(1+RideSource!$H44*K$4)*(1+nonDriver!$F42*K$5)*(1+Curb!$I42*K$6)*(1+EV!$C42*K$7)*(1+VMT_fee!$K42*K$8)*(1+NOVMT!$K42*K$9)*(1+Satellite!$H42*K$10)*(1+ShareRide!$H42*K$11)*(1+Pricing!$I43*K$12)*K$13</f>
        <v>0.9995328103538863</v>
      </c>
      <c r="E41" s="17">
        <f>(1+RideSource!$H44*L$4)*(1+nonDriver!$F42*L$5)*(1+Curb!$I42*L$6)*(1+EV!$C42*L$7)*(1+VMT_fee!$K42*L$8)*(1+NOVMT!$K42*L$9)*(1+Satellite!$H42*L$10)*(1+ShareRide!$H42*L$11)*(1+Pricing!$I43*L$12)*L$13</f>
        <v>1.0987414221164071</v>
      </c>
      <c r="F41" s="17">
        <f>(1+RideSource!$H44*J$4)*(1+nonDriver!$F42*J$5)*(1+Curb!$I42*J$6)*(1+EV!$C42*J$7)*(1+VMT_fee!$K42*J$8)*(1+NOVMT!$K42*J$9)*(1+Satellite!$H42*J$10)*(1+ShareRide!$H42*J$11)*(1+Pricing!$I43*J$12)*J$13</f>
        <v>0.99929999999999997</v>
      </c>
      <c r="G41" s="17">
        <f>(1+RideSource!$H44*K$4)*(1+nonDriver!$F42*K$5)*(1+Curb!$I42*K$6)*(1+EV!$C42*K$7)*(1+VMT_fee!$K42*K$8)*(1+NOVMT!$K42*K$9)*(1+Satellite!$H42*K$10)*(1+ShareRide!$H42*K$11)*(1+Pricing!$I43*K$12)*K$13</f>
        <v>0.9995328103538863</v>
      </c>
      <c r="H41" s="17">
        <f>(1+RideSource!$H44*L$4)*(1+nonDriver!$F42*L$5)*(1+Curb!$I42*L$6)*(1+EV!$C42*L$7)*(1+VMT_fee!$K42*L$8)*(1+NOVMT!$K42*L$9)*(1+Satellite!$H42*L$10)*(1+ShareRide!$H42*L$11)*(1+Pricing!$I43*L$12)*L$13</f>
        <v>1.0987414221164071</v>
      </c>
    </row>
    <row r="42" spans="1:8" x14ac:dyDescent="0.25">
      <c r="A42" s="40">
        <f t="shared" si="2"/>
        <v>39</v>
      </c>
      <c r="B42" s="40">
        <f t="shared" si="2"/>
        <v>2056</v>
      </c>
      <c r="C42" s="17">
        <f>(1+RideSource!$H45*J$4)*(1+nonDriver!$F43*J$5)*(1+Curb!$I43*J$6)*(1+EV!$C43*J$7)*(1+VMT_fee!$K43*J$8)*(1+NOVMT!$K43*J$9)*(1+Satellite!$H43*J$10)*(1+ShareRide!$H43*J$11)*(1+Pricing!$I44*J$12)*J$13</f>
        <v>0.99929999999999997</v>
      </c>
      <c r="D42" s="17">
        <f>(1+RideSource!$H45*K$4)*(1+nonDriver!$F43*K$5)*(1+Curb!$I43*K$6)*(1+EV!$C43*K$7)*(1+VMT_fee!$K43*K$8)*(1+NOVMT!$K43*K$9)*(1+Satellite!$H43*K$10)*(1+ShareRide!$H43*K$11)*(1+Pricing!$I44*K$12)*K$13</f>
        <v>0.9995328103538863</v>
      </c>
      <c r="E42" s="17">
        <f>(1+RideSource!$H45*L$4)*(1+nonDriver!$F43*L$5)*(1+Curb!$I43*L$6)*(1+EV!$C43*L$7)*(1+VMT_fee!$K43*L$8)*(1+NOVMT!$K43*L$9)*(1+Satellite!$H43*L$10)*(1+ShareRide!$H43*L$11)*(1+Pricing!$I44*L$12)*L$13</f>
        <v>1.0987414221164071</v>
      </c>
      <c r="F42" s="17">
        <f>(1+RideSource!$H45*J$4)*(1+nonDriver!$F43*J$5)*(1+Curb!$I43*J$6)*(1+EV!$C43*J$7)*(1+VMT_fee!$K43*J$8)*(1+NOVMT!$K43*J$9)*(1+Satellite!$H43*J$10)*(1+ShareRide!$H43*J$11)*(1+Pricing!$I44*J$12)*J$13</f>
        <v>0.99929999999999997</v>
      </c>
      <c r="G42" s="17">
        <f>(1+RideSource!$H45*K$4)*(1+nonDriver!$F43*K$5)*(1+Curb!$I43*K$6)*(1+EV!$C43*K$7)*(1+VMT_fee!$K43*K$8)*(1+NOVMT!$K43*K$9)*(1+Satellite!$H43*K$10)*(1+ShareRide!$H43*K$11)*(1+Pricing!$I44*K$12)*K$13</f>
        <v>0.9995328103538863</v>
      </c>
      <c r="H42" s="17">
        <f>(1+RideSource!$H45*L$4)*(1+nonDriver!$F43*L$5)*(1+Curb!$I43*L$6)*(1+EV!$C43*L$7)*(1+VMT_fee!$K43*L$8)*(1+NOVMT!$K43*L$9)*(1+Satellite!$H43*L$10)*(1+ShareRide!$H43*L$11)*(1+Pricing!$I44*L$12)*L$13</f>
        <v>1.0987414221164071</v>
      </c>
    </row>
    <row r="43" spans="1:8" x14ac:dyDescent="0.25">
      <c r="A43" s="40">
        <f t="shared" si="2"/>
        <v>40</v>
      </c>
      <c r="B43" s="40">
        <f t="shared" si="2"/>
        <v>2057</v>
      </c>
      <c r="C43" s="17">
        <f>(1+RideSource!$H46*J$4)*(1+nonDriver!$F44*J$5)*(1+Curb!$I44*J$6)*(1+EV!$C44*J$7)*(1+VMT_fee!$K44*J$8)*(1+NOVMT!$K44*J$9)*(1+Satellite!$H44*J$10)*(1+ShareRide!$H44*J$11)*(1+Pricing!$I45*J$12)*J$13</f>
        <v>0.99929999999999997</v>
      </c>
      <c r="D43" s="17">
        <f>(1+RideSource!$H46*K$4)*(1+nonDriver!$F44*K$5)*(1+Curb!$I44*K$6)*(1+EV!$C44*K$7)*(1+VMT_fee!$K44*K$8)*(1+NOVMT!$K44*K$9)*(1+Satellite!$H44*K$10)*(1+ShareRide!$H44*K$11)*(1+Pricing!$I45*K$12)*K$13</f>
        <v>0.9995328103538863</v>
      </c>
      <c r="E43" s="17">
        <f>(1+RideSource!$H46*L$4)*(1+nonDriver!$F44*L$5)*(1+Curb!$I44*L$6)*(1+EV!$C44*L$7)*(1+VMT_fee!$K44*L$8)*(1+NOVMT!$K44*L$9)*(1+Satellite!$H44*L$10)*(1+ShareRide!$H44*L$11)*(1+Pricing!$I45*L$12)*L$13</f>
        <v>1.0987414221164071</v>
      </c>
      <c r="F43" s="17">
        <f>(1+RideSource!$H46*J$4)*(1+nonDriver!$F44*J$5)*(1+Curb!$I44*J$6)*(1+EV!$C44*J$7)*(1+VMT_fee!$K44*J$8)*(1+NOVMT!$K44*J$9)*(1+Satellite!$H44*J$10)*(1+ShareRide!$H44*J$11)*(1+Pricing!$I45*J$12)*J$13</f>
        <v>0.99929999999999997</v>
      </c>
      <c r="G43" s="17">
        <f>(1+RideSource!$H46*K$4)*(1+nonDriver!$F44*K$5)*(1+Curb!$I44*K$6)*(1+EV!$C44*K$7)*(1+VMT_fee!$K44*K$8)*(1+NOVMT!$K44*K$9)*(1+Satellite!$H44*K$10)*(1+ShareRide!$H44*K$11)*(1+Pricing!$I45*K$12)*K$13</f>
        <v>0.9995328103538863</v>
      </c>
      <c r="H43" s="17">
        <f>(1+RideSource!$H46*L$4)*(1+nonDriver!$F44*L$5)*(1+Curb!$I44*L$6)*(1+EV!$C44*L$7)*(1+VMT_fee!$K44*L$8)*(1+NOVMT!$K44*L$9)*(1+Satellite!$H44*L$10)*(1+ShareRide!$H44*L$11)*(1+Pricing!$I45*L$12)*L$13</f>
        <v>1.0987414221164071</v>
      </c>
    </row>
    <row r="44" spans="1:8" x14ac:dyDescent="0.25">
      <c r="A44" s="40">
        <f t="shared" si="2"/>
        <v>41</v>
      </c>
      <c r="B44" s="40">
        <f t="shared" si="2"/>
        <v>2058</v>
      </c>
      <c r="C44" s="17">
        <f>(1+RideSource!$H47*J$4)*(1+nonDriver!$F45*J$5)*(1+Curb!$I45*J$6)*(1+EV!$C45*J$7)*(1+VMT_fee!$K45*J$8)*(1+NOVMT!$K45*J$9)*(1+Satellite!$H45*J$10)*(1+ShareRide!$H45*J$11)*(1+Pricing!$I46*J$12)*J$13</f>
        <v>0.99929999999999997</v>
      </c>
      <c r="D44" s="17">
        <f>(1+RideSource!$H47*K$4)*(1+nonDriver!$F45*K$5)*(1+Curb!$I45*K$6)*(1+EV!$C45*K$7)*(1+VMT_fee!$K45*K$8)*(1+NOVMT!$K45*K$9)*(1+Satellite!$H45*K$10)*(1+ShareRide!$H45*K$11)*(1+Pricing!$I46*K$12)*K$13</f>
        <v>0.9995328103538863</v>
      </c>
      <c r="E44" s="17">
        <f>(1+RideSource!$H47*L$4)*(1+nonDriver!$F45*L$5)*(1+Curb!$I45*L$6)*(1+EV!$C45*L$7)*(1+VMT_fee!$K45*L$8)*(1+NOVMT!$K45*L$9)*(1+Satellite!$H45*L$10)*(1+ShareRide!$H45*L$11)*(1+Pricing!$I46*L$12)*L$13</f>
        <v>1.0987414221164071</v>
      </c>
      <c r="F44" s="17">
        <f>(1+RideSource!$H47*J$4)*(1+nonDriver!$F45*J$5)*(1+Curb!$I45*J$6)*(1+EV!$C45*J$7)*(1+VMT_fee!$K45*J$8)*(1+NOVMT!$K45*J$9)*(1+Satellite!$H45*J$10)*(1+ShareRide!$H45*J$11)*(1+Pricing!$I46*J$12)*J$13</f>
        <v>0.99929999999999997</v>
      </c>
      <c r="G44" s="17">
        <f>(1+RideSource!$H47*K$4)*(1+nonDriver!$F45*K$5)*(1+Curb!$I45*K$6)*(1+EV!$C45*K$7)*(1+VMT_fee!$K45*K$8)*(1+NOVMT!$K45*K$9)*(1+Satellite!$H45*K$10)*(1+ShareRide!$H45*K$11)*(1+Pricing!$I46*K$12)*K$13</f>
        <v>0.9995328103538863</v>
      </c>
      <c r="H44" s="17">
        <f>(1+RideSource!$H47*L$4)*(1+nonDriver!$F45*L$5)*(1+Curb!$I45*L$6)*(1+EV!$C45*L$7)*(1+VMT_fee!$K45*L$8)*(1+NOVMT!$K45*L$9)*(1+Satellite!$H45*L$10)*(1+ShareRide!$H45*L$11)*(1+Pricing!$I46*L$12)*L$13</f>
        <v>1.0987414221164071</v>
      </c>
    </row>
    <row r="45" spans="1:8" x14ac:dyDescent="0.25">
      <c r="A45" s="40">
        <f t="shared" si="2"/>
        <v>42</v>
      </c>
      <c r="B45" s="40">
        <f t="shared" si="2"/>
        <v>2059</v>
      </c>
      <c r="C45" s="17">
        <f>(1+RideSource!$H48*J$4)*(1+nonDriver!$F46*J$5)*(1+Curb!$I46*J$6)*(1+EV!$C46*J$7)*(1+VMT_fee!$K46*J$8)*(1+NOVMT!$K46*J$9)*(1+Satellite!$H46*J$10)*(1+ShareRide!$H46*J$11)*(1+Pricing!$I47*J$12)*J$13</f>
        <v>0.99929999999999997</v>
      </c>
      <c r="D45" s="17">
        <f>(1+RideSource!$H48*K$4)*(1+nonDriver!$F46*K$5)*(1+Curb!$I46*K$6)*(1+EV!$C46*K$7)*(1+VMT_fee!$K46*K$8)*(1+NOVMT!$K46*K$9)*(1+Satellite!$H46*K$10)*(1+ShareRide!$H46*K$11)*(1+Pricing!$I47*K$12)*K$13</f>
        <v>0.9995328103538863</v>
      </c>
      <c r="E45" s="17">
        <f>(1+RideSource!$H48*L$4)*(1+nonDriver!$F46*L$5)*(1+Curb!$I46*L$6)*(1+EV!$C46*L$7)*(1+VMT_fee!$K46*L$8)*(1+NOVMT!$K46*L$9)*(1+Satellite!$H46*L$10)*(1+ShareRide!$H46*L$11)*(1+Pricing!$I47*L$12)*L$13</f>
        <v>1.0987414221164071</v>
      </c>
      <c r="F45" s="17">
        <f>(1+RideSource!$H48*J$4)*(1+nonDriver!$F46*J$5)*(1+Curb!$I46*J$6)*(1+EV!$C46*J$7)*(1+VMT_fee!$K46*J$8)*(1+NOVMT!$K46*J$9)*(1+Satellite!$H46*J$10)*(1+ShareRide!$H46*J$11)*(1+Pricing!$I47*J$12)*J$13</f>
        <v>0.99929999999999997</v>
      </c>
      <c r="G45" s="17">
        <f>(1+RideSource!$H48*K$4)*(1+nonDriver!$F46*K$5)*(1+Curb!$I46*K$6)*(1+EV!$C46*K$7)*(1+VMT_fee!$K46*K$8)*(1+NOVMT!$K46*K$9)*(1+Satellite!$H46*K$10)*(1+ShareRide!$H46*K$11)*(1+Pricing!$I47*K$12)*K$13</f>
        <v>0.9995328103538863</v>
      </c>
      <c r="H45" s="17">
        <f>(1+RideSource!$H48*L$4)*(1+nonDriver!$F46*L$5)*(1+Curb!$I46*L$6)*(1+EV!$C46*L$7)*(1+VMT_fee!$K46*L$8)*(1+NOVMT!$K46*L$9)*(1+Satellite!$H46*L$10)*(1+ShareRide!$H46*L$11)*(1+Pricing!$I47*L$12)*L$13</f>
        <v>1.0987414221164071</v>
      </c>
    </row>
    <row r="46" spans="1:8" x14ac:dyDescent="0.25">
      <c r="A46" s="40">
        <f t="shared" si="2"/>
        <v>43</v>
      </c>
      <c r="B46" s="40">
        <f t="shared" si="2"/>
        <v>2060</v>
      </c>
      <c r="C46" s="17">
        <f>(1+RideSource!$H49*J$4)*(1+nonDriver!$F47*J$5)*(1+Curb!$I47*J$6)*(1+EV!$C47*J$7)*(1+VMT_fee!$K47*J$8)*(1+NOVMT!$K47*J$9)*(1+Satellite!$H47*J$10)*(1+ShareRide!$H47*J$11)*(1+Pricing!$I48*J$12)*J$13</f>
        <v>0.99929999999999997</v>
      </c>
      <c r="D46" s="17">
        <f>(1+RideSource!$H49*K$4)*(1+nonDriver!$F47*K$5)*(1+Curb!$I47*K$6)*(1+EV!$C47*K$7)*(1+VMT_fee!$K47*K$8)*(1+NOVMT!$K47*K$9)*(1+Satellite!$H47*K$10)*(1+ShareRide!$H47*K$11)*(1+Pricing!$I48*K$12)*K$13</f>
        <v>0.9995328103538863</v>
      </c>
      <c r="E46" s="17">
        <f>(1+RideSource!$H49*L$4)*(1+nonDriver!$F47*L$5)*(1+Curb!$I47*L$6)*(1+EV!$C47*L$7)*(1+VMT_fee!$K47*L$8)*(1+NOVMT!$K47*L$9)*(1+Satellite!$H47*L$10)*(1+ShareRide!$H47*L$11)*(1+Pricing!$I48*L$12)*L$13</f>
        <v>1.0987414221164071</v>
      </c>
      <c r="F46" s="17">
        <f>(1+RideSource!$H49*J$4)*(1+nonDriver!$F47*J$5)*(1+Curb!$I47*J$6)*(1+EV!$C47*J$7)*(1+VMT_fee!$K47*J$8)*(1+NOVMT!$K47*J$9)*(1+Satellite!$H47*J$10)*(1+ShareRide!$H47*J$11)*(1+Pricing!$I48*J$12)*J$13</f>
        <v>0.99929999999999997</v>
      </c>
      <c r="G46" s="17">
        <f>(1+RideSource!$H49*K$4)*(1+nonDriver!$F47*K$5)*(1+Curb!$I47*K$6)*(1+EV!$C47*K$7)*(1+VMT_fee!$K47*K$8)*(1+NOVMT!$K47*K$9)*(1+Satellite!$H47*K$10)*(1+ShareRide!$H47*K$11)*(1+Pricing!$I48*K$12)*K$13</f>
        <v>0.9995328103538863</v>
      </c>
      <c r="H46" s="17">
        <f>(1+RideSource!$H49*L$4)*(1+nonDriver!$F47*L$5)*(1+Curb!$I47*L$6)*(1+EV!$C47*L$7)*(1+VMT_fee!$K47*L$8)*(1+NOVMT!$K47*L$9)*(1+Satellite!$H47*L$10)*(1+ShareRide!$H47*L$11)*(1+Pricing!$I48*L$12)*L$13</f>
        <v>1.0987414221164071</v>
      </c>
    </row>
    <row r="47" spans="1:8" x14ac:dyDescent="0.25">
      <c r="A47" s="40">
        <f t="shared" si="2"/>
        <v>44</v>
      </c>
      <c r="B47" s="40">
        <f t="shared" si="2"/>
        <v>2061</v>
      </c>
      <c r="C47" s="17">
        <f>(1+RideSource!$H50*J$4)*(1+nonDriver!$F48*J$5)*(1+Curb!$I48*J$6)*(1+EV!$C48*J$7)*(1+VMT_fee!$K48*J$8)*(1+NOVMT!$K48*J$9)*(1+Satellite!$H48*J$10)*(1+ShareRide!$H48*J$11)*(1+Pricing!$I49*J$12)*J$13</f>
        <v>0.99929999999999997</v>
      </c>
      <c r="D47" s="17">
        <f>(1+RideSource!$H50*K$4)*(1+nonDriver!$F48*K$5)*(1+Curb!$I48*K$6)*(1+EV!$C48*K$7)*(1+VMT_fee!$K48*K$8)*(1+NOVMT!$K48*K$9)*(1+Satellite!$H48*K$10)*(1+ShareRide!$H48*K$11)*(1+Pricing!$I49*K$12)*K$13</f>
        <v>0.9995328103538863</v>
      </c>
      <c r="E47" s="17">
        <f>(1+RideSource!$H50*L$4)*(1+nonDriver!$F48*L$5)*(1+Curb!$I48*L$6)*(1+EV!$C48*L$7)*(1+VMT_fee!$K48*L$8)*(1+NOVMT!$K48*L$9)*(1+Satellite!$H48*L$10)*(1+ShareRide!$H48*L$11)*(1+Pricing!$I49*L$12)*L$13</f>
        <v>1.0987414221164071</v>
      </c>
      <c r="F47" s="17">
        <f>(1+RideSource!$H50*J$4)*(1+nonDriver!$F48*J$5)*(1+Curb!$I48*J$6)*(1+EV!$C48*J$7)*(1+VMT_fee!$K48*J$8)*(1+NOVMT!$K48*J$9)*(1+Satellite!$H48*J$10)*(1+ShareRide!$H48*J$11)*(1+Pricing!$I49*J$12)*J$13</f>
        <v>0.99929999999999997</v>
      </c>
      <c r="G47" s="17">
        <f>(1+RideSource!$H50*K$4)*(1+nonDriver!$F48*K$5)*(1+Curb!$I48*K$6)*(1+EV!$C48*K$7)*(1+VMT_fee!$K48*K$8)*(1+NOVMT!$K48*K$9)*(1+Satellite!$H48*K$10)*(1+ShareRide!$H48*K$11)*(1+Pricing!$I49*K$12)*K$13</f>
        <v>0.9995328103538863</v>
      </c>
      <c r="H47" s="17">
        <f>(1+RideSource!$H50*L$4)*(1+nonDriver!$F48*L$5)*(1+Curb!$I48*L$6)*(1+EV!$C48*L$7)*(1+VMT_fee!$K48*L$8)*(1+NOVMT!$K48*L$9)*(1+Satellite!$H48*L$10)*(1+ShareRide!$H48*L$11)*(1+Pricing!$I49*L$12)*L$13</f>
        <v>1.0987414221164071</v>
      </c>
    </row>
    <row r="48" spans="1:8" x14ac:dyDescent="0.25">
      <c r="A48" s="40">
        <f t="shared" si="2"/>
        <v>45</v>
      </c>
      <c r="B48" s="40">
        <f t="shared" si="2"/>
        <v>2062</v>
      </c>
      <c r="C48" s="17">
        <f>(1+RideSource!$H51*J$4)*(1+nonDriver!$F49*J$5)*(1+Curb!$I49*J$6)*(1+EV!$C49*J$7)*(1+VMT_fee!$K49*J$8)*(1+NOVMT!$K49*J$9)*(1+Satellite!$H49*J$10)*(1+ShareRide!$H49*J$11)*(1+Pricing!$I50*J$12)*J$13</f>
        <v>0.99929999999999997</v>
      </c>
      <c r="D48" s="17">
        <f>(1+RideSource!$H51*K$4)*(1+nonDriver!$F49*K$5)*(1+Curb!$I49*K$6)*(1+EV!$C49*K$7)*(1+VMT_fee!$K49*K$8)*(1+NOVMT!$K49*K$9)*(1+Satellite!$H49*K$10)*(1+ShareRide!$H49*K$11)*(1+Pricing!$I50*K$12)*K$13</f>
        <v>0.9995328103538863</v>
      </c>
      <c r="E48" s="17">
        <f>(1+RideSource!$H51*L$4)*(1+nonDriver!$F49*L$5)*(1+Curb!$I49*L$6)*(1+EV!$C49*L$7)*(1+VMT_fee!$K49*L$8)*(1+NOVMT!$K49*L$9)*(1+Satellite!$H49*L$10)*(1+ShareRide!$H49*L$11)*(1+Pricing!$I50*L$12)*L$13</f>
        <v>1.0987414221164071</v>
      </c>
      <c r="F48" s="17">
        <f>(1+RideSource!$H51*J$4)*(1+nonDriver!$F49*J$5)*(1+Curb!$I49*J$6)*(1+EV!$C49*J$7)*(1+VMT_fee!$K49*J$8)*(1+NOVMT!$K49*J$9)*(1+Satellite!$H49*J$10)*(1+ShareRide!$H49*J$11)*(1+Pricing!$I50*J$12)*J$13</f>
        <v>0.99929999999999997</v>
      </c>
      <c r="G48" s="17">
        <f>(1+RideSource!$H51*K$4)*(1+nonDriver!$F49*K$5)*(1+Curb!$I49*K$6)*(1+EV!$C49*K$7)*(1+VMT_fee!$K49*K$8)*(1+NOVMT!$K49*K$9)*(1+Satellite!$H49*K$10)*(1+ShareRide!$H49*K$11)*(1+Pricing!$I50*K$12)*K$13</f>
        <v>0.9995328103538863</v>
      </c>
      <c r="H48" s="17">
        <f>(1+RideSource!$H51*L$4)*(1+nonDriver!$F49*L$5)*(1+Curb!$I49*L$6)*(1+EV!$C49*L$7)*(1+VMT_fee!$K49*L$8)*(1+NOVMT!$K49*L$9)*(1+Satellite!$H49*L$10)*(1+ShareRide!$H49*L$11)*(1+Pricing!$I50*L$12)*L$13</f>
        <v>1.0987414221164071</v>
      </c>
    </row>
    <row r="49" spans="1:8" x14ac:dyDescent="0.25">
      <c r="A49" s="40">
        <f t="shared" si="2"/>
        <v>46</v>
      </c>
      <c r="B49" s="40">
        <f t="shared" si="2"/>
        <v>2063</v>
      </c>
      <c r="C49" s="17">
        <f>(1+RideSource!$H52*J$4)*(1+nonDriver!$F50*J$5)*(1+Curb!$I50*J$6)*(1+EV!$C50*J$7)*(1+VMT_fee!$K50*J$8)*(1+NOVMT!$K50*J$9)*(1+Satellite!$H50*J$10)*(1+ShareRide!$H50*J$11)*(1+Pricing!$I51*J$12)*J$13</f>
        <v>0.99929999999999997</v>
      </c>
      <c r="D49" s="17">
        <f>(1+RideSource!$H52*K$4)*(1+nonDriver!$F50*K$5)*(1+Curb!$I50*K$6)*(1+EV!$C50*K$7)*(1+VMT_fee!$K50*K$8)*(1+NOVMT!$K50*K$9)*(1+Satellite!$H50*K$10)*(1+ShareRide!$H50*K$11)*(1+Pricing!$I51*K$12)*K$13</f>
        <v>0.9995328103538863</v>
      </c>
      <c r="E49" s="17">
        <f>(1+RideSource!$H52*L$4)*(1+nonDriver!$F50*L$5)*(1+Curb!$I50*L$6)*(1+EV!$C50*L$7)*(1+VMT_fee!$K50*L$8)*(1+NOVMT!$K50*L$9)*(1+Satellite!$H50*L$10)*(1+ShareRide!$H50*L$11)*(1+Pricing!$I51*L$12)*L$13</f>
        <v>1.0987414221164071</v>
      </c>
      <c r="F49" s="17">
        <f>(1+RideSource!$H52*J$4)*(1+nonDriver!$F50*J$5)*(1+Curb!$I50*J$6)*(1+EV!$C50*J$7)*(1+VMT_fee!$K50*J$8)*(1+NOVMT!$K50*J$9)*(1+Satellite!$H50*J$10)*(1+ShareRide!$H50*J$11)*(1+Pricing!$I51*J$12)*J$13</f>
        <v>0.99929999999999997</v>
      </c>
      <c r="G49" s="17">
        <f>(1+RideSource!$H52*K$4)*(1+nonDriver!$F50*K$5)*(1+Curb!$I50*K$6)*(1+EV!$C50*K$7)*(1+VMT_fee!$K50*K$8)*(1+NOVMT!$K50*K$9)*(1+Satellite!$H50*K$10)*(1+ShareRide!$H50*K$11)*(1+Pricing!$I51*K$12)*K$13</f>
        <v>0.9995328103538863</v>
      </c>
      <c r="H49" s="17">
        <f>(1+RideSource!$H52*L$4)*(1+nonDriver!$F50*L$5)*(1+Curb!$I50*L$6)*(1+EV!$C50*L$7)*(1+VMT_fee!$K50*L$8)*(1+NOVMT!$K50*L$9)*(1+Satellite!$H50*L$10)*(1+ShareRide!$H50*L$11)*(1+Pricing!$I51*L$12)*L$13</f>
        <v>1.0987414221164071</v>
      </c>
    </row>
    <row r="50" spans="1:8" x14ac:dyDescent="0.25">
      <c r="A50" s="40">
        <f t="shared" si="2"/>
        <v>47</v>
      </c>
      <c r="B50" s="40">
        <f t="shared" si="2"/>
        <v>2064</v>
      </c>
      <c r="C50" s="17">
        <f>(1+RideSource!$H53*J$4)*(1+nonDriver!$F51*J$5)*(1+Curb!$I51*J$6)*(1+EV!$C51*J$7)*(1+VMT_fee!$K51*J$8)*(1+NOVMT!$K51*J$9)*(1+Satellite!$H51*J$10)*(1+ShareRide!$H51*J$11)*(1+Pricing!$I52*J$12)*J$13</f>
        <v>0.99929999999999997</v>
      </c>
      <c r="D50" s="17">
        <f>(1+RideSource!$H53*K$4)*(1+nonDriver!$F51*K$5)*(1+Curb!$I51*K$6)*(1+EV!$C51*K$7)*(1+VMT_fee!$K51*K$8)*(1+NOVMT!$K51*K$9)*(1+Satellite!$H51*K$10)*(1+ShareRide!$H51*K$11)*(1+Pricing!$I52*K$12)*K$13</f>
        <v>0.9995328103538863</v>
      </c>
      <c r="E50" s="17">
        <f>(1+RideSource!$H53*L$4)*(1+nonDriver!$F51*L$5)*(1+Curb!$I51*L$6)*(1+EV!$C51*L$7)*(1+VMT_fee!$K51*L$8)*(1+NOVMT!$K51*L$9)*(1+Satellite!$H51*L$10)*(1+ShareRide!$H51*L$11)*(1+Pricing!$I52*L$12)*L$13</f>
        <v>1.0987414221164071</v>
      </c>
      <c r="F50" s="17">
        <f>(1+RideSource!$H53*J$4)*(1+nonDriver!$F51*J$5)*(1+Curb!$I51*J$6)*(1+EV!$C51*J$7)*(1+VMT_fee!$K51*J$8)*(1+NOVMT!$K51*J$9)*(1+Satellite!$H51*J$10)*(1+ShareRide!$H51*J$11)*(1+Pricing!$I52*J$12)*J$13</f>
        <v>0.99929999999999997</v>
      </c>
      <c r="G50" s="17">
        <f>(1+RideSource!$H53*K$4)*(1+nonDriver!$F51*K$5)*(1+Curb!$I51*K$6)*(1+EV!$C51*K$7)*(1+VMT_fee!$K51*K$8)*(1+NOVMT!$K51*K$9)*(1+Satellite!$H51*K$10)*(1+ShareRide!$H51*K$11)*(1+Pricing!$I52*K$12)*K$13</f>
        <v>0.9995328103538863</v>
      </c>
      <c r="H50" s="17">
        <f>(1+RideSource!$H53*L$4)*(1+nonDriver!$F51*L$5)*(1+Curb!$I51*L$6)*(1+EV!$C51*L$7)*(1+VMT_fee!$K51*L$8)*(1+NOVMT!$K51*L$9)*(1+Satellite!$H51*L$10)*(1+ShareRide!$H51*L$11)*(1+Pricing!$I52*L$12)*L$13</f>
        <v>1.0987414221164071</v>
      </c>
    </row>
    <row r="51" spans="1:8" x14ac:dyDescent="0.25">
      <c r="A51" s="40">
        <f t="shared" si="2"/>
        <v>48</v>
      </c>
      <c r="B51" s="40">
        <f t="shared" si="2"/>
        <v>2065</v>
      </c>
      <c r="C51" s="17">
        <f>(1+RideSource!$H54*J$4)*(1+nonDriver!$F52*J$5)*(1+Curb!$I52*J$6)*(1+EV!$C52*J$7)*(1+VMT_fee!$K52*J$8)*(1+NOVMT!$K52*J$9)*(1+Satellite!$H52*J$10)*(1+ShareRide!$H52*J$11)*(1+Pricing!$I53*J$12)*J$13</f>
        <v>0.99929999999999997</v>
      </c>
      <c r="D51" s="17">
        <f>(1+RideSource!$H54*K$4)*(1+nonDriver!$F52*K$5)*(1+Curb!$I52*K$6)*(1+EV!$C52*K$7)*(1+VMT_fee!$K52*K$8)*(1+NOVMT!$K52*K$9)*(1+Satellite!$H52*K$10)*(1+ShareRide!$H52*K$11)*(1+Pricing!$I53*K$12)*K$13</f>
        <v>0.9995328103538863</v>
      </c>
      <c r="E51" s="17">
        <f>(1+RideSource!$H54*L$4)*(1+nonDriver!$F52*L$5)*(1+Curb!$I52*L$6)*(1+EV!$C52*L$7)*(1+VMT_fee!$K52*L$8)*(1+NOVMT!$K52*L$9)*(1+Satellite!$H52*L$10)*(1+ShareRide!$H52*L$11)*(1+Pricing!$I53*L$12)*L$13</f>
        <v>1.0987414221164071</v>
      </c>
      <c r="F51" s="17">
        <f>(1+RideSource!$H54*J$4)*(1+nonDriver!$F52*J$5)*(1+Curb!$I52*J$6)*(1+EV!$C52*J$7)*(1+VMT_fee!$K52*J$8)*(1+NOVMT!$K52*J$9)*(1+Satellite!$H52*J$10)*(1+ShareRide!$H52*J$11)*(1+Pricing!$I53*J$12)*J$13</f>
        <v>0.99929999999999997</v>
      </c>
      <c r="G51" s="17">
        <f>(1+RideSource!$H54*K$4)*(1+nonDriver!$F52*K$5)*(1+Curb!$I52*K$6)*(1+EV!$C52*K$7)*(1+VMT_fee!$K52*K$8)*(1+NOVMT!$K52*K$9)*(1+Satellite!$H52*K$10)*(1+ShareRide!$H52*K$11)*(1+Pricing!$I53*K$12)*K$13</f>
        <v>0.9995328103538863</v>
      </c>
      <c r="H51" s="17">
        <f>(1+RideSource!$H54*L$4)*(1+nonDriver!$F52*L$5)*(1+Curb!$I52*L$6)*(1+EV!$C52*L$7)*(1+VMT_fee!$K52*L$8)*(1+NOVMT!$K52*L$9)*(1+Satellite!$H52*L$10)*(1+ShareRide!$H52*L$11)*(1+Pricing!$I53*L$12)*L$13</f>
        <v>1.0987414221164071</v>
      </c>
    </row>
    <row r="52" spans="1:8" x14ac:dyDescent="0.25">
      <c r="A52" s="40">
        <f t="shared" si="2"/>
        <v>49</v>
      </c>
      <c r="B52" s="40">
        <f t="shared" si="2"/>
        <v>2066</v>
      </c>
      <c r="C52" s="17">
        <f>(1+RideSource!$H55*J$4)*(1+nonDriver!$F53*J$5)*(1+Curb!$I53*J$6)*(1+EV!$C53*J$7)*(1+VMT_fee!$K53*J$8)*(1+NOVMT!$K53*J$9)*(1+Satellite!$H53*J$10)*(1+ShareRide!$H53*J$11)*(1+Pricing!$I54*J$12)*J$13</f>
        <v>0.99929999999999997</v>
      </c>
      <c r="D52" s="17">
        <f>(1+RideSource!$H55*K$4)*(1+nonDriver!$F53*K$5)*(1+Curb!$I53*K$6)*(1+EV!$C53*K$7)*(1+VMT_fee!$K53*K$8)*(1+NOVMT!$K53*K$9)*(1+Satellite!$H53*K$10)*(1+ShareRide!$H53*K$11)*(1+Pricing!$I54*K$12)*K$13</f>
        <v>0.9995328103538863</v>
      </c>
      <c r="E52" s="17">
        <f>(1+RideSource!$H55*L$4)*(1+nonDriver!$F53*L$5)*(1+Curb!$I53*L$6)*(1+EV!$C53*L$7)*(1+VMT_fee!$K53*L$8)*(1+NOVMT!$K53*L$9)*(1+Satellite!$H53*L$10)*(1+ShareRide!$H53*L$11)*(1+Pricing!$I54*L$12)*L$13</f>
        <v>1.0987414221164071</v>
      </c>
      <c r="F52" s="17">
        <f>(1+RideSource!$H55*J$4)*(1+nonDriver!$F53*J$5)*(1+Curb!$I53*J$6)*(1+EV!$C53*J$7)*(1+VMT_fee!$K53*J$8)*(1+NOVMT!$K53*J$9)*(1+Satellite!$H53*J$10)*(1+ShareRide!$H53*J$11)*(1+Pricing!$I54*J$12)*J$13</f>
        <v>0.99929999999999997</v>
      </c>
      <c r="G52" s="17">
        <f>(1+RideSource!$H55*K$4)*(1+nonDriver!$F53*K$5)*(1+Curb!$I53*K$6)*(1+EV!$C53*K$7)*(1+VMT_fee!$K53*K$8)*(1+NOVMT!$K53*K$9)*(1+Satellite!$H53*K$10)*(1+ShareRide!$H53*K$11)*(1+Pricing!$I54*K$12)*K$13</f>
        <v>0.9995328103538863</v>
      </c>
      <c r="H52" s="17">
        <f>(1+RideSource!$H55*L$4)*(1+nonDriver!$F53*L$5)*(1+Curb!$I53*L$6)*(1+EV!$C53*L$7)*(1+VMT_fee!$K53*L$8)*(1+NOVMT!$K53*L$9)*(1+Satellite!$H53*L$10)*(1+ShareRide!$H53*L$11)*(1+Pricing!$I54*L$12)*L$13</f>
        <v>1.0987414221164071</v>
      </c>
    </row>
    <row r="53" spans="1:8" x14ac:dyDescent="0.25">
      <c r="A53" s="40">
        <f t="shared" si="2"/>
        <v>50</v>
      </c>
      <c r="B53" s="40">
        <f t="shared" si="2"/>
        <v>2067</v>
      </c>
      <c r="C53" s="17">
        <f>(1+RideSource!$H56*J$4)*(1+nonDriver!$F54*J$5)*(1+Curb!$I54*J$6)*(1+EV!$C54*J$7)*(1+VMT_fee!$K54*J$8)*(1+NOVMT!$K54*J$9)*(1+Satellite!$H54*J$10)*(1+ShareRide!$H54*J$11)*(1+Pricing!$I55*J$12)*J$13</f>
        <v>0.99929999999999997</v>
      </c>
      <c r="D53" s="17">
        <f>(1+RideSource!$H56*K$4)*(1+nonDriver!$F54*K$5)*(1+Curb!$I54*K$6)*(1+EV!$C54*K$7)*(1+VMT_fee!$K54*K$8)*(1+NOVMT!$K54*K$9)*(1+Satellite!$H54*K$10)*(1+ShareRide!$H54*K$11)*(1+Pricing!$I55*K$12)*K$13</f>
        <v>0.9995328103538863</v>
      </c>
      <c r="E53" s="17">
        <f>(1+RideSource!$H56*L$4)*(1+nonDriver!$F54*L$5)*(1+Curb!$I54*L$6)*(1+EV!$C54*L$7)*(1+VMT_fee!$K54*L$8)*(1+NOVMT!$K54*L$9)*(1+Satellite!$H54*L$10)*(1+ShareRide!$H54*L$11)*(1+Pricing!$I55*L$12)*L$13</f>
        <v>1.0987414221164071</v>
      </c>
      <c r="F53" s="17">
        <f>(1+RideSource!$H56*J$4)*(1+nonDriver!$F54*J$5)*(1+Curb!$I54*J$6)*(1+EV!$C54*J$7)*(1+VMT_fee!$K54*J$8)*(1+NOVMT!$K54*J$9)*(1+Satellite!$H54*J$10)*(1+ShareRide!$H54*J$11)*(1+Pricing!$I55*J$12)*J$13</f>
        <v>0.99929999999999997</v>
      </c>
      <c r="G53" s="17">
        <f>(1+RideSource!$H56*K$4)*(1+nonDriver!$F54*K$5)*(1+Curb!$I54*K$6)*(1+EV!$C54*K$7)*(1+VMT_fee!$K54*K$8)*(1+NOVMT!$K54*K$9)*(1+Satellite!$H54*K$10)*(1+ShareRide!$H54*K$11)*(1+Pricing!$I55*K$12)*K$13</f>
        <v>0.9995328103538863</v>
      </c>
      <c r="H53" s="17">
        <f>(1+RideSource!$H56*L$4)*(1+nonDriver!$F54*L$5)*(1+Curb!$I54*L$6)*(1+EV!$C54*L$7)*(1+VMT_fee!$K54*L$8)*(1+NOVMT!$K54*L$9)*(1+Satellite!$H54*L$10)*(1+ShareRide!$H54*L$11)*(1+Pricing!$I55*L$12)*L$13</f>
        <v>1.0987414221164071</v>
      </c>
    </row>
    <row r="54" spans="1:8" x14ac:dyDescent="0.25">
      <c r="A54" s="40">
        <f t="shared" ref="A54:B56" si="3">A53+1</f>
        <v>51</v>
      </c>
      <c r="B54" s="40">
        <f t="shared" si="3"/>
        <v>2068</v>
      </c>
      <c r="C54" s="17">
        <f>(1+RideSource!$H57*J$4)*(1+nonDriver!$F55*J$5)*(1+Curb!$I55*J$6)*(1+EV!$C55*J$7)*(1+VMT_fee!$K55*J$8)*(1+NOVMT!$K55*J$9)*(1+Satellite!$H55*J$10)*(1+ShareRide!$H55*J$11)*(1+Pricing!$I56*J$12)*J$13</f>
        <v>0.99929999999999997</v>
      </c>
      <c r="D54" s="17">
        <f>(1+RideSource!$H57*K$4)*(1+nonDriver!$F55*K$5)*(1+Curb!$I55*K$6)*(1+EV!$C55*K$7)*(1+VMT_fee!$K55*K$8)*(1+NOVMT!$K55*K$9)*(1+Satellite!$H55*K$10)*(1+ShareRide!$H55*K$11)*(1+Pricing!$I56*K$12)*K$13</f>
        <v>0.9995328103538863</v>
      </c>
      <c r="E54" s="17">
        <f>(1+RideSource!$H57*L$4)*(1+nonDriver!$F55*L$5)*(1+Curb!$I55*L$6)*(1+EV!$C55*L$7)*(1+VMT_fee!$K55*L$8)*(1+NOVMT!$K55*L$9)*(1+Satellite!$H55*L$10)*(1+ShareRide!$H55*L$11)*(1+Pricing!$I56*L$12)*L$13</f>
        <v>1.0987414221164071</v>
      </c>
      <c r="F54" s="17">
        <f>(1+RideSource!$H57*J$4)*(1+nonDriver!$F55*J$5)*(1+Curb!$I55*J$6)*(1+EV!$C55*J$7)*(1+VMT_fee!$K55*J$8)*(1+NOVMT!$K55*J$9)*(1+Satellite!$H55*J$10)*(1+ShareRide!$H55*J$11)*(1+Pricing!$I56*J$12)*J$13</f>
        <v>0.99929999999999997</v>
      </c>
      <c r="G54" s="17">
        <f>(1+RideSource!$H57*K$4)*(1+nonDriver!$F55*K$5)*(1+Curb!$I55*K$6)*(1+EV!$C55*K$7)*(1+VMT_fee!$K55*K$8)*(1+NOVMT!$K55*K$9)*(1+Satellite!$H55*K$10)*(1+ShareRide!$H55*K$11)*(1+Pricing!$I56*K$12)*K$13</f>
        <v>0.9995328103538863</v>
      </c>
      <c r="H54" s="17">
        <f>(1+RideSource!$H57*L$4)*(1+nonDriver!$F55*L$5)*(1+Curb!$I55*L$6)*(1+EV!$C55*L$7)*(1+VMT_fee!$K55*L$8)*(1+NOVMT!$K55*L$9)*(1+Satellite!$H55*L$10)*(1+ShareRide!$H55*L$11)*(1+Pricing!$I56*L$12)*L$13</f>
        <v>1.0987414221164071</v>
      </c>
    </row>
    <row r="55" spans="1:8" x14ac:dyDescent="0.25">
      <c r="A55" s="40">
        <f t="shared" si="3"/>
        <v>52</v>
      </c>
      <c r="B55" s="40">
        <f t="shared" si="3"/>
        <v>2069</v>
      </c>
      <c r="C55" s="17">
        <f>(1+RideSource!$H58*J$4)*(1+nonDriver!$F56*J$5)*(1+Curb!$I56*J$6)*(1+EV!$C56*J$7)*(1+VMT_fee!$K56*J$8)*(1+NOVMT!$K56*J$9)*(1+Satellite!$H56*J$10)*(1+ShareRide!$H56*J$11)*(1+Pricing!$I57*J$12)*J$13</f>
        <v>0.99929999999999997</v>
      </c>
      <c r="D55" s="17">
        <f>(1+RideSource!$H58*K$4)*(1+nonDriver!$F56*K$5)*(1+Curb!$I56*K$6)*(1+EV!$C56*K$7)*(1+VMT_fee!$K56*K$8)*(1+NOVMT!$K56*K$9)*(1+Satellite!$H56*K$10)*(1+ShareRide!$H56*K$11)*(1+Pricing!$I57*K$12)*K$13</f>
        <v>0.9995328103538863</v>
      </c>
      <c r="E55" s="17">
        <f>(1+RideSource!$H58*L$4)*(1+nonDriver!$F56*L$5)*(1+Curb!$I56*L$6)*(1+EV!$C56*L$7)*(1+VMT_fee!$K56*L$8)*(1+NOVMT!$K56*L$9)*(1+Satellite!$H56*L$10)*(1+ShareRide!$H56*L$11)*(1+Pricing!$I57*L$12)*L$13</f>
        <v>1.0987414221164071</v>
      </c>
      <c r="F55" s="17">
        <f>(1+RideSource!$H58*J$4)*(1+nonDriver!$F56*J$5)*(1+Curb!$I56*J$6)*(1+EV!$C56*J$7)*(1+VMT_fee!$K56*J$8)*(1+NOVMT!$K56*J$9)*(1+Satellite!$H56*J$10)*(1+ShareRide!$H56*J$11)*(1+Pricing!$I57*J$12)*J$13</f>
        <v>0.99929999999999997</v>
      </c>
      <c r="G55" s="17">
        <f>(1+RideSource!$H58*K$4)*(1+nonDriver!$F56*K$5)*(1+Curb!$I56*K$6)*(1+EV!$C56*K$7)*(1+VMT_fee!$K56*K$8)*(1+NOVMT!$K56*K$9)*(1+Satellite!$H56*K$10)*(1+ShareRide!$H56*K$11)*(1+Pricing!$I57*K$12)*K$13</f>
        <v>0.9995328103538863</v>
      </c>
      <c r="H55" s="17">
        <f>(1+RideSource!$H58*L$4)*(1+nonDriver!$F56*L$5)*(1+Curb!$I56*L$6)*(1+EV!$C56*L$7)*(1+VMT_fee!$K56*L$8)*(1+NOVMT!$K56*L$9)*(1+Satellite!$H56*L$10)*(1+ShareRide!$H56*L$11)*(1+Pricing!$I57*L$12)*L$13</f>
        <v>1.0987414221164071</v>
      </c>
    </row>
    <row r="56" spans="1:8" x14ac:dyDescent="0.25">
      <c r="A56" s="40">
        <f t="shared" si="3"/>
        <v>53</v>
      </c>
      <c r="B56" s="40">
        <f t="shared" si="3"/>
        <v>2070</v>
      </c>
      <c r="C56" s="17">
        <f>(1+RideSource!$H59*J$4)*(1+nonDriver!$F57*J$5)*(1+Curb!$I57*J$6)*(1+EV!$C57*J$7)*(1+VMT_fee!$K57*J$8)*(1+NOVMT!$K57*J$9)*(1+Satellite!$H57*J$10)*(1+ShareRide!$H57*J$11)*(1+Pricing!$I58*J$12)*J$13</f>
        <v>0.99929999999999997</v>
      </c>
      <c r="D56" s="17">
        <f>(1+RideSource!$H59*K$4)*(1+nonDriver!$F57*K$5)*(1+Curb!$I57*K$6)*(1+EV!$C57*K$7)*(1+VMT_fee!$K57*K$8)*(1+NOVMT!$K57*K$9)*(1+Satellite!$H57*K$10)*(1+ShareRide!$H57*K$11)*(1+Pricing!$I58*K$12)*K$13</f>
        <v>0.9995328103538863</v>
      </c>
      <c r="E56" s="17">
        <f>(1+RideSource!$H59*L$4)*(1+nonDriver!$F57*L$5)*(1+Curb!$I57*L$6)*(1+EV!$C57*L$7)*(1+VMT_fee!$K57*L$8)*(1+NOVMT!$K57*L$9)*(1+Satellite!$H57*L$10)*(1+ShareRide!$H57*L$11)*(1+Pricing!$I58*L$12)*L$13</f>
        <v>1.0987414221164071</v>
      </c>
      <c r="F56" s="17">
        <f>(1+RideSource!$H59*J$4)*(1+nonDriver!$F57*J$5)*(1+Curb!$I57*J$6)*(1+EV!$C57*J$7)*(1+VMT_fee!$K57*J$8)*(1+NOVMT!$K57*J$9)*(1+Satellite!$H57*J$10)*(1+ShareRide!$H57*J$11)*(1+Pricing!$I58*J$12)*J$13</f>
        <v>0.99929999999999997</v>
      </c>
      <c r="G56" s="17">
        <f>(1+RideSource!$H59*K$4)*(1+nonDriver!$F57*K$5)*(1+Curb!$I57*K$6)*(1+EV!$C57*K$7)*(1+VMT_fee!$K57*K$8)*(1+NOVMT!$K57*K$9)*(1+Satellite!$H57*K$10)*(1+ShareRide!$H57*K$11)*(1+Pricing!$I58*K$12)*K$13</f>
        <v>0.9995328103538863</v>
      </c>
      <c r="H56" s="17">
        <f>(1+RideSource!$H59*L$4)*(1+nonDriver!$F57*L$5)*(1+Curb!$I57*L$6)*(1+EV!$C57*L$7)*(1+VMT_fee!$K57*L$8)*(1+NOVMT!$K57*L$9)*(1+Satellite!$H57*L$10)*(1+ShareRide!$H57*L$11)*(1+Pricing!$I58*L$12)*L$13</f>
        <v>1.0987414221164071</v>
      </c>
    </row>
  </sheetData>
  <mergeCells count="1">
    <mergeCell ref="C2:H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56"/>
  <sheetViews>
    <sheetView workbookViewId="0">
      <selection activeCell="J8" sqref="J8"/>
    </sheetView>
  </sheetViews>
  <sheetFormatPr defaultRowHeight="15" x14ac:dyDescent="0.25"/>
  <cols>
    <col min="1" max="1" width="7.28515625" style="44" customWidth="1"/>
    <col min="2" max="2" width="8.85546875" style="44" customWidth="1"/>
    <col min="3" max="8" width="13.7109375" customWidth="1"/>
    <col min="11" max="11" width="9.140625" style="15"/>
  </cols>
  <sheetData>
    <row r="1" spans="1:16" ht="15.75" x14ac:dyDescent="0.25">
      <c r="A1" s="33" t="s">
        <v>175</v>
      </c>
    </row>
    <row r="2" spans="1:16" ht="20.25" customHeight="1" x14ac:dyDescent="0.25">
      <c r="C2" s="177" t="s">
        <v>6</v>
      </c>
      <c r="D2" s="177"/>
      <c r="E2" s="177"/>
      <c r="F2" s="177"/>
      <c r="G2" s="177"/>
      <c r="H2" s="177"/>
    </row>
    <row r="3" spans="1:16" x14ac:dyDescent="0.25">
      <c r="B3" s="44" t="s">
        <v>97</v>
      </c>
      <c r="C3" s="44" t="s">
        <v>0</v>
      </c>
      <c r="D3" s="44" t="s">
        <v>1</v>
      </c>
      <c r="E3" s="44" t="s">
        <v>2</v>
      </c>
      <c r="F3" s="44" t="s">
        <v>3</v>
      </c>
      <c r="G3" s="44" t="s">
        <v>4</v>
      </c>
      <c r="H3" s="44" t="s">
        <v>5</v>
      </c>
      <c r="J3" s="44" t="s">
        <v>100</v>
      </c>
      <c r="K3" s="44" t="s">
        <v>101</v>
      </c>
      <c r="L3" s="44" t="s">
        <v>102</v>
      </c>
      <c r="M3" s="6" t="s">
        <v>137</v>
      </c>
    </row>
    <row r="4" spans="1:16" x14ac:dyDescent="0.25">
      <c r="A4" s="44">
        <v>1</v>
      </c>
      <c r="B4" s="44">
        <f>City!B3</f>
        <v>2018</v>
      </c>
      <c r="C4" s="17">
        <f>(1+RideSource!$H7*J$4)*(1+nonDriver!$F5*J$5)*(1+ShareRide!$H5*J$6)*(1+Pricing!$I6*J$7)*J$8</f>
        <v>1</v>
      </c>
      <c r="D4" s="17">
        <f>(1+RideSource!$H7*K$4)*(1+nonDriver!$F5*K$5)*(1+ShareRide!$H5*K$6)*(1+Pricing!$I6*K$7)*K$8</f>
        <v>1</v>
      </c>
      <c r="E4" s="17">
        <f>(1+RideSource!$H7*L$4)*(1+nonDriver!$F5*L$5)*(1+ShareRide!$H5*L$6)*(1+Pricing!$I6*L$7)*L$8</f>
        <v>1</v>
      </c>
      <c r="F4" s="17">
        <f>(1+RideSource!$H7*J$4)*(1+nonDriver!$F5*J$5)*(1+ShareRide!$H5*J$6)*(1+Pricing!$I6*J$7)*J$8</f>
        <v>1</v>
      </c>
      <c r="G4" s="17">
        <f>(1+RideSource!$H7*K$4)*(1+nonDriver!$F5*K$5)*(1+ShareRide!$H5*K$6)*(1+Pricing!$I6*K$7)*K$8</f>
        <v>1</v>
      </c>
      <c r="H4" s="17">
        <f>(1+RideSource!$H7*L$4)*(1+nonDriver!$F5*L$5)*(1+ShareRide!$H5*L$6)*(1+Pricing!$I6*L$7)*L$8</f>
        <v>1</v>
      </c>
      <c r="J4" s="16">
        <v>0</v>
      </c>
      <c r="K4" s="46">
        <v>0.05</v>
      </c>
      <c r="L4" s="16">
        <v>7.0000000000000007E-2</v>
      </c>
      <c r="M4" s="2" t="s">
        <v>164</v>
      </c>
      <c r="P4" t="s">
        <v>168</v>
      </c>
    </row>
    <row r="5" spans="1:16" x14ac:dyDescent="0.25">
      <c r="A5" s="44">
        <f>A4+1</f>
        <v>2</v>
      </c>
      <c r="B5" s="44">
        <f>B4+1</f>
        <v>2019</v>
      </c>
      <c r="C5" s="17">
        <f>(1+RideSource!$H8*J$4)*(1+nonDriver!$F6*J$5)*(1+ShareRide!$H6*J$6)*(1+Pricing!$I7*J$7)*J$8</f>
        <v>1</v>
      </c>
      <c r="D5" s="17">
        <f>(1+RideSource!$H8*K$4)*(1+nonDriver!$F6*K$5)*(1+ShareRide!$H6*K$6)*(1+Pricing!$I7*K$7)*K$8</f>
        <v>1</v>
      </c>
      <c r="E5" s="17">
        <f>(1+RideSource!$H8*L$4)*(1+nonDriver!$F6*L$5)*(1+ShareRide!$H6*L$6)*(1+Pricing!$I7*L$7)*L$8</f>
        <v>1</v>
      </c>
      <c r="F5" s="17">
        <f>(1+RideSource!$H8*J$4)*(1+nonDriver!$F6*J$5)*(1+ShareRide!$H6*J$6)*(1+Pricing!$I7*J$7)*J$8</f>
        <v>1</v>
      </c>
      <c r="G5" s="17">
        <f>(1+RideSource!$H8*K$4)*(1+nonDriver!$F6*K$5)*(1+ShareRide!$H6*K$6)*(1+Pricing!$I7*K$7)*K$8</f>
        <v>1</v>
      </c>
      <c r="H5" s="17">
        <f>(1+RideSource!$H8*L$4)*(1+nonDriver!$F6*L$5)*(1+ShareRide!$H6*L$6)*(1+Pricing!$I7*L$7)*L$8</f>
        <v>1</v>
      </c>
      <c r="J5" s="16">
        <v>0</v>
      </c>
      <c r="K5" s="46">
        <v>0</v>
      </c>
      <c r="L5" s="16">
        <v>0.4</v>
      </c>
      <c r="M5" t="s">
        <v>165</v>
      </c>
      <c r="P5" t="s">
        <v>168</v>
      </c>
    </row>
    <row r="6" spans="1:16" x14ac:dyDescent="0.25">
      <c r="A6" s="44">
        <f t="shared" ref="A6:B21" si="0">A5+1</f>
        <v>3</v>
      </c>
      <c r="B6" s="44">
        <f t="shared" si="0"/>
        <v>2020</v>
      </c>
      <c r="C6" s="17">
        <f>(1+RideSource!$H9*J$4)*(1+nonDriver!$F7*J$5)*(1+ShareRide!$H7*J$6)*(1+Pricing!$I8*J$7)*J$8</f>
        <v>1</v>
      </c>
      <c r="D6" s="17">
        <f>(1+RideSource!$H9*K$4)*(1+nonDriver!$F7*K$5)*(1+ShareRide!$H7*K$6)*(1+Pricing!$I8*K$7)*K$8</f>
        <v>1</v>
      </c>
      <c r="E6" s="17">
        <f>(1+RideSource!$H9*L$4)*(1+nonDriver!$F7*L$5)*(1+ShareRide!$H7*L$6)*(1+Pricing!$I8*L$7)*L$8</f>
        <v>1</v>
      </c>
      <c r="F6" s="17">
        <f>(1+RideSource!$H9*J$4)*(1+nonDriver!$F7*J$5)*(1+ShareRide!$H7*J$6)*(1+Pricing!$I8*J$7)*J$8</f>
        <v>1</v>
      </c>
      <c r="G6" s="17">
        <f>(1+RideSource!$H9*K$4)*(1+nonDriver!$F7*K$5)*(1+ShareRide!$H7*K$6)*(1+Pricing!$I8*K$7)*K$8</f>
        <v>1</v>
      </c>
      <c r="H6" s="17">
        <f>(1+RideSource!$H9*L$4)*(1+nonDriver!$F7*L$5)*(1+ShareRide!$H7*L$6)*(1+Pricing!$I8*L$7)*L$8</f>
        <v>1</v>
      </c>
      <c r="J6" s="16">
        <v>0</v>
      </c>
      <c r="K6" s="46">
        <v>0.05</v>
      </c>
      <c r="L6" s="16">
        <v>0.1</v>
      </c>
      <c r="M6" s="2" t="s">
        <v>167</v>
      </c>
      <c r="P6" t="s">
        <v>168</v>
      </c>
    </row>
    <row r="7" spans="1:16" x14ac:dyDescent="0.25">
      <c r="A7" s="44">
        <f t="shared" si="0"/>
        <v>4</v>
      </c>
      <c r="B7" s="44">
        <f t="shared" si="0"/>
        <v>2021</v>
      </c>
      <c r="C7" s="17">
        <f>(1+RideSource!$H10*J$4)*(1+nonDriver!$F8*J$5)*(1+ShareRide!$H8*J$6)*(1+Pricing!$I9*J$7)*J$8</f>
        <v>1</v>
      </c>
      <c r="D7" s="17">
        <f>(1+RideSource!$H10*K$4)*(1+nonDriver!$F8*K$5)*(1+ShareRide!$H8*K$6)*(1+Pricing!$I9*K$7)*K$8</f>
        <v>1</v>
      </c>
      <c r="E7" s="17">
        <f>(1+RideSource!$H10*L$4)*(1+nonDriver!$F8*L$5)*(1+ShareRide!$H8*L$6)*(1+Pricing!$I9*L$7)*L$8</f>
        <v>1</v>
      </c>
      <c r="F7" s="17">
        <f>(1+RideSource!$H10*J$4)*(1+nonDriver!$F8*J$5)*(1+ShareRide!$H8*J$6)*(1+Pricing!$I9*J$7)*J$8</f>
        <v>1</v>
      </c>
      <c r="G7" s="17">
        <f>(1+RideSource!$H10*K$4)*(1+nonDriver!$F8*K$5)*(1+ShareRide!$H8*K$6)*(1+Pricing!$I9*K$7)*K$8</f>
        <v>1</v>
      </c>
      <c r="H7" s="17">
        <f>(1+RideSource!$H10*L$4)*(1+nonDriver!$F8*L$5)*(1+ShareRide!$H8*L$6)*(1+Pricing!$I9*L$7)*L$8</f>
        <v>1</v>
      </c>
      <c r="J7" s="16">
        <v>0</v>
      </c>
      <c r="K7" s="45">
        <v>-0.05</v>
      </c>
      <c r="L7" s="13">
        <v>-0.05</v>
      </c>
      <c r="M7" s="2" t="s">
        <v>231</v>
      </c>
    </row>
    <row r="8" spans="1:16" x14ac:dyDescent="0.25">
      <c r="A8" s="44">
        <f t="shared" si="0"/>
        <v>5</v>
      </c>
      <c r="B8" s="44">
        <f t="shared" si="0"/>
        <v>2022</v>
      </c>
      <c r="C8" s="17">
        <f>(1+RideSource!$H11*J$4)*(1+nonDriver!$F9*J$5)*(1+ShareRide!$H9*J$6)*(1+Pricing!$I10*J$7)*J$8</f>
        <v>1</v>
      </c>
      <c r="D8" s="17">
        <f>(1+RideSource!$H11*K$4)*(1+nonDriver!$F9*K$5)*(1+ShareRide!$H9*K$6)*(1+Pricing!$I10*K$7)*K$8</f>
        <v>1</v>
      </c>
      <c r="E8" s="17">
        <f>(1+RideSource!$H11*L$4)*(1+nonDriver!$F9*L$5)*(1+ShareRide!$H9*L$6)*(1+Pricing!$I10*L$7)*L$8</f>
        <v>1</v>
      </c>
      <c r="F8" s="17">
        <f>(1+RideSource!$H11*J$4)*(1+nonDriver!$F9*J$5)*(1+ShareRide!$H9*J$6)*(1+Pricing!$I10*J$7)*J$8</f>
        <v>1</v>
      </c>
      <c r="G8" s="17">
        <f>(1+RideSource!$H11*K$4)*(1+nonDriver!$F9*K$5)*(1+ShareRide!$H9*K$6)*(1+Pricing!$I10*K$7)*K$8</f>
        <v>1</v>
      </c>
      <c r="H8" s="17">
        <f>(1+RideSource!$H11*L$4)*(1+nonDriver!$F9*L$5)*(1+ShareRide!$H9*L$6)*(1+Pricing!$I10*L$7)*L$8</f>
        <v>1</v>
      </c>
      <c r="J8" s="16">
        <v>1</v>
      </c>
      <c r="K8" s="46">
        <v>1</v>
      </c>
      <c r="L8" s="16">
        <v>1</v>
      </c>
      <c r="M8" s="2" t="s">
        <v>163</v>
      </c>
    </row>
    <row r="9" spans="1:16" x14ac:dyDescent="0.25">
      <c r="A9" s="44">
        <f t="shared" si="0"/>
        <v>6</v>
      </c>
      <c r="B9" s="44">
        <f t="shared" si="0"/>
        <v>2023</v>
      </c>
      <c r="C9" s="17">
        <f>(1+RideSource!$H12*J$4)*(1+nonDriver!$F10*J$5)*(1+ShareRide!$H10*J$6)*(1+Pricing!$I11*J$7)*J$8</f>
        <v>1</v>
      </c>
      <c r="D9" s="17">
        <f>(1+RideSource!$H12*K$4)*(1+nonDriver!$F10*K$5)*(1+ShareRide!$H10*K$6)*(1+Pricing!$I11*K$7)*K$8</f>
        <v>1</v>
      </c>
      <c r="E9" s="17">
        <f>(1+RideSource!$H12*L$4)*(1+nonDriver!$F10*L$5)*(1+ShareRide!$H10*L$6)*(1+Pricing!$I11*L$7)*L$8</f>
        <v>1</v>
      </c>
      <c r="F9" s="17">
        <f>(1+RideSource!$H12*J$4)*(1+nonDriver!$F10*J$5)*(1+ShareRide!$H10*J$6)*(1+Pricing!$I11*J$7)*J$8</f>
        <v>1</v>
      </c>
      <c r="G9" s="17">
        <f>(1+RideSource!$H12*K$4)*(1+nonDriver!$F10*K$5)*(1+ShareRide!$H10*K$6)*(1+Pricing!$I11*K$7)*K$8</f>
        <v>1</v>
      </c>
      <c r="H9" s="17">
        <f>(1+RideSource!$H12*L$4)*(1+nonDriver!$F10*L$5)*(1+ShareRide!$H10*L$6)*(1+Pricing!$I11*L$7)*L$8</f>
        <v>1</v>
      </c>
      <c r="J9" s="16"/>
      <c r="K9" s="46"/>
      <c r="L9" s="16"/>
      <c r="M9" s="2"/>
    </row>
    <row r="10" spans="1:16" x14ac:dyDescent="0.25">
      <c r="A10" s="44">
        <f t="shared" si="0"/>
        <v>7</v>
      </c>
      <c r="B10" s="44">
        <f t="shared" si="0"/>
        <v>2024</v>
      </c>
      <c r="C10" s="17">
        <f>(1+RideSource!$H13*J$4)*(1+nonDriver!$F11*J$5)*(1+ShareRide!$H11*J$6)*(1+Pricing!$I12*J$7)*J$8</f>
        <v>1</v>
      </c>
      <c r="D10" s="17">
        <f>(1+RideSource!$H13*K$4)*(1+nonDriver!$F11*K$5)*(1+ShareRide!$H11*K$6)*(1+Pricing!$I12*K$7)*K$8</f>
        <v>1</v>
      </c>
      <c r="E10" s="17">
        <f>(1+RideSource!$H13*L$4)*(1+nonDriver!$F11*L$5)*(1+ShareRide!$H11*L$6)*(1+Pricing!$I12*L$7)*L$8</f>
        <v>1</v>
      </c>
      <c r="F10" s="17">
        <f>(1+RideSource!$H13*J$4)*(1+nonDriver!$F11*J$5)*(1+ShareRide!$H11*J$6)*(1+Pricing!$I12*J$7)*J$8</f>
        <v>1</v>
      </c>
      <c r="G10" s="17">
        <f>(1+RideSource!$H13*K$4)*(1+nonDriver!$F11*K$5)*(1+ShareRide!$H11*K$6)*(1+Pricing!$I12*K$7)*K$8</f>
        <v>1</v>
      </c>
      <c r="H10" s="17">
        <f>(1+RideSource!$H13*L$4)*(1+nonDriver!$F11*L$5)*(1+ShareRide!$H11*L$6)*(1+Pricing!$I12*L$7)*L$8</f>
        <v>1</v>
      </c>
      <c r="J10" s="16"/>
      <c r="K10" s="46"/>
      <c r="L10" s="16"/>
      <c r="M10" s="2"/>
    </row>
    <row r="11" spans="1:16" x14ac:dyDescent="0.25">
      <c r="A11" s="44">
        <f t="shared" si="0"/>
        <v>8</v>
      </c>
      <c r="B11" s="44">
        <f t="shared" si="0"/>
        <v>2025</v>
      </c>
      <c r="C11" s="17">
        <f>(1+RideSource!$H14*J$4)*(1+nonDriver!$F12*J$5)*(1+ShareRide!$H12*J$6)*(1+Pricing!$I13*J$7)*J$8</f>
        <v>1</v>
      </c>
      <c r="D11" s="17">
        <f>(1+RideSource!$H14*K$4)*(1+nonDriver!$F12*K$5)*(1+ShareRide!$H12*K$6)*(1+Pricing!$I13*K$7)*K$8</f>
        <v>1</v>
      </c>
      <c r="E11" s="17">
        <f>(1+RideSource!$H14*L$4)*(1+nonDriver!$F12*L$5)*(1+ShareRide!$H12*L$6)*(1+Pricing!$I13*L$7)*L$8</f>
        <v>1</v>
      </c>
      <c r="F11" s="17">
        <f>(1+RideSource!$H14*J$4)*(1+nonDriver!$F12*J$5)*(1+ShareRide!$H12*J$6)*(1+Pricing!$I13*J$7)*J$8</f>
        <v>1</v>
      </c>
      <c r="G11" s="17">
        <f>(1+RideSource!$H14*K$4)*(1+nonDriver!$F12*K$5)*(1+ShareRide!$H12*K$6)*(1+Pricing!$I13*K$7)*K$8</f>
        <v>1</v>
      </c>
      <c r="H11" s="17">
        <f>(1+RideSource!$H14*L$4)*(1+nonDriver!$F12*L$5)*(1+ShareRide!$H12*L$6)*(1+Pricing!$I13*L$7)*L$8</f>
        <v>1</v>
      </c>
    </row>
    <row r="12" spans="1:16" x14ac:dyDescent="0.25">
      <c r="A12" s="44">
        <f t="shared" si="0"/>
        <v>9</v>
      </c>
      <c r="B12" s="44">
        <f t="shared" si="0"/>
        <v>2026</v>
      </c>
      <c r="C12" s="17">
        <f>(1+RideSource!$H15*J$4)*(1+nonDriver!$F13*J$5)*(1+ShareRide!$H13*J$6)*(1+Pricing!$I14*J$7)*J$8</f>
        <v>1</v>
      </c>
      <c r="D12" s="17">
        <f>(1+RideSource!$H15*K$4)*(1+nonDriver!$F13*K$5)*(1+ShareRide!$H13*K$6)*(1+Pricing!$I14*K$7)*K$8</f>
        <v>1</v>
      </c>
      <c r="E12" s="17">
        <f>(1+RideSource!$H15*L$4)*(1+nonDriver!$F13*L$5)*(1+ShareRide!$H13*L$6)*(1+Pricing!$I14*L$7)*L$8</f>
        <v>1</v>
      </c>
      <c r="F12" s="17">
        <f>(1+RideSource!$H15*J$4)*(1+nonDriver!$F13*J$5)*(1+ShareRide!$H13*J$6)*(1+Pricing!$I14*J$7)*J$8</f>
        <v>1</v>
      </c>
      <c r="G12" s="17">
        <f>(1+RideSource!$H15*K$4)*(1+nonDriver!$F13*K$5)*(1+ShareRide!$H13*K$6)*(1+Pricing!$I14*K$7)*K$8</f>
        <v>1</v>
      </c>
      <c r="H12" s="17">
        <f>(1+RideSource!$H15*L$4)*(1+nonDriver!$F13*L$5)*(1+ShareRide!$H13*L$6)*(1+Pricing!$I14*L$7)*L$8</f>
        <v>1</v>
      </c>
    </row>
    <row r="13" spans="1:16" x14ac:dyDescent="0.25">
      <c r="A13" s="44">
        <f t="shared" si="0"/>
        <v>10</v>
      </c>
      <c r="B13" s="44">
        <f t="shared" si="0"/>
        <v>2027</v>
      </c>
      <c r="C13" s="17">
        <f>(1+RideSource!$H16*J$4)*(1+nonDriver!$F14*J$5)*(1+ShareRide!$H14*J$6)*(1+Pricing!$I15*J$7)*J$8</f>
        <v>1</v>
      </c>
      <c r="D13" s="17">
        <f>(1+RideSource!$H16*K$4)*(1+nonDriver!$F14*K$5)*(1+ShareRide!$H14*K$6)*(1+Pricing!$I15*K$7)*K$8</f>
        <v>1.0004999999999999</v>
      </c>
      <c r="E13" s="17">
        <f>(1+RideSource!$H16*L$4)*(1+nonDriver!$F14*L$5)*(1+ShareRide!$H14*L$6)*(1+Pricing!$I15*L$7)*L$8</f>
        <v>1.0006999999999999</v>
      </c>
      <c r="F13" s="17">
        <f>(1+RideSource!$H16*J$4)*(1+nonDriver!$F14*J$5)*(1+ShareRide!$H14*J$6)*(1+Pricing!$I15*J$7)*J$8</f>
        <v>1</v>
      </c>
      <c r="G13" s="17">
        <f>(1+RideSource!$H16*K$4)*(1+nonDriver!$F14*K$5)*(1+ShareRide!$H14*K$6)*(1+Pricing!$I15*K$7)*K$8</f>
        <v>1.0004999999999999</v>
      </c>
      <c r="H13" s="17">
        <f>(1+RideSource!$H16*L$4)*(1+nonDriver!$F14*L$5)*(1+ShareRide!$H14*L$6)*(1+Pricing!$I15*L$7)*L$8</f>
        <v>1.0006999999999999</v>
      </c>
    </row>
    <row r="14" spans="1:16" x14ac:dyDescent="0.25">
      <c r="A14" s="44">
        <f t="shared" si="0"/>
        <v>11</v>
      </c>
      <c r="B14" s="44">
        <f t="shared" si="0"/>
        <v>2028</v>
      </c>
      <c r="C14" s="17">
        <f>(1+RideSource!$H17*J$4)*(1+nonDriver!$F15*J$5)*(1+ShareRide!$H15*J$6)*(1+Pricing!$I16*J$7)*J$8</f>
        <v>1</v>
      </c>
      <c r="D14" s="17">
        <f>(1+RideSource!$H17*K$4)*(1+nonDriver!$F15*K$5)*(1+ShareRide!$H15*K$6)*(1+Pricing!$I16*K$7)*K$8</f>
        <v>0.99558860026856377</v>
      </c>
      <c r="E14" s="17">
        <f>(1+RideSource!$H17*L$4)*(1+nonDriver!$F15*L$5)*(1+ShareRide!$H15*L$6)*(1+Pricing!$I16*L$7)*L$8</f>
        <v>0.99585395109027497</v>
      </c>
      <c r="F14" s="17">
        <f>(1+RideSource!$H17*J$4)*(1+nonDriver!$F15*J$5)*(1+ShareRide!$H15*J$6)*(1+Pricing!$I16*J$7)*J$8</f>
        <v>1</v>
      </c>
      <c r="G14" s="17">
        <f>(1+RideSource!$H17*K$4)*(1+nonDriver!$F15*K$5)*(1+ShareRide!$H15*K$6)*(1+Pricing!$I16*K$7)*K$8</f>
        <v>0.99558860026856377</v>
      </c>
      <c r="H14" s="17">
        <f>(1+RideSource!$H17*L$4)*(1+nonDriver!$F15*L$5)*(1+ShareRide!$H15*L$6)*(1+Pricing!$I16*L$7)*L$8</f>
        <v>0.99585395109027497</v>
      </c>
    </row>
    <row r="15" spans="1:16" x14ac:dyDescent="0.25">
      <c r="A15" s="44">
        <f t="shared" si="0"/>
        <v>12</v>
      </c>
      <c r="B15" s="44">
        <f t="shared" si="0"/>
        <v>2029</v>
      </c>
      <c r="C15" s="17">
        <f>(1+RideSource!$H18*J$4)*(1+nonDriver!$F16*J$5)*(1+ShareRide!$H16*J$6)*(1+Pricing!$I17*J$7)*J$8</f>
        <v>1</v>
      </c>
      <c r="D15" s="17">
        <f>(1+RideSource!$H18*K$4)*(1+nonDriver!$F16*K$5)*(1+ShareRide!$H16*K$6)*(1+Pricing!$I17*K$7)*K$8</f>
        <v>0.99580985073377082</v>
      </c>
      <c r="E15" s="17">
        <f>(1+RideSource!$H18*L$4)*(1+nonDriver!$F16*L$5)*(1+ShareRide!$H16*L$6)*(1+Pricing!$I17*L$7)*L$8</f>
        <v>0.99616370174156488</v>
      </c>
      <c r="F15" s="17">
        <f>(1+RideSource!$H18*J$4)*(1+nonDriver!$F16*J$5)*(1+ShareRide!$H16*J$6)*(1+Pricing!$I17*J$7)*J$8</f>
        <v>1</v>
      </c>
      <c r="G15" s="17">
        <f>(1+RideSource!$H18*K$4)*(1+nonDriver!$F16*K$5)*(1+ShareRide!$H16*K$6)*(1+Pricing!$I17*K$7)*K$8</f>
        <v>0.99580985073377082</v>
      </c>
      <c r="H15" s="17">
        <f>(1+RideSource!$H18*L$4)*(1+nonDriver!$F16*L$5)*(1+ShareRide!$H16*L$6)*(1+Pricing!$I17*L$7)*L$8</f>
        <v>0.99616370174156488</v>
      </c>
    </row>
    <row r="16" spans="1:16" x14ac:dyDescent="0.25">
      <c r="A16" s="44">
        <f t="shared" si="0"/>
        <v>13</v>
      </c>
      <c r="B16" s="44">
        <f t="shared" si="0"/>
        <v>2030</v>
      </c>
      <c r="C16" s="17">
        <f>(1+RideSource!$H19*J$4)*(1+nonDriver!$F17*J$5)*(1+ShareRide!$H17*J$6)*(1+Pricing!$I18*J$7)*J$8</f>
        <v>1</v>
      </c>
      <c r="D16" s="17">
        <f>(1+RideSource!$H19*K$4)*(1+nonDriver!$F17*K$5)*(1+ShareRide!$H17*K$6)*(1+Pricing!$I18*K$7)*K$8</f>
        <v>0.9973485495000185</v>
      </c>
      <c r="E16" s="17">
        <f>(1+RideSource!$H19*L$4)*(1+nonDriver!$F17*L$5)*(1+ShareRide!$H17*L$6)*(1+Pricing!$I18*L$7)*L$8</f>
        <v>0.99831788001431154</v>
      </c>
      <c r="F16" s="17">
        <f>(1+RideSource!$H19*J$4)*(1+nonDriver!$F17*J$5)*(1+ShareRide!$H17*J$6)*(1+Pricing!$I18*J$7)*J$8</f>
        <v>1</v>
      </c>
      <c r="G16" s="17">
        <f>(1+RideSource!$H19*K$4)*(1+nonDriver!$F17*K$5)*(1+ShareRide!$H17*K$6)*(1+Pricing!$I18*K$7)*K$8</f>
        <v>0.9973485495000185</v>
      </c>
      <c r="H16" s="17">
        <f>(1+RideSource!$H19*L$4)*(1+nonDriver!$F17*L$5)*(1+ShareRide!$H17*L$6)*(1+Pricing!$I18*L$7)*L$8</f>
        <v>0.99831788001431154</v>
      </c>
      <c r="O16" s="47"/>
    </row>
    <row r="17" spans="1:15" x14ac:dyDescent="0.25">
      <c r="A17" s="44">
        <f t="shared" si="0"/>
        <v>14</v>
      </c>
      <c r="B17" s="44">
        <f t="shared" si="0"/>
        <v>2031</v>
      </c>
      <c r="C17" s="17">
        <f>(1+RideSource!$H20*J$4)*(1+nonDriver!$F18*J$5)*(1+ShareRide!$H18*J$6)*(1+Pricing!$I19*J$7)*J$8</f>
        <v>1</v>
      </c>
      <c r="D17" s="17">
        <f>(1+RideSource!$H20*K$4)*(1+nonDriver!$F18*K$5)*(1+ShareRide!$H18*K$6)*(1+Pricing!$I19*K$7)*K$8</f>
        <v>0.99811116109697029</v>
      </c>
      <c r="E17" s="17">
        <f>(1+RideSource!$H20*L$4)*(1+nonDriver!$F18*L$5)*(1+ShareRide!$H18*L$6)*(1+Pricing!$I19*L$7)*L$8</f>
        <v>0.99938553625004412</v>
      </c>
      <c r="F17" s="17">
        <f>(1+RideSource!$H20*J$4)*(1+nonDriver!$F18*J$5)*(1+ShareRide!$H18*J$6)*(1+Pricing!$I19*J$7)*J$8</f>
        <v>1</v>
      </c>
      <c r="G17" s="17">
        <f>(1+RideSource!$H20*K$4)*(1+nonDriver!$F18*K$5)*(1+ShareRide!$H18*K$6)*(1+Pricing!$I19*K$7)*K$8</f>
        <v>0.99811116109697029</v>
      </c>
      <c r="H17" s="17">
        <f>(1+RideSource!$H20*L$4)*(1+nonDriver!$F18*L$5)*(1+ShareRide!$H18*L$6)*(1+Pricing!$I19*L$7)*L$8</f>
        <v>0.99938553625004412</v>
      </c>
      <c r="O17" s="47"/>
    </row>
    <row r="18" spans="1:15" x14ac:dyDescent="0.25">
      <c r="A18" s="44">
        <f t="shared" si="0"/>
        <v>15</v>
      </c>
      <c r="B18" s="44">
        <f t="shared" si="0"/>
        <v>2032</v>
      </c>
      <c r="C18" s="17">
        <f>(1+RideSource!$H21*J$4)*(1+nonDriver!$F19*J$5)*(1+ShareRide!$H19*J$6)*(1+Pricing!$I20*J$7)*J$8</f>
        <v>1</v>
      </c>
      <c r="D18" s="17">
        <f>(1+RideSource!$H21*K$4)*(1+nonDriver!$F19*K$5)*(1+ShareRide!$H19*K$6)*(1+Pricing!$I20*K$7)*K$8</f>
        <v>0.99961204089902067</v>
      </c>
      <c r="E18" s="17">
        <f>(1+RideSource!$H21*L$4)*(1+nonDriver!$F19*L$5)*(1+ShareRide!$H19*L$6)*(1+Pricing!$I20*L$7)*L$8</f>
        <v>1.0014867679729147</v>
      </c>
      <c r="F18" s="17">
        <f>(1+RideSource!$H21*J$4)*(1+nonDriver!$F19*J$5)*(1+ShareRide!$H19*J$6)*(1+Pricing!$I20*J$7)*J$8</f>
        <v>1</v>
      </c>
      <c r="G18" s="17">
        <f>(1+RideSource!$H21*K$4)*(1+nonDriver!$F19*K$5)*(1+ShareRide!$H19*K$6)*(1+Pricing!$I20*K$7)*K$8</f>
        <v>0.99961204089902067</v>
      </c>
      <c r="H18" s="17">
        <f>(1+RideSource!$H21*L$4)*(1+nonDriver!$F19*L$5)*(1+ShareRide!$H19*L$6)*(1+Pricing!$I20*L$7)*L$8</f>
        <v>1.0014867679729147</v>
      </c>
      <c r="O18" s="47"/>
    </row>
    <row r="19" spans="1:15" x14ac:dyDescent="0.25">
      <c r="A19" s="44">
        <f t="shared" si="0"/>
        <v>16</v>
      </c>
      <c r="B19" s="44">
        <f t="shared" si="0"/>
        <v>2033</v>
      </c>
      <c r="C19" s="17">
        <f>(1+RideSource!$H22*J$4)*(1+nonDriver!$F20*J$5)*(1+ShareRide!$H20*J$6)*(1+Pricing!$I21*J$7)*J$8</f>
        <v>1</v>
      </c>
      <c r="D19" s="17">
        <f>(1+RideSource!$H22*K$4)*(1+nonDriver!$F20*K$5)*(1+ShareRide!$H20*K$6)*(1+Pricing!$I21*K$7)*K$8</f>
        <v>1.0110369480698145</v>
      </c>
      <c r="E19" s="17">
        <f>(1+RideSource!$H22*L$4)*(1+nonDriver!$F20*L$5)*(1+ShareRide!$H20*L$6)*(1+Pricing!$I21*L$7)*L$8</f>
        <v>1.0235366097639131</v>
      </c>
      <c r="F19" s="17">
        <f>(1+RideSource!$H22*J$4)*(1+nonDriver!$F20*J$5)*(1+ShareRide!$H20*J$6)*(1+Pricing!$I21*J$7)*J$8</f>
        <v>1</v>
      </c>
      <c r="G19" s="17">
        <f>(1+RideSource!$H22*K$4)*(1+nonDriver!$F20*K$5)*(1+ShareRide!$H20*K$6)*(1+Pricing!$I21*K$7)*K$8</f>
        <v>1.0110369480698145</v>
      </c>
      <c r="H19" s="17">
        <f>(1+RideSource!$H22*L$4)*(1+nonDriver!$F20*L$5)*(1+ShareRide!$H20*L$6)*(1+Pricing!$I21*L$7)*L$8</f>
        <v>1.0235366097639131</v>
      </c>
    </row>
    <row r="20" spans="1:15" x14ac:dyDescent="0.25">
      <c r="A20" s="44">
        <f t="shared" si="0"/>
        <v>17</v>
      </c>
      <c r="B20" s="44">
        <f t="shared" si="0"/>
        <v>2034</v>
      </c>
      <c r="C20" s="17">
        <f>(1+RideSource!$H23*J$4)*(1+nonDriver!$F21*J$5)*(1+ShareRide!$H21*J$6)*(1+Pricing!$I22*J$7)*J$8</f>
        <v>1</v>
      </c>
      <c r="D20" s="17">
        <f>(1+RideSource!$H23*K$4)*(1+nonDriver!$F21*K$5)*(1+ShareRide!$H21*K$6)*(1+Pricing!$I22*K$7)*K$8</f>
        <v>1.0129055445326216</v>
      </c>
      <c r="E20" s="17">
        <f>(1+RideSource!$H23*L$4)*(1+nonDriver!$F21*L$5)*(1+ShareRide!$H21*L$6)*(1+Pricing!$I22*L$7)*L$8</f>
        <v>1.0261785461489514</v>
      </c>
      <c r="F20" s="17">
        <f>(1+RideSource!$H23*J$4)*(1+nonDriver!$F21*J$5)*(1+ShareRide!$H21*J$6)*(1+Pricing!$I22*J$7)*J$8</f>
        <v>1</v>
      </c>
      <c r="G20" s="17">
        <f>(1+RideSource!$H23*K$4)*(1+nonDriver!$F21*K$5)*(1+ShareRide!$H21*K$6)*(1+Pricing!$I22*K$7)*K$8</f>
        <v>1.0129055445326216</v>
      </c>
      <c r="H20" s="17">
        <f>(1+RideSource!$H23*L$4)*(1+nonDriver!$F21*L$5)*(1+ShareRide!$H21*L$6)*(1+Pricing!$I22*L$7)*L$8</f>
        <v>1.0261785461489514</v>
      </c>
    </row>
    <row r="21" spans="1:15" x14ac:dyDescent="0.25">
      <c r="A21" s="44">
        <f t="shared" si="0"/>
        <v>18</v>
      </c>
      <c r="B21" s="44">
        <f t="shared" si="0"/>
        <v>2035</v>
      </c>
      <c r="C21" s="17">
        <f>(1+RideSource!$H24*J$4)*(1+nonDriver!$F22*J$5)*(1+ShareRide!$H22*J$6)*(1+Pricing!$I23*J$7)*J$8</f>
        <v>1</v>
      </c>
      <c r="D21" s="17">
        <f>(1+RideSource!$H24*K$4)*(1+nonDriver!$F22*K$5)*(1+ShareRide!$H22*K$6)*(1+Pricing!$I23*K$7)*K$8</f>
        <v>1.0153512129523312</v>
      </c>
      <c r="E21" s="17">
        <f>(1+RideSource!$H24*L$4)*(1+nonDriver!$F22*L$5)*(1+ShareRide!$H22*L$6)*(1+Pricing!$I23*L$7)*L$8</f>
        <v>1.0296363822908774</v>
      </c>
      <c r="F21" s="17">
        <f>(1+RideSource!$H24*J$4)*(1+nonDriver!$F22*J$5)*(1+ShareRide!$H22*J$6)*(1+Pricing!$I23*J$7)*J$8</f>
        <v>1</v>
      </c>
      <c r="G21" s="17">
        <f>(1+RideSource!$H24*K$4)*(1+nonDriver!$F22*K$5)*(1+ShareRide!$H22*K$6)*(1+Pricing!$I23*K$7)*K$8</f>
        <v>1.0153512129523312</v>
      </c>
      <c r="H21" s="17">
        <f>(1+RideSource!$H24*L$4)*(1+nonDriver!$F22*L$5)*(1+ShareRide!$H22*L$6)*(1+Pricing!$I23*L$7)*L$8</f>
        <v>1.0296363822908774</v>
      </c>
    </row>
    <row r="22" spans="1:15" x14ac:dyDescent="0.25">
      <c r="A22" s="44">
        <f t="shared" ref="A22:B37" si="1">A21+1</f>
        <v>19</v>
      </c>
      <c r="B22" s="44">
        <f t="shared" si="1"/>
        <v>2036</v>
      </c>
      <c r="C22" s="17">
        <f>(1+RideSource!$H25*J$4)*(1+nonDriver!$F23*J$5)*(1+ShareRide!$H23*J$6)*(1+Pricing!$I24*J$7)*J$8</f>
        <v>1</v>
      </c>
      <c r="D22" s="17">
        <f>(1+RideSource!$H25*K$4)*(1+nonDriver!$F23*K$5)*(1+ShareRide!$H23*K$6)*(1+Pricing!$I24*K$7)*K$8</f>
        <v>1.0168787416785348</v>
      </c>
      <c r="E22" s="17">
        <f>(1+RideSource!$H25*L$4)*(1+nonDriver!$F23*L$5)*(1+ShareRide!$H23*L$6)*(1+Pricing!$I24*L$7)*L$8</f>
        <v>1.0730679400199967</v>
      </c>
      <c r="F22" s="17">
        <f>(1+RideSource!$H25*J$4)*(1+nonDriver!$F23*J$5)*(1+ShareRide!$H23*J$6)*(1+Pricing!$I24*J$7)*J$8</f>
        <v>1</v>
      </c>
      <c r="G22" s="17">
        <f>(1+RideSource!$H25*K$4)*(1+nonDriver!$F23*K$5)*(1+ShareRide!$H23*K$6)*(1+Pricing!$I24*K$7)*K$8</f>
        <v>1.0168787416785348</v>
      </c>
      <c r="H22" s="17">
        <f>(1+RideSource!$H25*L$4)*(1+nonDriver!$F23*L$5)*(1+ShareRide!$H23*L$6)*(1+Pricing!$I24*L$7)*L$8</f>
        <v>1.0730679400199967</v>
      </c>
    </row>
    <row r="23" spans="1:15" x14ac:dyDescent="0.25">
      <c r="A23" s="44">
        <f t="shared" si="1"/>
        <v>20</v>
      </c>
      <c r="B23" s="44">
        <f t="shared" si="1"/>
        <v>2037</v>
      </c>
      <c r="C23" s="17">
        <f>(1+RideSource!$H26*J$4)*(1+nonDriver!$F24*J$5)*(1+ShareRide!$H24*J$6)*(1+Pricing!$I25*J$7)*J$8</f>
        <v>1</v>
      </c>
      <c r="D23" s="17">
        <f>(1+RideSource!$H26*K$4)*(1+nonDriver!$F24*K$5)*(1+ShareRide!$H24*K$6)*(1+Pricing!$I25*K$7)*K$8</f>
        <v>1.0188424931705942</v>
      </c>
      <c r="E23" s="17">
        <f>(1+RideSource!$H26*L$4)*(1+nonDriver!$F24*L$5)*(1+ShareRide!$H24*L$6)*(1+Pricing!$I25*L$7)*L$8</f>
        <v>1.0759554713228561</v>
      </c>
      <c r="F23" s="17">
        <f>(1+RideSource!$H26*J$4)*(1+nonDriver!$F24*J$5)*(1+ShareRide!$H24*J$6)*(1+Pricing!$I25*J$7)*J$8</f>
        <v>1</v>
      </c>
      <c r="G23" s="17">
        <f>(1+RideSource!$H26*K$4)*(1+nonDriver!$F24*K$5)*(1+ShareRide!$H24*K$6)*(1+Pricing!$I25*K$7)*K$8</f>
        <v>1.0188424931705942</v>
      </c>
      <c r="H23" s="17">
        <f>(1+RideSource!$H26*L$4)*(1+nonDriver!$F24*L$5)*(1+ShareRide!$H24*L$6)*(1+Pricing!$I25*L$7)*L$8</f>
        <v>1.0759554713228561</v>
      </c>
    </row>
    <row r="24" spans="1:15" x14ac:dyDescent="0.25">
      <c r="A24" s="44">
        <f t="shared" si="1"/>
        <v>21</v>
      </c>
      <c r="B24" s="44">
        <f t="shared" si="1"/>
        <v>2038</v>
      </c>
      <c r="C24" s="17">
        <f>(1+RideSource!$H27*J$4)*(1+nonDriver!$F25*J$5)*(1+ShareRide!$H25*J$6)*(1+Pricing!$I26*J$7)*J$8</f>
        <v>1</v>
      </c>
      <c r="D24" s="17">
        <f>(1+RideSource!$H27*K$4)*(1+nonDriver!$F25*K$5)*(1+ShareRide!$H25*K$6)*(1+Pricing!$I26*K$7)*K$8</f>
        <v>1.0213686996897839</v>
      </c>
      <c r="E24" s="17">
        <f>(1+RideSource!$H27*L$4)*(1+nonDriver!$F25*L$5)*(1+ShareRide!$H25*L$6)*(1+Pricing!$I26*L$7)*L$8</f>
        <v>1.1419587018736195</v>
      </c>
      <c r="F24" s="17">
        <f>(1+RideSource!$H27*J$4)*(1+nonDriver!$F25*J$5)*(1+ShareRide!$H25*J$6)*(1+Pricing!$I26*J$7)*J$8</f>
        <v>1</v>
      </c>
      <c r="G24" s="17">
        <f>(1+RideSource!$H27*K$4)*(1+nonDriver!$F25*K$5)*(1+ShareRide!$H25*K$6)*(1+Pricing!$I26*K$7)*K$8</f>
        <v>1.0213686996897839</v>
      </c>
      <c r="H24" s="17">
        <f>(1+RideSource!$H27*L$4)*(1+nonDriver!$F25*L$5)*(1+ShareRide!$H25*L$6)*(1+Pricing!$I26*L$7)*L$8</f>
        <v>1.1419587018736195</v>
      </c>
    </row>
    <row r="25" spans="1:15" x14ac:dyDescent="0.25">
      <c r="A25" s="44">
        <f t="shared" si="1"/>
        <v>22</v>
      </c>
      <c r="B25" s="44">
        <f t="shared" si="1"/>
        <v>2039</v>
      </c>
      <c r="C25" s="17">
        <f>(1+RideSource!$H28*J$4)*(1+nonDriver!$F26*J$5)*(1+ShareRide!$H26*J$6)*(1+Pricing!$I27*J$7)*J$8</f>
        <v>1</v>
      </c>
      <c r="D25" s="17">
        <f>(1+RideSource!$H28*K$4)*(1+nonDriver!$F26*K$5)*(1+ShareRide!$H26*K$6)*(1+Pricing!$I27*K$7)*K$8</f>
        <v>1.0216375832664906</v>
      </c>
      <c r="E25" s="17">
        <f>(1+RideSource!$H28*L$4)*(1+nonDriver!$F26*L$5)*(1+ShareRide!$H26*L$6)*(1+Pricing!$I27*L$7)*L$8</f>
        <v>1.1423768823907392</v>
      </c>
      <c r="F25" s="17">
        <f>(1+RideSource!$H28*J$4)*(1+nonDriver!$F26*J$5)*(1+ShareRide!$H26*J$6)*(1+Pricing!$I27*J$7)*J$8</f>
        <v>1</v>
      </c>
      <c r="G25" s="17">
        <f>(1+RideSource!$H28*K$4)*(1+nonDriver!$F26*K$5)*(1+ShareRide!$H26*K$6)*(1+Pricing!$I27*K$7)*K$8</f>
        <v>1.0216375832664906</v>
      </c>
      <c r="H25" s="17">
        <f>(1+RideSource!$H28*L$4)*(1+nonDriver!$F26*L$5)*(1+ShareRide!$H26*L$6)*(1+Pricing!$I27*L$7)*L$8</f>
        <v>1.1423768823907392</v>
      </c>
    </row>
    <row r="26" spans="1:15" x14ac:dyDescent="0.25">
      <c r="A26" s="44">
        <f t="shared" si="1"/>
        <v>23</v>
      </c>
      <c r="B26" s="44">
        <f t="shared" si="1"/>
        <v>2040</v>
      </c>
      <c r="C26" s="17">
        <f>(1+RideSource!$H29*J$4)*(1+nonDriver!$F27*J$5)*(1+ShareRide!$H27*J$6)*(1+Pricing!$I28*J$7)*J$8</f>
        <v>1</v>
      </c>
      <c r="D26" s="17">
        <f>(1+RideSource!$H29*K$4)*(1+nonDriver!$F27*K$5)*(1+ShareRide!$H27*K$6)*(1+Pricing!$I28*K$7)*K$8</f>
        <v>1.0219573415290177</v>
      </c>
      <c r="E26" s="17">
        <f>(1+RideSource!$H29*L$4)*(1+nonDriver!$F27*L$5)*(1+ShareRide!$H27*L$6)*(1+Pricing!$I28*L$7)*L$8</f>
        <v>1.1428741856370537</v>
      </c>
      <c r="F26" s="17">
        <f>(1+RideSource!$H29*J$4)*(1+nonDriver!$F27*J$5)*(1+ShareRide!$H27*J$6)*(1+Pricing!$I28*J$7)*J$8</f>
        <v>1</v>
      </c>
      <c r="G26" s="17">
        <f>(1+RideSource!$H29*K$4)*(1+nonDriver!$F27*K$5)*(1+ShareRide!$H27*K$6)*(1+Pricing!$I28*K$7)*K$8</f>
        <v>1.0219573415290177</v>
      </c>
      <c r="H26" s="17">
        <f>(1+RideSource!$H29*L$4)*(1+nonDriver!$F27*L$5)*(1+ShareRide!$H27*L$6)*(1+Pricing!$I28*L$7)*L$8</f>
        <v>1.1428741856370537</v>
      </c>
    </row>
    <row r="27" spans="1:15" x14ac:dyDescent="0.25">
      <c r="A27" s="44">
        <f t="shared" si="1"/>
        <v>24</v>
      </c>
      <c r="B27" s="44">
        <f t="shared" si="1"/>
        <v>2041</v>
      </c>
      <c r="C27" s="17">
        <f>(1+RideSource!$H30*J$4)*(1+nonDriver!$F28*J$5)*(1+ShareRide!$H28*J$6)*(1+Pricing!$I29*J$7)*J$8</f>
        <v>1</v>
      </c>
      <c r="D27" s="17">
        <f>(1+RideSource!$H30*K$4)*(1+nonDriver!$F28*K$5)*(1+ShareRide!$H28*K$6)*(1+Pricing!$I29*K$7)*K$8</f>
        <v>1.0219573415290177</v>
      </c>
      <c r="E27" s="17">
        <f>(1+RideSource!$H30*L$4)*(1+nonDriver!$F28*L$5)*(1+ShareRide!$H28*L$6)*(1+Pricing!$I29*L$7)*L$8</f>
        <v>1.1428741856370537</v>
      </c>
      <c r="F27" s="17">
        <f>(1+RideSource!$H30*J$4)*(1+nonDriver!$F28*J$5)*(1+ShareRide!$H28*J$6)*(1+Pricing!$I29*J$7)*J$8</f>
        <v>1</v>
      </c>
      <c r="G27" s="17">
        <f>(1+RideSource!$H30*K$4)*(1+nonDriver!$F28*K$5)*(1+ShareRide!$H28*K$6)*(1+Pricing!$I29*K$7)*K$8</f>
        <v>1.0219573415290177</v>
      </c>
      <c r="H27" s="17">
        <f>(1+RideSource!$H30*L$4)*(1+nonDriver!$F28*L$5)*(1+ShareRide!$H28*L$6)*(1+Pricing!$I29*L$7)*L$8</f>
        <v>1.1428741856370537</v>
      </c>
    </row>
    <row r="28" spans="1:15" x14ac:dyDescent="0.25">
      <c r="A28" s="44">
        <f t="shared" si="1"/>
        <v>25</v>
      </c>
      <c r="B28" s="44">
        <f t="shared" si="1"/>
        <v>2042</v>
      </c>
      <c r="C28" s="17">
        <f>(1+RideSource!$H31*J$4)*(1+nonDriver!$F29*J$5)*(1+ShareRide!$H29*J$6)*(1+Pricing!$I30*J$7)*J$8</f>
        <v>1</v>
      </c>
      <c r="D28" s="17">
        <f>(1+RideSource!$H31*K$4)*(1+nonDriver!$F29*K$5)*(1+ShareRide!$H29*K$6)*(1+Pricing!$I30*K$7)*K$8</f>
        <v>1.0219573415290177</v>
      </c>
      <c r="E28" s="17">
        <f>(1+RideSource!$H31*L$4)*(1+nonDriver!$F29*L$5)*(1+ShareRide!$H29*L$6)*(1+Pricing!$I30*L$7)*L$8</f>
        <v>1.1428741856370537</v>
      </c>
      <c r="F28" s="17">
        <f>(1+RideSource!$H31*J$4)*(1+nonDriver!$F29*J$5)*(1+ShareRide!$H29*J$6)*(1+Pricing!$I30*J$7)*J$8</f>
        <v>1</v>
      </c>
      <c r="G28" s="17">
        <f>(1+RideSource!$H31*K$4)*(1+nonDriver!$F29*K$5)*(1+ShareRide!$H29*K$6)*(1+Pricing!$I30*K$7)*K$8</f>
        <v>1.0219573415290177</v>
      </c>
      <c r="H28" s="17">
        <f>(1+RideSource!$H31*L$4)*(1+nonDriver!$F29*L$5)*(1+ShareRide!$H29*L$6)*(1+Pricing!$I30*L$7)*L$8</f>
        <v>1.1428741856370537</v>
      </c>
    </row>
    <row r="29" spans="1:15" x14ac:dyDescent="0.25">
      <c r="A29" s="44">
        <f t="shared" si="1"/>
        <v>26</v>
      </c>
      <c r="B29" s="44">
        <f t="shared" si="1"/>
        <v>2043</v>
      </c>
      <c r="C29" s="17">
        <f>(1+RideSource!$H32*J$4)*(1+nonDriver!$F30*J$5)*(1+ShareRide!$H30*J$6)*(1+Pricing!$I31*J$7)*J$8</f>
        <v>1</v>
      </c>
      <c r="D29" s="17">
        <f>(1+RideSource!$H32*K$4)*(1+nonDriver!$F30*K$5)*(1+ShareRide!$H30*K$6)*(1+Pricing!$I31*K$7)*K$8</f>
        <v>1.0219573415290177</v>
      </c>
      <c r="E29" s="17">
        <f>(1+RideSource!$H32*L$4)*(1+nonDriver!$F30*L$5)*(1+ShareRide!$H30*L$6)*(1+Pricing!$I31*L$7)*L$8</f>
        <v>1.1428741856370537</v>
      </c>
      <c r="F29" s="17">
        <f>(1+RideSource!$H32*J$4)*(1+nonDriver!$F30*J$5)*(1+ShareRide!$H30*J$6)*(1+Pricing!$I31*J$7)*J$8</f>
        <v>1</v>
      </c>
      <c r="G29" s="17">
        <f>(1+RideSource!$H32*K$4)*(1+nonDriver!$F30*K$5)*(1+ShareRide!$H30*K$6)*(1+Pricing!$I31*K$7)*K$8</f>
        <v>1.0219573415290177</v>
      </c>
      <c r="H29" s="17">
        <f>(1+RideSource!$H32*L$4)*(1+nonDriver!$F30*L$5)*(1+ShareRide!$H30*L$6)*(1+Pricing!$I31*L$7)*L$8</f>
        <v>1.1428741856370537</v>
      </c>
    </row>
    <row r="30" spans="1:15" x14ac:dyDescent="0.25">
      <c r="A30" s="44">
        <f t="shared" si="1"/>
        <v>27</v>
      </c>
      <c r="B30" s="44">
        <f t="shared" si="1"/>
        <v>2044</v>
      </c>
      <c r="C30" s="17">
        <f>(1+RideSource!$H33*J$4)*(1+nonDriver!$F31*J$5)*(1+ShareRide!$H31*J$6)*(1+Pricing!$I32*J$7)*J$8</f>
        <v>1</v>
      </c>
      <c r="D30" s="17">
        <f>(1+RideSource!$H33*K$4)*(1+nonDriver!$F31*K$5)*(1+ShareRide!$H31*K$6)*(1+Pricing!$I32*K$7)*K$8</f>
        <v>1.0219573415290177</v>
      </c>
      <c r="E30" s="17">
        <f>(1+RideSource!$H33*L$4)*(1+nonDriver!$F31*L$5)*(1+ShareRide!$H31*L$6)*(1+Pricing!$I32*L$7)*L$8</f>
        <v>1.1428741856370537</v>
      </c>
      <c r="F30" s="17">
        <f>(1+RideSource!$H33*J$4)*(1+nonDriver!$F31*J$5)*(1+ShareRide!$H31*J$6)*(1+Pricing!$I32*J$7)*J$8</f>
        <v>1</v>
      </c>
      <c r="G30" s="17">
        <f>(1+RideSource!$H33*K$4)*(1+nonDriver!$F31*K$5)*(1+ShareRide!$H31*K$6)*(1+Pricing!$I32*K$7)*K$8</f>
        <v>1.0219573415290177</v>
      </c>
      <c r="H30" s="17">
        <f>(1+RideSource!$H33*L$4)*(1+nonDriver!$F31*L$5)*(1+ShareRide!$H31*L$6)*(1+Pricing!$I32*L$7)*L$8</f>
        <v>1.1428741856370537</v>
      </c>
    </row>
    <row r="31" spans="1:15" x14ac:dyDescent="0.25">
      <c r="A31" s="44">
        <f t="shared" si="1"/>
        <v>28</v>
      </c>
      <c r="B31" s="44">
        <f t="shared" si="1"/>
        <v>2045</v>
      </c>
      <c r="C31" s="17">
        <f>(1+RideSource!$H34*J$4)*(1+nonDriver!$F32*J$5)*(1+ShareRide!$H32*J$6)*(1+Pricing!$I33*J$7)*J$8</f>
        <v>1</v>
      </c>
      <c r="D31" s="17">
        <f>(1+RideSource!$H34*K$4)*(1+nonDriver!$F32*K$5)*(1+ShareRide!$H32*K$6)*(1+Pricing!$I33*K$7)*K$8</f>
        <v>1.0219573415290177</v>
      </c>
      <c r="E31" s="17">
        <f>(1+RideSource!$H34*L$4)*(1+nonDriver!$F32*L$5)*(1+ShareRide!$H32*L$6)*(1+Pricing!$I33*L$7)*L$8</f>
        <v>1.1428741856370537</v>
      </c>
      <c r="F31" s="17">
        <f>(1+RideSource!$H34*J$4)*(1+nonDriver!$F32*J$5)*(1+ShareRide!$H32*J$6)*(1+Pricing!$I33*J$7)*J$8</f>
        <v>1</v>
      </c>
      <c r="G31" s="17">
        <f>(1+RideSource!$H34*K$4)*(1+nonDriver!$F32*K$5)*(1+ShareRide!$H32*K$6)*(1+Pricing!$I33*K$7)*K$8</f>
        <v>1.0219573415290177</v>
      </c>
      <c r="H31" s="17">
        <f>(1+RideSource!$H34*L$4)*(1+nonDriver!$F32*L$5)*(1+ShareRide!$H32*L$6)*(1+Pricing!$I33*L$7)*L$8</f>
        <v>1.1428741856370537</v>
      </c>
    </row>
    <row r="32" spans="1:15" x14ac:dyDescent="0.25">
      <c r="A32" s="44">
        <f t="shared" si="1"/>
        <v>29</v>
      </c>
      <c r="B32" s="44">
        <f t="shared" si="1"/>
        <v>2046</v>
      </c>
      <c r="C32" s="17">
        <f>(1+RideSource!$H35*J$4)*(1+nonDriver!$F33*J$5)*(1+ShareRide!$H33*J$6)*(1+Pricing!$I34*J$7)*J$8</f>
        <v>1</v>
      </c>
      <c r="D32" s="17">
        <f>(1+RideSource!$H35*K$4)*(1+nonDriver!$F33*K$5)*(1+ShareRide!$H33*K$6)*(1+Pricing!$I34*K$7)*K$8</f>
        <v>1.0219573415290177</v>
      </c>
      <c r="E32" s="17">
        <f>(1+RideSource!$H35*L$4)*(1+nonDriver!$F33*L$5)*(1+ShareRide!$H33*L$6)*(1+Pricing!$I34*L$7)*L$8</f>
        <v>1.1428741856370537</v>
      </c>
      <c r="F32" s="17">
        <f>(1+RideSource!$H35*J$4)*(1+nonDriver!$F33*J$5)*(1+ShareRide!$H33*J$6)*(1+Pricing!$I34*J$7)*J$8</f>
        <v>1</v>
      </c>
      <c r="G32" s="17">
        <f>(1+RideSource!$H35*K$4)*(1+nonDriver!$F33*K$5)*(1+ShareRide!$H33*K$6)*(1+Pricing!$I34*K$7)*K$8</f>
        <v>1.0219573415290177</v>
      </c>
      <c r="H32" s="17">
        <f>(1+RideSource!$H35*L$4)*(1+nonDriver!$F33*L$5)*(1+ShareRide!$H33*L$6)*(1+Pricing!$I34*L$7)*L$8</f>
        <v>1.1428741856370537</v>
      </c>
    </row>
    <row r="33" spans="1:8" x14ac:dyDescent="0.25">
      <c r="A33" s="44">
        <f t="shared" si="1"/>
        <v>30</v>
      </c>
      <c r="B33" s="44">
        <f t="shared" si="1"/>
        <v>2047</v>
      </c>
      <c r="C33" s="17">
        <f>(1+RideSource!$H36*J$4)*(1+nonDriver!$F34*J$5)*(1+ShareRide!$H34*J$6)*(1+Pricing!$I35*J$7)*J$8</f>
        <v>1</v>
      </c>
      <c r="D33" s="17">
        <f>(1+RideSource!$H36*K$4)*(1+nonDriver!$F34*K$5)*(1+ShareRide!$H34*K$6)*(1+Pricing!$I35*K$7)*K$8</f>
        <v>1.0219573415290177</v>
      </c>
      <c r="E33" s="17">
        <f>(1+RideSource!$H36*L$4)*(1+nonDriver!$F34*L$5)*(1+ShareRide!$H34*L$6)*(1+Pricing!$I35*L$7)*L$8</f>
        <v>1.1428741856370537</v>
      </c>
      <c r="F33" s="17">
        <f>(1+RideSource!$H36*J$4)*(1+nonDriver!$F34*J$5)*(1+ShareRide!$H34*J$6)*(1+Pricing!$I35*J$7)*J$8</f>
        <v>1</v>
      </c>
      <c r="G33" s="17">
        <f>(1+RideSource!$H36*K$4)*(1+nonDriver!$F34*K$5)*(1+ShareRide!$H34*K$6)*(1+Pricing!$I35*K$7)*K$8</f>
        <v>1.0219573415290177</v>
      </c>
      <c r="H33" s="17">
        <f>(1+RideSource!$H36*L$4)*(1+nonDriver!$F34*L$5)*(1+ShareRide!$H34*L$6)*(1+Pricing!$I35*L$7)*L$8</f>
        <v>1.1428741856370537</v>
      </c>
    </row>
    <row r="34" spans="1:8" x14ac:dyDescent="0.25">
      <c r="A34" s="44">
        <f t="shared" si="1"/>
        <v>31</v>
      </c>
      <c r="B34" s="44">
        <f t="shared" si="1"/>
        <v>2048</v>
      </c>
      <c r="C34" s="17">
        <f>(1+RideSource!$H37*J$4)*(1+nonDriver!$F35*J$5)*(1+ShareRide!$H35*J$6)*(1+Pricing!$I36*J$7)*J$8</f>
        <v>1</v>
      </c>
      <c r="D34" s="17">
        <f>(1+RideSource!$H37*K$4)*(1+nonDriver!$F35*K$5)*(1+ShareRide!$H35*K$6)*(1+Pricing!$I36*K$7)*K$8</f>
        <v>1.0219573415290177</v>
      </c>
      <c r="E34" s="17">
        <f>(1+RideSource!$H37*L$4)*(1+nonDriver!$F35*L$5)*(1+ShareRide!$H35*L$6)*(1+Pricing!$I36*L$7)*L$8</f>
        <v>1.1428741856370537</v>
      </c>
      <c r="F34" s="17">
        <f>(1+RideSource!$H37*J$4)*(1+nonDriver!$F35*J$5)*(1+ShareRide!$H35*J$6)*(1+Pricing!$I36*J$7)*J$8</f>
        <v>1</v>
      </c>
      <c r="G34" s="17">
        <f>(1+RideSource!$H37*K$4)*(1+nonDriver!$F35*K$5)*(1+ShareRide!$H35*K$6)*(1+Pricing!$I36*K$7)*K$8</f>
        <v>1.0219573415290177</v>
      </c>
      <c r="H34" s="17">
        <f>(1+RideSource!$H37*L$4)*(1+nonDriver!$F35*L$5)*(1+ShareRide!$H35*L$6)*(1+Pricing!$I36*L$7)*L$8</f>
        <v>1.1428741856370537</v>
      </c>
    </row>
    <row r="35" spans="1:8" x14ac:dyDescent="0.25">
      <c r="A35" s="44">
        <f t="shared" si="1"/>
        <v>32</v>
      </c>
      <c r="B35" s="44">
        <f t="shared" si="1"/>
        <v>2049</v>
      </c>
      <c r="C35" s="17">
        <f>(1+RideSource!$H38*J$4)*(1+nonDriver!$F36*J$5)*(1+ShareRide!$H36*J$6)*(1+Pricing!$I37*J$7)*J$8</f>
        <v>1</v>
      </c>
      <c r="D35" s="17">
        <f>(1+RideSource!$H38*K$4)*(1+nonDriver!$F36*K$5)*(1+ShareRide!$H36*K$6)*(1+Pricing!$I37*K$7)*K$8</f>
        <v>1.0219573415290177</v>
      </c>
      <c r="E35" s="17">
        <f>(1+RideSource!$H38*L$4)*(1+nonDriver!$F36*L$5)*(1+ShareRide!$H36*L$6)*(1+Pricing!$I37*L$7)*L$8</f>
        <v>1.1428741856370537</v>
      </c>
      <c r="F35" s="17">
        <f>(1+RideSource!$H38*J$4)*(1+nonDriver!$F36*J$5)*(1+ShareRide!$H36*J$6)*(1+Pricing!$I37*J$7)*J$8</f>
        <v>1</v>
      </c>
      <c r="G35" s="17">
        <f>(1+RideSource!$H38*K$4)*(1+nonDriver!$F36*K$5)*(1+ShareRide!$H36*K$6)*(1+Pricing!$I37*K$7)*K$8</f>
        <v>1.0219573415290177</v>
      </c>
      <c r="H35" s="17">
        <f>(1+RideSource!$H38*L$4)*(1+nonDriver!$F36*L$5)*(1+ShareRide!$H36*L$6)*(1+Pricing!$I37*L$7)*L$8</f>
        <v>1.1428741856370537</v>
      </c>
    </row>
    <row r="36" spans="1:8" x14ac:dyDescent="0.25">
      <c r="A36" s="44">
        <f t="shared" si="1"/>
        <v>33</v>
      </c>
      <c r="B36" s="44">
        <f t="shared" si="1"/>
        <v>2050</v>
      </c>
      <c r="C36" s="17">
        <f>(1+RideSource!$H39*J$4)*(1+nonDriver!$F37*J$5)*(1+ShareRide!$H37*J$6)*(1+Pricing!$I38*J$7)*J$8</f>
        <v>1</v>
      </c>
      <c r="D36" s="17">
        <f>(1+RideSource!$H39*K$4)*(1+nonDriver!$F37*K$5)*(1+ShareRide!$H37*K$6)*(1+Pricing!$I38*K$7)*K$8</f>
        <v>1.0219573415290177</v>
      </c>
      <c r="E36" s="17">
        <f>(1+RideSource!$H39*L$4)*(1+nonDriver!$F37*L$5)*(1+ShareRide!$H37*L$6)*(1+Pricing!$I38*L$7)*L$8</f>
        <v>1.1428741856370537</v>
      </c>
      <c r="F36" s="17">
        <f>(1+RideSource!$H39*J$4)*(1+nonDriver!$F37*J$5)*(1+ShareRide!$H37*J$6)*(1+Pricing!$I38*J$7)*J$8</f>
        <v>1</v>
      </c>
      <c r="G36" s="17">
        <f>(1+RideSource!$H39*K$4)*(1+nonDriver!$F37*K$5)*(1+ShareRide!$H37*K$6)*(1+Pricing!$I38*K$7)*K$8</f>
        <v>1.0219573415290177</v>
      </c>
      <c r="H36" s="17">
        <f>(1+RideSource!$H39*L$4)*(1+nonDriver!$F37*L$5)*(1+ShareRide!$H37*L$6)*(1+Pricing!$I38*L$7)*L$8</f>
        <v>1.1428741856370537</v>
      </c>
    </row>
    <row r="37" spans="1:8" x14ac:dyDescent="0.25">
      <c r="A37" s="44">
        <f t="shared" si="1"/>
        <v>34</v>
      </c>
      <c r="B37" s="44">
        <f t="shared" si="1"/>
        <v>2051</v>
      </c>
      <c r="C37" s="17">
        <f>(1+RideSource!$H40*J$4)*(1+nonDriver!$F38*J$5)*(1+ShareRide!$H38*J$6)*(1+Pricing!$I39*J$7)*J$8</f>
        <v>1</v>
      </c>
      <c r="D37" s="17">
        <f>(1+RideSource!$H40*K$4)*(1+nonDriver!$F38*K$5)*(1+ShareRide!$H38*K$6)*(1+Pricing!$I39*K$7)*K$8</f>
        <v>1.0219573415290177</v>
      </c>
      <c r="E37" s="17">
        <f>(1+RideSource!$H40*L$4)*(1+nonDriver!$F38*L$5)*(1+ShareRide!$H38*L$6)*(1+Pricing!$I39*L$7)*L$8</f>
        <v>1.1428741856370537</v>
      </c>
      <c r="F37" s="17">
        <f>(1+RideSource!$H40*J$4)*(1+nonDriver!$F38*J$5)*(1+ShareRide!$H38*J$6)*(1+Pricing!$I39*J$7)*J$8</f>
        <v>1</v>
      </c>
      <c r="G37" s="17">
        <f>(1+RideSource!$H40*K$4)*(1+nonDriver!$F38*K$5)*(1+ShareRide!$H38*K$6)*(1+Pricing!$I39*K$7)*K$8</f>
        <v>1.0219573415290177</v>
      </c>
      <c r="H37" s="17">
        <f>(1+RideSource!$H40*L$4)*(1+nonDriver!$F38*L$5)*(1+ShareRide!$H38*L$6)*(1+Pricing!$I39*L$7)*L$8</f>
        <v>1.1428741856370537</v>
      </c>
    </row>
    <row r="38" spans="1:8" x14ac:dyDescent="0.25">
      <c r="A38" s="44">
        <f t="shared" ref="A38:B53" si="2">A37+1</f>
        <v>35</v>
      </c>
      <c r="B38" s="44">
        <f t="shared" si="2"/>
        <v>2052</v>
      </c>
      <c r="C38" s="17">
        <f>(1+RideSource!$H41*J$4)*(1+nonDriver!$F39*J$5)*(1+ShareRide!$H39*J$6)*(1+Pricing!$I40*J$7)*J$8</f>
        <v>1</v>
      </c>
      <c r="D38" s="17">
        <f>(1+RideSource!$H41*K$4)*(1+nonDriver!$F39*K$5)*(1+ShareRide!$H39*K$6)*(1+Pricing!$I40*K$7)*K$8</f>
        <v>1.0219573415290177</v>
      </c>
      <c r="E38" s="17">
        <f>(1+RideSource!$H41*L$4)*(1+nonDriver!$F39*L$5)*(1+ShareRide!$H39*L$6)*(1+Pricing!$I40*L$7)*L$8</f>
        <v>1.1428741856370537</v>
      </c>
      <c r="F38" s="17">
        <f>(1+RideSource!$H41*J$4)*(1+nonDriver!$F39*J$5)*(1+ShareRide!$H39*J$6)*(1+Pricing!$I40*J$7)*J$8</f>
        <v>1</v>
      </c>
      <c r="G38" s="17">
        <f>(1+RideSource!$H41*K$4)*(1+nonDriver!$F39*K$5)*(1+ShareRide!$H39*K$6)*(1+Pricing!$I40*K$7)*K$8</f>
        <v>1.0219573415290177</v>
      </c>
      <c r="H38" s="17">
        <f>(1+RideSource!$H41*L$4)*(1+nonDriver!$F39*L$5)*(1+ShareRide!$H39*L$6)*(1+Pricing!$I40*L$7)*L$8</f>
        <v>1.1428741856370537</v>
      </c>
    </row>
    <row r="39" spans="1:8" x14ac:dyDescent="0.25">
      <c r="A39" s="44">
        <f t="shared" si="2"/>
        <v>36</v>
      </c>
      <c r="B39" s="44">
        <f t="shared" si="2"/>
        <v>2053</v>
      </c>
      <c r="C39" s="17">
        <f>(1+RideSource!$H42*J$4)*(1+nonDriver!$F40*J$5)*(1+ShareRide!$H40*J$6)*(1+Pricing!$I41*J$7)*J$8</f>
        <v>1</v>
      </c>
      <c r="D39" s="17">
        <f>(1+RideSource!$H42*K$4)*(1+nonDriver!$F40*K$5)*(1+ShareRide!$H40*K$6)*(1+Pricing!$I41*K$7)*K$8</f>
        <v>1.0219573415290177</v>
      </c>
      <c r="E39" s="17">
        <f>(1+RideSource!$H42*L$4)*(1+nonDriver!$F40*L$5)*(1+ShareRide!$H40*L$6)*(1+Pricing!$I41*L$7)*L$8</f>
        <v>1.1428741856370537</v>
      </c>
      <c r="F39" s="17">
        <f>(1+RideSource!$H42*J$4)*(1+nonDriver!$F40*J$5)*(1+ShareRide!$H40*J$6)*(1+Pricing!$I41*J$7)*J$8</f>
        <v>1</v>
      </c>
      <c r="G39" s="17">
        <f>(1+RideSource!$H42*K$4)*(1+nonDriver!$F40*K$5)*(1+ShareRide!$H40*K$6)*(1+Pricing!$I41*K$7)*K$8</f>
        <v>1.0219573415290177</v>
      </c>
      <c r="H39" s="17">
        <f>(1+RideSource!$H42*L$4)*(1+nonDriver!$F40*L$5)*(1+ShareRide!$H40*L$6)*(1+Pricing!$I41*L$7)*L$8</f>
        <v>1.1428741856370537</v>
      </c>
    </row>
    <row r="40" spans="1:8" x14ac:dyDescent="0.25">
      <c r="A40" s="44">
        <f t="shared" si="2"/>
        <v>37</v>
      </c>
      <c r="B40" s="44">
        <f t="shared" si="2"/>
        <v>2054</v>
      </c>
      <c r="C40" s="17">
        <f>(1+RideSource!$H43*J$4)*(1+nonDriver!$F41*J$5)*(1+ShareRide!$H41*J$6)*(1+Pricing!$I42*J$7)*J$8</f>
        <v>1</v>
      </c>
      <c r="D40" s="17">
        <f>(1+RideSource!$H43*K$4)*(1+nonDriver!$F41*K$5)*(1+ShareRide!$H41*K$6)*(1+Pricing!$I42*K$7)*K$8</f>
        <v>1.0219573415290177</v>
      </c>
      <c r="E40" s="17">
        <f>(1+RideSource!$H43*L$4)*(1+nonDriver!$F41*L$5)*(1+ShareRide!$H41*L$6)*(1+Pricing!$I42*L$7)*L$8</f>
        <v>1.1428741856370537</v>
      </c>
      <c r="F40" s="17">
        <f>(1+RideSource!$H43*J$4)*(1+nonDriver!$F41*J$5)*(1+ShareRide!$H41*J$6)*(1+Pricing!$I42*J$7)*J$8</f>
        <v>1</v>
      </c>
      <c r="G40" s="17">
        <f>(1+RideSource!$H43*K$4)*(1+nonDriver!$F41*K$5)*(1+ShareRide!$H41*K$6)*(1+Pricing!$I42*K$7)*K$8</f>
        <v>1.0219573415290177</v>
      </c>
      <c r="H40" s="17">
        <f>(1+RideSource!$H43*L$4)*(1+nonDriver!$F41*L$5)*(1+ShareRide!$H41*L$6)*(1+Pricing!$I42*L$7)*L$8</f>
        <v>1.1428741856370537</v>
      </c>
    </row>
    <row r="41" spans="1:8" x14ac:dyDescent="0.25">
      <c r="A41" s="44">
        <f t="shared" si="2"/>
        <v>38</v>
      </c>
      <c r="B41" s="44">
        <f t="shared" si="2"/>
        <v>2055</v>
      </c>
      <c r="C41" s="17">
        <f>(1+RideSource!$H44*J$4)*(1+nonDriver!$F42*J$5)*(1+ShareRide!$H42*J$6)*(1+Pricing!$I43*J$7)*J$8</f>
        <v>1</v>
      </c>
      <c r="D41" s="17">
        <f>(1+RideSource!$H44*K$4)*(1+nonDriver!$F42*K$5)*(1+ShareRide!$H42*K$6)*(1+Pricing!$I43*K$7)*K$8</f>
        <v>1.0219573415290177</v>
      </c>
      <c r="E41" s="17">
        <f>(1+RideSource!$H44*L$4)*(1+nonDriver!$F42*L$5)*(1+ShareRide!$H42*L$6)*(1+Pricing!$I43*L$7)*L$8</f>
        <v>1.1428741856370537</v>
      </c>
      <c r="F41" s="17">
        <f>(1+RideSource!$H44*J$4)*(1+nonDriver!$F42*J$5)*(1+ShareRide!$H42*J$6)*(1+Pricing!$I43*J$7)*J$8</f>
        <v>1</v>
      </c>
      <c r="G41" s="17">
        <f>(1+RideSource!$H44*K$4)*(1+nonDriver!$F42*K$5)*(1+ShareRide!$H42*K$6)*(1+Pricing!$I43*K$7)*K$8</f>
        <v>1.0219573415290177</v>
      </c>
      <c r="H41" s="17">
        <f>(1+RideSource!$H44*L$4)*(1+nonDriver!$F42*L$5)*(1+ShareRide!$H42*L$6)*(1+Pricing!$I43*L$7)*L$8</f>
        <v>1.1428741856370537</v>
      </c>
    </row>
    <row r="42" spans="1:8" x14ac:dyDescent="0.25">
      <c r="A42" s="44">
        <f t="shared" si="2"/>
        <v>39</v>
      </c>
      <c r="B42" s="44">
        <f t="shared" si="2"/>
        <v>2056</v>
      </c>
      <c r="C42" s="17">
        <f>(1+RideSource!$H45*J$4)*(1+nonDriver!$F43*J$5)*(1+ShareRide!$H43*J$6)*(1+Pricing!$I44*J$7)*J$8</f>
        <v>1</v>
      </c>
      <c r="D42" s="17">
        <f>(1+RideSource!$H45*K$4)*(1+nonDriver!$F43*K$5)*(1+ShareRide!$H43*K$6)*(1+Pricing!$I44*K$7)*K$8</f>
        <v>1.0219573415290177</v>
      </c>
      <c r="E42" s="17">
        <f>(1+RideSource!$H45*L$4)*(1+nonDriver!$F43*L$5)*(1+ShareRide!$H43*L$6)*(1+Pricing!$I44*L$7)*L$8</f>
        <v>1.1428741856370537</v>
      </c>
      <c r="F42" s="17">
        <f>(1+RideSource!$H45*J$4)*(1+nonDriver!$F43*J$5)*(1+ShareRide!$H43*J$6)*(1+Pricing!$I44*J$7)*J$8</f>
        <v>1</v>
      </c>
      <c r="G42" s="17">
        <f>(1+RideSource!$H45*K$4)*(1+nonDriver!$F43*K$5)*(1+ShareRide!$H43*K$6)*(1+Pricing!$I44*K$7)*K$8</f>
        <v>1.0219573415290177</v>
      </c>
      <c r="H42" s="17">
        <f>(1+RideSource!$H45*L$4)*(1+nonDriver!$F43*L$5)*(1+ShareRide!$H43*L$6)*(1+Pricing!$I44*L$7)*L$8</f>
        <v>1.1428741856370537</v>
      </c>
    </row>
    <row r="43" spans="1:8" x14ac:dyDescent="0.25">
      <c r="A43" s="44">
        <f t="shared" si="2"/>
        <v>40</v>
      </c>
      <c r="B43" s="44">
        <f t="shared" si="2"/>
        <v>2057</v>
      </c>
      <c r="C43" s="17">
        <f>(1+RideSource!$H46*J$4)*(1+nonDriver!$F44*J$5)*(1+ShareRide!$H44*J$6)*(1+Pricing!$I45*J$7)*J$8</f>
        <v>1</v>
      </c>
      <c r="D43" s="17">
        <f>(1+RideSource!$H46*K$4)*(1+nonDriver!$F44*K$5)*(1+ShareRide!$H44*K$6)*(1+Pricing!$I45*K$7)*K$8</f>
        <v>1.0219573415290177</v>
      </c>
      <c r="E43" s="17">
        <f>(1+RideSource!$H46*L$4)*(1+nonDriver!$F44*L$5)*(1+ShareRide!$H44*L$6)*(1+Pricing!$I45*L$7)*L$8</f>
        <v>1.1428741856370537</v>
      </c>
      <c r="F43" s="17">
        <f>(1+RideSource!$H46*J$4)*(1+nonDriver!$F44*J$5)*(1+ShareRide!$H44*J$6)*(1+Pricing!$I45*J$7)*J$8</f>
        <v>1</v>
      </c>
      <c r="G43" s="17">
        <f>(1+RideSource!$H46*K$4)*(1+nonDriver!$F44*K$5)*(1+ShareRide!$H44*K$6)*(1+Pricing!$I45*K$7)*K$8</f>
        <v>1.0219573415290177</v>
      </c>
      <c r="H43" s="17">
        <f>(1+RideSource!$H46*L$4)*(1+nonDriver!$F44*L$5)*(1+ShareRide!$H44*L$6)*(1+Pricing!$I45*L$7)*L$8</f>
        <v>1.1428741856370537</v>
      </c>
    </row>
    <row r="44" spans="1:8" x14ac:dyDescent="0.25">
      <c r="A44" s="44">
        <f t="shared" si="2"/>
        <v>41</v>
      </c>
      <c r="B44" s="44">
        <f t="shared" si="2"/>
        <v>2058</v>
      </c>
      <c r="C44" s="17">
        <f>(1+RideSource!$H47*J$4)*(1+nonDriver!$F45*J$5)*(1+ShareRide!$H45*J$6)*(1+Pricing!$I46*J$7)*J$8</f>
        <v>1</v>
      </c>
      <c r="D44" s="17">
        <f>(1+RideSource!$H47*K$4)*(1+nonDriver!$F45*K$5)*(1+ShareRide!$H45*K$6)*(1+Pricing!$I46*K$7)*K$8</f>
        <v>1.0219573415290177</v>
      </c>
      <c r="E44" s="17">
        <f>(1+RideSource!$H47*L$4)*(1+nonDriver!$F45*L$5)*(1+ShareRide!$H45*L$6)*(1+Pricing!$I46*L$7)*L$8</f>
        <v>1.1428741856370537</v>
      </c>
      <c r="F44" s="17">
        <f>(1+RideSource!$H47*J$4)*(1+nonDriver!$F45*J$5)*(1+ShareRide!$H45*J$6)*(1+Pricing!$I46*J$7)*J$8</f>
        <v>1</v>
      </c>
      <c r="G44" s="17">
        <f>(1+RideSource!$H47*K$4)*(1+nonDriver!$F45*K$5)*(1+ShareRide!$H45*K$6)*(1+Pricing!$I46*K$7)*K$8</f>
        <v>1.0219573415290177</v>
      </c>
      <c r="H44" s="17">
        <f>(1+RideSource!$H47*L$4)*(1+nonDriver!$F45*L$5)*(1+ShareRide!$H45*L$6)*(1+Pricing!$I46*L$7)*L$8</f>
        <v>1.1428741856370537</v>
      </c>
    </row>
    <row r="45" spans="1:8" x14ac:dyDescent="0.25">
      <c r="A45" s="44">
        <f t="shared" si="2"/>
        <v>42</v>
      </c>
      <c r="B45" s="44">
        <f t="shared" si="2"/>
        <v>2059</v>
      </c>
      <c r="C45" s="17">
        <f>(1+RideSource!$H48*J$4)*(1+nonDriver!$F46*J$5)*(1+ShareRide!$H46*J$6)*(1+Pricing!$I47*J$7)*J$8</f>
        <v>1</v>
      </c>
      <c r="D45" s="17">
        <f>(1+RideSource!$H48*K$4)*(1+nonDriver!$F46*K$5)*(1+ShareRide!$H46*K$6)*(1+Pricing!$I47*K$7)*K$8</f>
        <v>1.0219573415290177</v>
      </c>
      <c r="E45" s="17">
        <f>(1+RideSource!$H48*L$4)*(1+nonDriver!$F46*L$5)*(1+ShareRide!$H46*L$6)*(1+Pricing!$I47*L$7)*L$8</f>
        <v>1.1428741856370537</v>
      </c>
      <c r="F45" s="17">
        <f>(1+RideSource!$H48*J$4)*(1+nonDriver!$F46*J$5)*(1+ShareRide!$H46*J$6)*(1+Pricing!$I47*J$7)*J$8</f>
        <v>1</v>
      </c>
      <c r="G45" s="17">
        <f>(1+RideSource!$H48*K$4)*(1+nonDriver!$F46*K$5)*(1+ShareRide!$H46*K$6)*(1+Pricing!$I47*K$7)*K$8</f>
        <v>1.0219573415290177</v>
      </c>
      <c r="H45" s="17">
        <f>(1+RideSource!$H48*L$4)*(1+nonDriver!$F46*L$5)*(1+ShareRide!$H46*L$6)*(1+Pricing!$I47*L$7)*L$8</f>
        <v>1.1428741856370537</v>
      </c>
    </row>
    <row r="46" spans="1:8" x14ac:dyDescent="0.25">
      <c r="A46" s="44">
        <f t="shared" si="2"/>
        <v>43</v>
      </c>
      <c r="B46" s="44">
        <f t="shared" si="2"/>
        <v>2060</v>
      </c>
      <c r="C46" s="17">
        <f>(1+RideSource!$H49*J$4)*(1+nonDriver!$F47*J$5)*(1+ShareRide!$H47*J$6)*(1+Pricing!$I48*J$7)*J$8</f>
        <v>1</v>
      </c>
      <c r="D46" s="17">
        <f>(1+RideSource!$H49*K$4)*(1+nonDriver!$F47*K$5)*(1+ShareRide!$H47*K$6)*(1+Pricing!$I48*K$7)*K$8</f>
        <v>1.0219573415290177</v>
      </c>
      <c r="E46" s="17">
        <f>(1+RideSource!$H49*L$4)*(1+nonDriver!$F47*L$5)*(1+ShareRide!$H47*L$6)*(1+Pricing!$I48*L$7)*L$8</f>
        <v>1.1428741856370537</v>
      </c>
      <c r="F46" s="17">
        <f>(1+RideSource!$H49*J$4)*(1+nonDriver!$F47*J$5)*(1+ShareRide!$H47*J$6)*(1+Pricing!$I48*J$7)*J$8</f>
        <v>1</v>
      </c>
      <c r="G46" s="17">
        <f>(1+RideSource!$H49*K$4)*(1+nonDriver!$F47*K$5)*(1+ShareRide!$H47*K$6)*(1+Pricing!$I48*K$7)*K$8</f>
        <v>1.0219573415290177</v>
      </c>
      <c r="H46" s="17">
        <f>(1+RideSource!$H49*L$4)*(1+nonDriver!$F47*L$5)*(1+ShareRide!$H47*L$6)*(1+Pricing!$I48*L$7)*L$8</f>
        <v>1.1428741856370537</v>
      </c>
    </row>
    <row r="47" spans="1:8" x14ac:dyDescent="0.25">
      <c r="A47" s="44">
        <f t="shared" si="2"/>
        <v>44</v>
      </c>
      <c r="B47" s="44">
        <f t="shared" si="2"/>
        <v>2061</v>
      </c>
      <c r="C47" s="17">
        <f>(1+RideSource!$H50*J$4)*(1+nonDriver!$F48*J$5)*(1+ShareRide!$H48*J$6)*(1+Pricing!$I49*J$7)*J$8</f>
        <v>1</v>
      </c>
      <c r="D47" s="17">
        <f>(1+RideSource!$H50*K$4)*(1+nonDriver!$F48*K$5)*(1+ShareRide!$H48*K$6)*(1+Pricing!$I49*K$7)*K$8</f>
        <v>1.0219573415290177</v>
      </c>
      <c r="E47" s="17">
        <f>(1+RideSource!$H50*L$4)*(1+nonDriver!$F48*L$5)*(1+ShareRide!$H48*L$6)*(1+Pricing!$I49*L$7)*L$8</f>
        <v>1.1428741856370537</v>
      </c>
      <c r="F47" s="17">
        <f>(1+RideSource!$H50*J$4)*(1+nonDriver!$F48*J$5)*(1+ShareRide!$H48*J$6)*(1+Pricing!$I49*J$7)*J$8</f>
        <v>1</v>
      </c>
      <c r="G47" s="17">
        <f>(1+RideSource!$H50*K$4)*(1+nonDriver!$F48*K$5)*(1+ShareRide!$H48*K$6)*(1+Pricing!$I49*K$7)*K$8</f>
        <v>1.0219573415290177</v>
      </c>
      <c r="H47" s="17">
        <f>(1+RideSource!$H50*L$4)*(1+nonDriver!$F48*L$5)*(1+ShareRide!$H48*L$6)*(1+Pricing!$I49*L$7)*L$8</f>
        <v>1.1428741856370537</v>
      </c>
    </row>
    <row r="48" spans="1:8" x14ac:dyDescent="0.25">
      <c r="A48" s="44">
        <f t="shared" si="2"/>
        <v>45</v>
      </c>
      <c r="B48" s="44">
        <f t="shared" si="2"/>
        <v>2062</v>
      </c>
      <c r="C48" s="17">
        <f>(1+RideSource!$H51*J$4)*(1+nonDriver!$F49*J$5)*(1+ShareRide!$H49*J$6)*(1+Pricing!$I50*J$7)*J$8</f>
        <v>1</v>
      </c>
      <c r="D48" s="17">
        <f>(1+RideSource!$H51*K$4)*(1+nonDriver!$F49*K$5)*(1+ShareRide!$H49*K$6)*(1+Pricing!$I50*K$7)*K$8</f>
        <v>1.0219573415290177</v>
      </c>
      <c r="E48" s="17">
        <f>(1+RideSource!$H51*L$4)*(1+nonDriver!$F49*L$5)*(1+ShareRide!$H49*L$6)*(1+Pricing!$I50*L$7)*L$8</f>
        <v>1.1428741856370537</v>
      </c>
      <c r="F48" s="17">
        <f>(1+RideSource!$H51*J$4)*(1+nonDriver!$F49*J$5)*(1+ShareRide!$H49*J$6)*(1+Pricing!$I50*J$7)*J$8</f>
        <v>1</v>
      </c>
      <c r="G48" s="17">
        <f>(1+RideSource!$H51*K$4)*(1+nonDriver!$F49*K$5)*(1+ShareRide!$H49*K$6)*(1+Pricing!$I50*K$7)*K$8</f>
        <v>1.0219573415290177</v>
      </c>
      <c r="H48" s="17">
        <f>(1+RideSource!$H51*L$4)*(1+nonDriver!$F49*L$5)*(1+ShareRide!$H49*L$6)*(1+Pricing!$I50*L$7)*L$8</f>
        <v>1.1428741856370537</v>
      </c>
    </row>
    <row r="49" spans="1:8" x14ac:dyDescent="0.25">
      <c r="A49" s="44">
        <f t="shared" si="2"/>
        <v>46</v>
      </c>
      <c r="B49" s="44">
        <f t="shared" si="2"/>
        <v>2063</v>
      </c>
      <c r="C49" s="17">
        <f>(1+RideSource!$H52*J$4)*(1+nonDriver!$F50*J$5)*(1+ShareRide!$H50*J$6)*(1+Pricing!$I51*J$7)*J$8</f>
        <v>1</v>
      </c>
      <c r="D49" s="17">
        <f>(1+RideSource!$H52*K$4)*(1+nonDriver!$F50*K$5)*(1+ShareRide!$H50*K$6)*(1+Pricing!$I51*K$7)*K$8</f>
        <v>1.0219573415290177</v>
      </c>
      <c r="E49" s="17">
        <f>(1+RideSource!$H52*L$4)*(1+nonDriver!$F50*L$5)*(1+ShareRide!$H50*L$6)*(1+Pricing!$I51*L$7)*L$8</f>
        <v>1.1428741856370537</v>
      </c>
      <c r="F49" s="17">
        <f>(1+RideSource!$H52*J$4)*(1+nonDriver!$F50*J$5)*(1+ShareRide!$H50*J$6)*(1+Pricing!$I51*J$7)*J$8</f>
        <v>1</v>
      </c>
      <c r="G49" s="17">
        <f>(1+RideSource!$H52*K$4)*(1+nonDriver!$F50*K$5)*(1+ShareRide!$H50*K$6)*(1+Pricing!$I51*K$7)*K$8</f>
        <v>1.0219573415290177</v>
      </c>
      <c r="H49" s="17">
        <f>(1+RideSource!$H52*L$4)*(1+nonDriver!$F50*L$5)*(1+ShareRide!$H50*L$6)*(1+Pricing!$I51*L$7)*L$8</f>
        <v>1.1428741856370537</v>
      </c>
    </row>
    <row r="50" spans="1:8" x14ac:dyDescent="0.25">
      <c r="A50" s="44">
        <f t="shared" si="2"/>
        <v>47</v>
      </c>
      <c r="B50" s="44">
        <f t="shared" si="2"/>
        <v>2064</v>
      </c>
      <c r="C50" s="17">
        <f>(1+RideSource!$H53*J$4)*(1+nonDriver!$F51*J$5)*(1+ShareRide!$H51*J$6)*(1+Pricing!$I52*J$7)*J$8</f>
        <v>1</v>
      </c>
      <c r="D50" s="17">
        <f>(1+RideSource!$H53*K$4)*(1+nonDriver!$F51*K$5)*(1+ShareRide!$H51*K$6)*(1+Pricing!$I52*K$7)*K$8</f>
        <v>1.0219573415290177</v>
      </c>
      <c r="E50" s="17">
        <f>(1+RideSource!$H53*L$4)*(1+nonDriver!$F51*L$5)*(1+ShareRide!$H51*L$6)*(1+Pricing!$I52*L$7)*L$8</f>
        <v>1.1428741856370537</v>
      </c>
      <c r="F50" s="17">
        <f>(1+RideSource!$H53*J$4)*(1+nonDriver!$F51*J$5)*(1+ShareRide!$H51*J$6)*(1+Pricing!$I52*J$7)*J$8</f>
        <v>1</v>
      </c>
      <c r="G50" s="17">
        <f>(1+RideSource!$H53*K$4)*(1+nonDriver!$F51*K$5)*(1+ShareRide!$H51*K$6)*(1+Pricing!$I52*K$7)*K$8</f>
        <v>1.0219573415290177</v>
      </c>
      <c r="H50" s="17">
        <f>(1+RideSource!$H53*L$4)*(1+nonDriver!$F51*L$5)*(1+ShareRide!$H51*L$6)*(1+Pricing!$I52*L$7)*L$8</f>
        <v>1.1428741856370537</v>
      </c>
    </row>
    <row r="51" spans="1:8" x14ac:dyDescent="0.25">
      <c r="A51" s="44">
        <f t="shared" si="2"/>
        <v>48</v>
      </c>
      <c r="B51" s="44">
        <f t="shared" si="2"/>
        <v>2065</v>
      </c>
      <c r="C51" s="17">
        <f>(1+RideSource!$H54*J$4)*(1+nonDriver!$F52*J$5)*(1+ShareRide!$H52*J$6)*(1+Pricing!$I53*J$7)*J$8</f>
        <v>1</v>
      </c>
      <c r="D51" s="17">
        <f>(1+RideSource!$H54*K$4)*(1+nonDriver!$F52*K$5)*(1+ShareRide!$H52*K$6)*(1+Pricing!$I53*K$7)*K$8</f>
        <v>1.0219573415290177</v>
      </c>
      <c r="E51" s="17">
        <f>(1+RideSource!$H54*L$4)*(1+nonDriver!$F52*L$5)*(1+ShareRide!$H52*L$6)*(1+Pricing!$I53*L$7)*L$8</f>
        <v>1.1428741856370537</v>
      </c>
      <c r="F51" s="17">
        <f>(1+RideSource!$H54*J$4)*(1+nonDriver!$F52*J$5)*(1+ShareRide!$H52*J$6)*(1+Pricing!$I53*J$7)*J$8</f>
        <v>1</v>
      </c>
      <c r="G51" s="17">
        <f>(1+RideSource!$H54*K$4)*(1+nonDriver!$F52*K$5)*(1+ShareRide!$H52*K$6)*(1+Pricing!$I53*K$7)*K$8</f>
        <v>1.0219573415290177</v>
      </c>
      <c r="H51" s="17">
        <f>(1+RideSource!$H54*L$4)*(1+nonDriver!$F52*L$5)*(1+ShareRide!$H52*L$6)*(1+Pricing!$I53*L$7)*L$8</f>
        <v>1.1428741856370537</v>
      </c>
    </row>
    <row r="52" spans="1:8" x14ac:dyDescent="0.25">
      <c r="A52" s="44">
        <f t="shared" si="2"/>
        <v>49</v>
      </c>
      <c r="B52" s="44">
        <f t="shared" si="2"/>
        <v>2066</v>
      </c>
      <c r="C52" s="17">
        <f>(1+RideSource!$H55*J$4)*(1+nonDriver!$F53*J$5)*(1+ShareRide!$H53*J$6)*(1+Pricing!$I54*J$7)*J$8</f>
        <v>1</v>
      </c>
      <c r="D52" s="17">
        <f>(1+RideSource!$H55*K$4)*(1+nonDriver!$F53*K$5)*(1+ShareRide!$H53*K$6)*(1+Pricing!$I54*K$7)*K$8</f>
        <v>1.0219573415290177</v>
      </c>
      <c r="E52" s="17">
        <f>(1+RideSource!$H55*L$4)*(1+nonDriver!$F53*L$5)*(1+ShareRide!$H53*L$6)*(1+Pricing!$I54*L$7)*L$8</f>
        <v>1.1428741856370537</v>
      </c>
      <c r="F52" s="17">
        <f>(1+RideSource!$H55*J$4)*(1+nonDriver!$F53*J$5)*(1+ShareRide!$H53*J$6)*(1+Pricing!$I54*J$7)*J$8</f>
        <v>1</v>
      </c>
      <c r="G52" s="17">
        <f>(1+RideSource!$H55*K$4)*(1+nonDriver!$F53*K$5)*(1+ShareRide!$H53*K$6)*(1+Pricing!$I54*K$7)*K$8</f>
        <v>1.0219573415290177</v>
      </c>
      <c r="H52" s="17">
        <f>(1+RideSource!$H55*L$4)*(1+nonDriver!$F53*L$5)*(1+ShareRide!$H53*L$6)*(1+Pricing!$I54*L$7)*L$8</f>
        <v>1.1428741856370537</v>
      </c>
    </row>
    <row r="53" spans="1:8" x14ac:dyDescent="0.25">
      <c r="A53" s="44">
        <f t="shared" si="2"/>
        <v>50</v>
      </c>
      <c r="B53" s="44">
        <f t="shared" si="2"/>
        <v>2067</v>
      </c>
      <c r="C53" s="17">
        <f>(1+RideSource!$H56*J$4)*(1+nonDriver!$F54*J$5)*(1+ShareRide!$H54*J$6)*(1+Pricing!$I55*J$7)*J$8</f>
        <v>1</v>
      </c>
      <c r="D53" s="17">
        <f>(1+RideSource!$H56*K$4)*(1+nonDriver!$F54*K$5)*(1+ShareRide!$H54*K$6)*(1+Pricing!$I55*K$7)*K$8</f>
        <v>1.0219573415290177</v>
      </c>
      <c r="E53" s="17">
        <f>(1+RideSource!$H56*L$4)*(1+nonDriver!$F54*L$5)*(1+ShareRide!$H54*L$6)*(1+Pricing!$I55*L$7)*L$8</f>
        <v>1.1428741856370537</v>
      </c>
      <c r="F53" s="17">
        <f>(1+RideSource!$H56*J$4)*(1+nonDriver!$F54*J$5)*(1+ShareRide!$H54*J$6)*(1+Pricing!$I55*J$7)*J$8</f>
        <v>1</v>
      </c>
      <c r="G53" s="17">
        <f>(1+RideSource!$H56*K$4)*(1+nonDriver!$F54*K$5)*(1+ShareRide!$H54*K$6)*(1+Pricing!$I55*K$7)*K$8</f>
        <v>1.0219573415290177</v>
      </c>
      <c r="H53" s="17">
        <f>(1+RideSource!$H56*L$4)*(1+nonDriver!$F54*L$5)*(1+ShareRide!$H54*L$6)*(1+Pricing!$I55*L$7)*L$8</f>
        <v>1.1428741856370537</v>
      </c>
    </row>
    <row r="54" spans="1:8" x14ac:dyDescent="0.25">
      <c r="A54" s="44">
        <f t="shared" ref="A54:B56" si="3">A53+1</f>
        <v>51</v>
      </c>
      <c r="B54" s="44">
        <f t="shared" si="3"/>
        <v>2068</v>
      </c>
      <c r="C54" s="17">
        <f>(1+RideSource!$H57*J$4)*(1+nonDriver!$F55*J$5)*(1+ShareRide!$H55*J$6)*(1+Pricing!$I56*J$7)*J$8</f>
        <v>1</v>
      </c>
      <c r="D54" s="17">
        <f>(1+RideSource!$H57*K$4)*(1+nonDriver!$F55*K$5)*(1+ShareRide!$H55*K$6)*(1+Pricing!$I56*K$7)*K$8</f>
        <v>1.0219573415290177</v>
      </c>
      <c r="E54" s="17">
        <f>(1+RideSource!$H57*L$4)*(1+nonDriver!$F55*L$5)*(1+ShareRide!$H55*L$6)*(1+Pricing!$I56*L$7)*L$8</f>
        <v>1.1428741856370537</v>
      </c>
      <c r="F54" s="17">
        <f>(1+RideSource!$H57*J$4)*(1+nonDriver!$F55*J$5)*(1+ShareRide!$H55*J$6)*(1+Pricing!$I56*J$7)*J$8</f>
        <v>1</v>
      </c>
      <c r="G54" s="17">
        <f>(1+RideSource!$H57*K$4)*(1+nonDriver!$F55*K$5)*(1+ShareRide!$H55*K$6)*(1+Pricing!$I56*K$7)*K$8</f>
        <v>1.0219573415290177</v>
      </c>
      <c r="H54" s="17">
        <f>(1+RideSource!$H57*L$4)*(1+nonDriver!$F55*L$5)*(1+ShareRide!$H55*L$6)*(1+Pricing!$I56*L$7)*L$8</f>
        <v>1.1428741856370537</v>
      </c>
    </row>
    <row r="55" spans="1:8" x14ac:dyDescent="0.25">
      <c r="A55" s="44">
        <f t="shared" si="3"/>
        <v>52</v>
      </c>
      <c r="B55" s="44">
        <f t="shared" si="3"/>
        <v>2069</v>
      </c>
      <c r="C55" s="17">
        <f>(1+RideSource!$H58*J$4)*(1+nonDriver!$F56*J$5)*(1+ShareRide!$H56*J$6)*(1+Pricing!$I57*J$7)*J$8</f>
        <v>1</v>
      </c>
      <c r="D55" s="17">
        <f>(1+RideSource!$H58*K$4)*(1+nonDriver!$F56*K$5)*(1+ShareRide!$H56*K$6)*(1+Pricing!$I57*K$7)*K$8</f>
        <v>1.0219573415290177</v>
      </c>
      <c r="E55" s="17">
        <f>(1+RideSource!$H58*L$4)*(1+nonDriver!$F56*L$5)*(1+ShareRide!$H56*L$6)*(1+Pricing!$I57*L$7)*L$8</f>
        <v>1.1428741856370537</v>
      </c>
      <c r="F55" s="17">
        <f>(1+RideSource!$H58*J$4)*(1+nonDriver!$F56*J$5)*(1+ShareRide!$H56*J$6)*(1+Pricing!$I57*J$7)*J$8</f>
        <v>1</v>
      </c>
      <c r="G55" s="17">
        <f>(1+RideSource!$H58*K$4)*(1+nonDriver!$F56*K$5)*(1+ShareRide!$H56*K$6)*(1+Pricing!$I57*K$7)*K$8</f>
        <v>1.0219573415290177</v>
      </c>
      <c r="H55" s="17">
        <f>(1+RideSource!$H58*L$4)*(1+nonDriver!$F56*L$5)*(1+ShareRide!$H56*L$6)*(1+Pricing!$I57*L$7)*L$8</f>
        <v>1.1428741856370537</v>
      </c>
    </row>
    <row r="56" spans="1:8" x14ac:dyDescent="0.25">
      <c r="A56" s="44">
        <f t="shared" si="3"/>
        <v>53</v>
      </c>
      <c r="B56" s="44">
        <f t="shared" si="3"/>
        <v>2070</v>
      </c>
      <c r="C56" s="17">
        <f>(1+RideSource!$H59*J$4)*(1+nonDriver!$F57*J$5)*(1+ShareRide!$H57*J$6)*(1+Pricing!$I58*J$7)*J$8</f>
        <v>1</v>
      </c>
      <c r="D56" s="17">
        <f>(1+RideSource!$H59*K$4)*(1+nonDriver!$F57*K$5)*(1+ShareRide!$H57*K$6)*(1+Pricing!$I58*K$7)*K$8</f>
        <v>1.0219573415290177</v>
      </c>
      <c r="E56" s="17">
        <f>(1+RideSource!$H59*L$4)*(1+nonDriver!$F57*L$5)*(1+ShareRide!$H57*L$6)*(1+Pricing!$I58*L$7)*L$8</f>
        <v>1.1428741856370537</v>
      </c>
      <c r="F56" s="17">
        <f>(1+RideSource!$H59*J$4)*(1+nonDriver!$F57*J$5)*(1+ShareRide!$H57*J$6)*(1+Pricing!$I58*J$7)*J$8</f>
        <v>1</v>
      </c>
      <c r="G56" s="17">
        <f>(1+RideSource!$H59*K$4)*(1+nonDriver!$F57*K$5)*(1+ShareRide!$H57*K$6)*(1+Pricing!$I58*K$7)*K$8</f>
        <v>1.0219573415290177</v>
      </c>
      <c r="H56" s="17">
        <f>(1+RideSource!$H59*L$4)*(1+nonDriver!$F57*L$5)*(1+ShareRide!$H57*L$6)*(1+Pricing!$I58*L$7)*L$8</f>
        <v>1.1428741856370537</v>
      </c>
    </row>
  </sheetData>
  <mergeCells count="1">
    <mergeCell ref="C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5"/>
  <sheetViews>
    <sheetView topLeftCell="E1" workbookViewId="0">
      <selection activeCell="R23" sqref="R23"/>
    </sheetView>
  </sheetViews>
  <sheetFormatPr defaultRowHeight="15" x14ac:dyDescent="0.25"/>
  <cols>
    <col min="1" max="1" width="22.140625" bestFit="1" customWidth="1"/>
    <col min="2" max="2" width="14.28515625" bestFit="1" customWidth="1"/>
    <col min="3" max="3" width="15" bestFit="1" customWidth="1"/>
    <col min="4" max="4" width="11.5703125" customWidth="1"/>
    <col min="5" max="5" width="11" bestFit="1" customWidth="1"/>
    <col min="6" max="6" width="8.5703125" customWidth="1"/>
    <col min="7" max="7" width="15" bestFit="1" customWidth="1"/>
    <col min="8" max="8" width="12.140625" customWidth="1"/>
    <col min="9" max="9" width="11.5703125" bestFit="1" customWidth="1"/>
    <col min="10" max="10" width="11.28515625" customWidth="1"/>
    <col min="11" max="12" width="12.42578125" customWidth="1"/>
    <col min="13" max="13" width="11.5703125" bestFit="1" customWidth="1"/>
    <col min="14" max="14" width="12.7109375" customWidth="1"/>
    <col min="15" max="15" width="11.85546875" customWidth="1"/>
    <col min="16" max="16" width="10.5703125" bestFit="1" customWidth="1"/>
  </cols>
  <sheetData>
    <row r="2" spans="1:18" ht="15" customHeight="1" x14ac:dyDescent="0.25">
      <c r="A2" s="7" t="s">
        <v>106</v>
      </c>
      <c r="H2" s="172" t="s">
        <v>209</v>
      </c>
      <c r="I2" s="172"/>
      <c r="J2" s="172"/>
      <c r="L2" s="169"/>
      <c r="M2" s="169"/>
      <c r="N2" s="173" t="s">
        <v>216</v>
      </c>
      <c r="O2" s="173" t="s">
        <v>20</v>
      </c>
      <c r="P2" s="169"/>
    </row>
    <row r="3" spans="1:18" x14ac:dyDescent="0.25">
      <c r="A3" t="s">
        <v>205</v>
      </c>
      <c r="B3">
        <v>2018</v>
      </c>
      <c r="C3" s="12"/>
      <c r="H3" s="169" t="s">
        <v>115</v>
      </c>
      <c r="I3" s="170" t="s">
        <v>128</v>
      </c>
      <c r="J3" s="74" t="s">
        <v>129</v>
      </c>
      <c r="K3" s="169" t="s">
        <v>115</v>
      </c>
      <c r="L3" s="169" t="s">
        <v>213</v>
      </c>
      <c r="M3" s="169" t="s">
        <v>41</v>
      </c>
      <c r="N3" s="173"/>
      <c r="O3" s="173"/>
      <c r="P3" s="169" t="s">
        <v>42</v>
      </c>
    </row>
    <row r="4" spans="1:18" x14ac:dyDescent="0.25">
      <c r="A4" t="s">
        <v>107</v>
      </c>
      <c r="B4" s="18">
        <v>39000000</v>
      </c>
      <c r="G4" t="s">
        <v>189</v>
      </c>
      <c r="H4" s="20">
        <f>B6*B23</f>
        <v>37800000</v>
      </c>
      <c r="I4" s="20">
        <f>H4*B$54</f>
        <v>17550000</v>
      </c>
      <c r="J4" s="107">
        <f>H4-I4</f>
        <v>20250000</v>
      </c>
      <c r="K4" s="20">
        <f>SUM(L4:P4)</f>
        <v>37800000</v>
      </c>
      <c r="L4" s="18">
        <f>$H4*$B10</f>
        <v>3780000</v>
      </c>
      <c r="M4" s="18">
        <f>$H4*$B11</f>
        <v>9450000</v>
      </c>
      <c r="N4" s="18">
        <f>$H4*$B12</f>
        <v>3780000</v>
      </c>
      <c r="O4" s="18">
        <f>$H4*$B13</f>
        <v>15120000</v>
      </c>
      <c r="P4" s="18">
        <f>$H4*$B14</f>
        <v>5670000</v>
      </c>
    </row>
    <row r="5" spans="1:18" x14ac:dyDescent="0.25">
      <c r="A5" t="s">
        <v>108</v>
      </c>
      <c r="B5" s="18">
        <v>45000000</v>
      </c>
      <c r="G5" t="s">
        <v>219</v>
      </c>
      <c r="H5" s="20">
        <f>$B6-H4</f>
        <v>46200000</v>
      </c>
      <c r="I5" s="20">
        <f>H5*$B$54</f>
        <v>21450000</v>
      </c>
      <c r="J5" s="107">
        <f>H5-I5</f>
        <v>24750000</v>
      </c>
      <c r="K5" s="20">
        <f>$B6-K4</f>
        <v>46200000</v>
      </c>
      <c r="L5" s="18">
        <f>$H5*$B10</f>
        <v>4620000</v>
      </c>
      <c r="M5" s="18">
        <f>$H5*$B11</f>
        <v>11550000</v>
      </c>
      <c r="N5" s="18">
        <f>$H5*$B12</f>
        <v>4620000</v>
      </c>
      <c r="O5" s="18">
        <f>$H5*$B13</f>
        <v>18480000</v>
      </c>
      <c r="P5" s="18">
        <f>$H5*$B14</f>
        <v>6930000</v>
      </c>
    </row>
    <row r="6" spans="1:18" x14ac:dyDescent="0.25">
      <c r="A6" t="s">
        <v>111</v>
      </c>
      <c r="B6" s="18">
        <f>SUM(B4:B5)</f>
        <v>84000000</v>
      </c>
      <c r="G6" t="s">
        <v>225</v>
      </c>
      <c r="H6" s="20">
        <f>I6+J6</f>
        <v>1102500</v>
      </c>
      <c r="I6" s="20">
        <f>I4/$B$28</f>
        <v>292500</v>
      </c>
      <c r="J6" s="107">
        <f>J4/$B$29</f>
        <v>810000</v>
      </c>
      <c r="K6" s="20">
        <f>SUM(L6:P6)</f>
        <v>1132090.9090909092</v>
      </c>
      <c r="L6" s="20">
        <f>L4/$B$66</f>
        <v>189000</v>
      </c>
      <c r="M6" s="20">
        <f>M4/$B$67</f>
        <v>378000</v>
      </c>
      <c r="N6" s="20">
        <f>N4/$B$68</f>
        <v>126000</v>
      </c>
      <c r="O6" s="20">
        <f>O4/$B$69</f>
        <v>336000</v>
      </c>
      <c r="P6" s="20">
        <f>P4/$B$70</f>
        <v>103090.90909090909</v>
      </c>
    </row>
    <row r="7" spans="1:18" x14ac:dyDescent="0.25">
      <c r="A7" t="s">
        <v>113</v>
      </c>
      <c r="B7" s="14">
        <v>0.1</v>
      </c>
      <c r="G7" t="s">
        <v>226</v>
      </c>
      <c r="H7" s="20">
        <f>I7+J7</f>
        <v>1347500</v>
      </c>
      <c r="I7" s="20">
        <f>I5/$B$28</f>
        <v>357500</v>
      </c>
      <c r="J7" s="107">
        <f>J5/$B$29</f>
        <v>990000</v>
      </c>
      <c r="K7" s="63">
        <f>SUM(L7:P7)</f>
        <v>1383666.6666666667</v>
      </c>
      <c r="L7" s="20">
        <f>L5/$B$66</f>
        <v>231000</v>
      </c>
      <c r="M7" s="20">
        <f>M5/$B$67</f>
        <v>462000</v>
      </c>
      <c r="N7" s="20">
        <f>N5/$B$68</f>
        <v>154000</v>
      </c>
      <c r="O7" s="20">
        <f>O5/$B$69</f>
        <v>410666.66666666669</v>
      </c>
      <c r="P7" s="20">
        <f>P5/$B$70</f>
        <v>126000</v>
      </c>
    </row>
    <row r="8" spans="1:18" x14ac:dyDescent="0.25">
      <c r="A8" t="s">
        <v>112</v>
      </c>
      <c r="B8" s="14">
        <v>1.4999999999999999E-2</v>
      </c>
      <c r="G8" t="s">
        <v>221</v>
      </c>
      <c r="H8" s="20">
        <f>I8+J8</f>
        <v>2450000</v>
      </c>
      <c r="I8" s="96">
        <f>I7+I6</f>
        <v>650000</v>
      </c>
      <c r="J8" s="110">
        <f>J7+J6</f>
        <v>1800000</v>
      </c>
      <c r="K8" s="63">
        <f>SUM(L8:P8)</f>
        <v>2515757.5757575762</v>
      </c>
      <c r="L8" s="96">
        <f>L7+L6</f>
        <v>420000</v>
      </c>
      <c r="M8" s="96">
        <f>M7+M6</f>
        <v>840000</v>
      </c>
      <c r="N8" s="96">
        <f>N7+N6</f>
        <v>280000</v>
      </c>
      <c r="O8" s="96">
        <f>O7+O6</f>
        <v>746666.66666666674</v>
      </c>
      <c r="P8" s="96">
        <f>P7+P6</f>
        <v>229090.90909090909</v>
      </c>
    </row>
    <row r="9" spans="1:18" x14ac:dyDescent="0.25">
      <c r="A9" t="s">
        <v>143</v>
      </c>
      <c r="B9" s="17">
        <f>SUM(B10:B14)</f>
        <v>1</v>
      </c>
      <c r="D9" s="12"/>
      <c r="E9" s="12"/>
      <c r="G9" t="s">
        <v>218</v>
      </c>
      <c r="H9" s="63">
        <f>I9+J9</f>
        <v>1838475.0000000002</v>
      </c>
      <c r="I9" s="18">
        <f>I6*I18</f>
        <v>579735</v>
      </c>
      <c r="J9" s="109">
        <f>J6*J18</f>
        <v>1258740.0000000002</v>
      </c>
      <c r="K9" s="20">
        <f>SUM(L9:P9)</f>
        <v>2657932.1999999997</v>
      </c>
      <c r="L9" s="18">
        <f>L6*L18</f>
        <v>565072.20000000007</v>
      </c>
      <c r="M9" s="18">
        <f>M6*M18</f>
        <v>941787.00000000012</v>
      </c>
      <c r="N9" s="18">
        <f>N6*N18</f>
        <v>293000.39999999997</v>
      </c>
      <c r="O9" s="18">
        <f>O6*O18</f>
        <v>669715.19999999995</v>
      </c>
      <c r="P9" s="18">
        <f>P6*P18</f>
        <v>188357.40000000002</v>
      </c>
    </row>
    <row r="10" spans="1:18" x14ac:dyDescent="0.25">
      <c r="A10" s="34" t="s">
        <v>213</v>
      </c>
      <c r="B10" s="17">
        <v>0.1</v>
      </c>
      <c r="G10" t="s">
        <v>220</v>
      </c>
      <c r="H10" s="20">
        <f>I10+J10</f>
        <v>3185975</v>
      </c>
      <c r="I10" s="18">
        <f>I7+I9</f>
        <v>937235</v>
      </c>
      <c r="J10" s="109">
        <f>J7+J9</f>
        <v>2248740</v>
      </c>
      <c r="K10" s="63">
        <f>SUM(L10:P10)</f>
        <v>4041598.8666666667</v>
      </c>
      <c r="L10" s="18">
        <f>L7+L9</f>
        <v>796072.20000000007</v>
      </c>
      <c r="M10" s="18">
        <f>M7+M9</f>
        <v>1403787</v>
      </c>
      <c r="N10" s="18">
        <f>N7+N9</f>
        <v>447000.39999999997</v>
      </c>
      <c r="O10" s="18">
        <f>O7+O9</f>
        <v>1080381.8666666667</v>
      </c>
      <c r="P10" s="18">
        <f>P7+P9</f>
        <v>314357.40000000002</v>
      </c>
    </row>
    <row r="11" spans="1:18" x14ac:dyDescent="0.25">
      <c r="A11" s="34" t="s">
        <v>41</v>
      </c>
      <c r="B11" s="14">
        <v>0.25</v>
      </c>
      <c r="G11" t="s">
        <v>191</v>
      </c>
      <c r="H11" s="53">
        <f>H10/H8</f>
        <v>1.3003979591836734</v>
      </c>
      <c r="I11" s="53"/>
      <c r="J11" s="111"/>
      <c r="K11" s="53">
        <f>K10/K8</f>
        <v>1.606513642495784</v>
      </c>
      <c r="L11" s="20"/>
      <c r="M11" s="20"/>
      <c r="N11" s="20"/>
      <c r="O11" s="20"/>
      <c r="P11" s="20"/>
    </row>
    <row r="12" spans="1:18" x14ac:dyDescent="0.25">
      <c r="A12" s="34" t="s">
        <v>19</v>
      </c>
      <c r="B12" s="14">
        <v>0.1</v>
      </c>
      <c r="G12" t="s">
        <v>222</v>
      </c>
      <c r="H12" s="16">
        <f>$B26/H11</f>
        <v>1.030453785732782</v>
      </c>
      <c r="I12" s="20">
        <f>$H12*I10-I7</f>
        <v>608277.35387126391</v>
      </c>
      <c r="J12" s="107">
        <f>$H12*J10-J7</f>
        <v>1327222.6461287364</v>
      </c>
      <c r="K12" s="16">
        <f>$B26/K11</f>
        <v>0.83410433908189896</v>
      </c>
      <c r="L12" s="20">
        <f>$K12*L10-L7</f>
        <v>433007.2762424734</v>
      </c>
      <c r="M12" s="20">
        <f>$K12*M10-M7</f>
        <v>708904.82784676179</v>
      </c>
      <c r="N12" s="20">
        <f>$K12*N10-N7</f>
        <v>218844.97321134445</v>
      </c>
      <c r="O12" s="20">
        <f>$K12*O10-O7</f>
        <v>490484.53618540167</v>
      </c>
      <c r="P12" s="20">
        <f>$K12*P10-P7</f>
        <v>136206.87136250414</v>
      </c>
    </row>
    <row r="13" spans="1:18" x14ac:dyDescent="0.25">
      <c r="A13" s="34" t="s">
        <v>20</v>
      </c>
      <c r="B13" s="14">
        <v>0.4</v>
      </c>
      <c r="G13" t="s">
        <v>220</v>
      </c>
      <c r="H13" s="20">
        <f>I13+J13</f>
        <v>3283000.0000000005</v>
      </c>
      <c r="I13" s="18">
        <f>I12+I8-I6</f>
        <v>965777.35387126403</v>
      </c>
      <c r="J13" s="109">
        <f>J12+J8-J6</f>
        <v>2317222.6461287364</v>
      </c>
      <c r="K13" s="20">
        <f>SUM(L13:P13)</f>
        <v>3371115.1515151523</v>
      </c>
      <c r="L13" s="18">
        <f>L12+L8-L6</f>
        <v>664007.2762424734</v>
      </c>
      <c r="M13" s="18">
        <f>M12+M8-M6</f>
        <v>1170904.8278467618</v>
      </c>
      <c r="N13" s="18">
        <f>N12+N8-N6</f>
        <v>372844.97321134445</v>
      </c>
      <c r="O13" s="18">
        <f>O12+O8-O6</f>
        <v>901151.20285206847</v>
      </c>
      <c r="P13" s="18">
        <f>P12+P8-P6</f>
        <v>262206.8713625042</v>
      </c>
    </row>
    <row r="14" spans="1:18" x14ac:dyDescent="0.25">
      <c r="A14" s="34" t="s">
        <v>42</v>
      </c>
      <c r="B14" s="14">
        <v>0.15</v>
      </c>
      <c r="G14" s="188" t="s">
        <v>223</v>
      </c>
      <c r="H14" s="188"/>
      <c r="I14" s="189">
        <f>I12/I6</f>
        <v>2.079580696995774</v>
      </c>
      <c r="J14" s="190">
        <f>J12/J6</f>
        <v>1.6385464767021438</v>
      </c>
      <c r="K14" s="188"/>
      <c r="L14" s="189">
        <f>L12/L6</f>
        <v>2.2910437896427163</v>
      </c>
      <c r="M14" s="189">
        <f>M12/M6</f>
        <v>1.8754095974782059</v>
      </c>
      <c r="N14" s="189">
        <f>N12/N6</f>
        <v>1.7368648667567019</v>
      </c>
      <c r="O14" s="189">
        <f>O12/O6</f>
        <v>1.4597754053136955</v>
      </c>
      <c r="P14" s="189">
        <f>P12/P6</f>
        <v>1.3212306745921918</v>
      </c>
      <c r="R14" t="s">
        <v>380</v>
      </c>
    </row>
    <row r="15" spans="1:18" x14ac:dyDescent="0.25">
      <c r="A15" s="23" t="s">
        <v>144</v>
      </c>
      <c r="B15" s="13">
        <f>SUM(B16:B17)</f>
        <v>1</v>
      </c>
      <c r="D15" s="13"/>
      <c r="E15" s="13"/>
      <c r="G15" s="188" t="s">
        <v>224</v>
      </c>
      <c r="H15" s="188"/>
      <c r="I15" s="189">
        <f>I13/I8</f>
        <v>1.4858113136480986</v>
      </c>
      <c r="J15" s="190">
        <f>J13/J8</f>
        <v>1.2873459145159647</v>
      </c>
      <c r="K15" s="188"/>
      <c r="L15" s="189">
        <f>L13/L8</f>
        <v>1.5809697053392224</v>
      </c>
      <c r="M15" s="189">
        <f>M13/M8</f>
        <v>1.3939343188651927</v>
      </c>
      <c r="N15" s="189">
        <f>N13/N8</f>
        <v>1.3315891900405159</v>
      </c>
      <c r="O15" s="189">
        <f>O13/O8</f>
        <v>1.206898932391163</v>
      </c>
      <c r="P15" s="189">
        <f>P13/P8</f>
        <v>1.1445538035664866</v>
      </c>
    </row>
    <row r="16" spans="1:18" x14ac:dyDescent="0.25">
      <c r="A16" s="34" t="s">
        <v>145</v>
      </c>
      <c r="B16" s="13">
        <v>0.35</v>
      </c>
      <c r="G16" t="s">
        <v>227</v>
      </c>
      <c r="H16" s="193">
        <f>I16+J16</f>
        <v>833000.00000000035</v>
      </c>
      <c r="I16" s="194">
        <f>I12-I6</f>
        <v>315777.35387126391</v>
      </c>
      <c r="J16" s="195">
        <f>J12-J6</f>
        <v>517222.64612873644</v>
      </c>
      <c r="K16" s="193">
        <f>SUM(L16:P16)</f>
        <v>855357.57575757627</v>
      </c>
      <c r="L16" s="194">
        <f>L12-L6</f>
        <v>244007.2762424734</v>
      </c>
      <c r="M16" s="194">
        <f>M12-M6</f>
        <v>330904.82784676179</v>
      </c>
      <c r="N16" s="194">
        <f>N12-N6</f>
        <v>92844.973211344448</v>
      </c>
      <c r="O16" s="194">
        <f>O12-O6</f>
        <v>154484.53618540167</v>
      </c>
      <c r="P16" s="194">
        <f>P12-P6</f>
        <v>33115.962271595054</v>
      </c>
    </row>
    <row r="17" spans="1:18" x14ac:dyDescent="0.25">
      <c r="A17" s="34" t="s">
        <v>146</v>
      </c>
      <c r="B17" s="13">
        <v>0.65</v>
      </c>
      <c r="D17" s="60"/>
      <c r="G17" s="188" t="s">
        <v>112</v>
      </c>
      <c r="H17" s="188"/>
      <c r="I17" s="191">
        <f>$B8*(I15-1)</f>
        <v>7.2871697047214787E-3</v>
      </c>
      <c r="J17" s="192">
        <f>$B8*(J15-1)</f>
        <v>4.3101887177394707E-3</v>
      </c>
      <c r="K17" s="188"/>
      <c r="L17" s="191">
        <f>$B8*(L15-1)</f>
        <v>8.7145455800883356E-3</v>
      </c>
      <c r="M17" s="191">
        <f>$B8*(M15-1)</f>
        <v>5.9090147829778906E-3</v>
      </c>
      <c r="N17" s="191">
        <f>$B8*(N15-1)</f>
        <v>4.9738378506077379E-3</v>
      </c>
      <c r="O17" s="191">
        <f>$B8*(O15-1)</f>
        <v>3.1034839858674443E-3</v>
      </c>
      <c r="P17" s="191">
        <f>$B8*(P15-1)</f>
        <v>2.168307053497299E-3</v>
      </c>
      <c r="R17" t="s">
        <v>380</v>
      </c>
    </row>
    <row r="18" spans="1:18" x14ac:dyDescent="0.25">
      <c r="A18" s="23" t="s">
        <v>158</v>
      </c>
      <c r="C18" s="12"/>
      <c r="D18" s="60"/>
      <c r="G18" t="s">
        <v>223</v>
      </c>
      <c r="H18" s="106"/>
      <c r="I18" s="106">
        <f>$B26*$B74+$B27*$B75</f>
        <v>1.982</v>
      </c>
      <c r="J18" s="108">
        <f>$B26*$B76+$B27*$B77</f>
        <v>1.5540000000000003</v>
      </c>
      <c r="L18" s="106">
        <f>($B26*$B78+$B27*$B79)*($B61+1)</f>
        <v>2.9898000000000002</v>
      </c>
      <c r="M18" s="106">
        <f>($B26*$B78+$B27*$B79)*($B62+1)</f>
        <v>2.4915000000000003</v>
      </c>
      <c r="N18" s="106">
        <f>($B26*$B78+$B27*$B79)*($B63+1)</f>
        <v>2.3253999999999997</v>
      </c>
      <c r="O18" s="106">
        <f>($B26*$B78+$B27*$B79)*($B64+1)</f>
        <v>1.9931999999999999</v>
      </c>
      <c r="P18" s="106">
        <f>($B26*$B78+$B27*$B79)*($B65+1)</f>
        <v>1.8271000000000002</v>
      </c>
    </row>
    <row r="19" spans="1:18" x14ac:dyDescent="0.25">
      <c r="A19" s="43" t="s">
        <v>35</v>
      </c>
      <c r="B19" s="13">
        <v>0.1</v>
      </c>
      <c r="D19" s="60"/>
    </row>
    <row r="20" spans="1:18" x14ac:dyDescent="0.25">
      <c r="A20" s="43" t="s">
        <v>157</v>
      </c>
      <c r="B20" s="13">
        <v>0.15</v>
      </c>
      <c r="D20" s="60"/>
    </row>
    <row r="21" spans="1:18" x14ac:dyDescent="0.25">
      <c r="A21" s="43" t="s">
        <v>36</v>
      </c>
      <c r="B21" s="13">
        <v>0.25</v>
      </c>
      <c r="D21" s="60"/>
      <c r="F21" s="12"/>
      <c r="I21" s="12" t="s">
        <v>210</v>
      </c>
      <c r="K21" s="12" t="s">
        <v>211</v>
      </c>
    </row>
    <row r="22" spans="1:18" x14ac:dyDescent="0.25">
      <c r="A22" s="2" t="s">
        <v>184</v>
      </c>
      <c r="D22" s="60"/>
      <c r="F22" s="100"/>
      <c r="H22" s="12" t="s">
        <v>128</v>
      </c>
      <c r="I22" s="12" t="s">
        <v>129</v>
      </c>
      <c r="J22" s="12" t="s">
        <v>128</v>
      </c>
      <c r="K22" s="12" t="s">
        <v>129</v>
      </c>
    </row>
    <row r="23" spans="1:18" x14ac:dyDescent="0.25">
      <c r="A23" s="43" t="s">
        <v>186</v>
      </c>
      <c r="B23" s="13">
        <v>0.45</v>
      </c>
      <c r="F23" s="100"/>
      <c r="G23" t="s">
        <v>0</v>
      </c>
      <c r="H23" s="16">
        <v>0</v>
      </c>
      <c r="I23" s="16">
        <v>0</v>
      </c>
      <c r="J23">
        <f t="shared" ref="J23:K25" si="0">IF(H23&gt;0,1/H23,0)*(1-$B$7)</f>
        <v>0</v>
      </c>
      <c r="K23">
        <f t="shared" si="0"/>
        <v>0</v>
      </c>
      <c r="M23" t="s">
        <v>24</v>
      </c>
    </row>
    <row r="24" spans="1:18" x14ac:dyDescent="0.25">
      <c r="A24" s="43" t="s">
        <v>185</v>
      </c>
      <c r="B24" s="13">
        <v>0.35</v>
      </c>
      <c r="F24" s="100"/>
      <c r="G24" t="s">
        <v>1</v>
      </c>
      <c r="H24" s="13">
        <v>0.5</v>
      </c>
      <c r="I24" s="13">
        <v>0.5</v>
      </c>
      <c r="J24">
        <f t="shared" si="0"/>
        <v>1.8</v>
      </c>
      <c r="K24">
        <f t="shared" si="0"/>
        <v>1.8</v>
      </c>
      <c r="M24" t="s">
        <v>25</v>
      </c>
    </row>
    <row r="25" spans="1:18" x14ac:dyDescent="0.25">
      <c r="A25" s="43" t="s">
        <v>187</v>
      </c>
      <c r="B25" s="59">
        <v>5</v>
      </c>
      <c r="F25" s="100"/>
      <c r="G25" t="s">
        <v>2</v>
      </c>
      <c r="H25" s="13">
        <v>1</v>
      </c>
      <c r="I25" s="13">
        <v>1</v>
      </c>
      <c r="J25">
        <f t="shared" si="0"/>
        <v>0.9</v>
      </c>
      <c r="K25">
        <f t="shared" si="0"/>
        <v>0.9</v>
      </c>
      <c r="M25" t="s">
        <v>14</v>
      </c>
    </row>
    <row r="26" spans="1:18" x14ac:dyDescent="0.25">
      <c r="A26" s="43" t="s">
        <v>183</v>
      </c>
      <c r="B26" s="58">
        <v>1.34</v>
      </c>
      <c r="F26" s="100"/>
      <c r="G26" t="s">
        <v>3</v>
      </c>
      <c r="H26" s="16">
        <v>0</v>
      </c>
      <c r="I26" s="16">
        <v>0</v>
      </c>
      <c r="J26">
        <f t="shared" ref="J26:K28" si="1">IF(H26&gt;0,1/H26,0)*($B$7)</f>
        <v>0</v>
      </c>
      <c r="K26">
        <f t="shared" si="1"/>
        <v>0</v>
      </c>
    </row>
    <row r="27" spans="1:18" x14ac:dyDescent="0.25">
      <c r="A27" s="43" t="s">
        <v>188</v>
      </c>
      <c r="B27" s="58">
        <v>3.48</v>
      </c>
      <c r="F27" s="13"/>
      <c r="G27" t="s">
        <v>4</v>
      </c>
      <c r="H27" s="13">
        <v>0.5</v>
      </c>
      <c r="I27" s="13">
        <v>0.5</v>
      </c>
      <c r="J27">
        <f t="shared" si="1"/>
        <v>0.2</v>
      </c>
      <c r="K27">
        <f t="shared" si="1"/>
        <v>0.2</v>
      </c>
    </row>
    <row r="28" spans="1:18" x14ac:dyDescent="0.25">
      <c r="A28" s="2" t="s">
        <v>198</v>
      </c>
      <c r="B28">
        <v>60</v>
      </c>
      <c r="G28" t="s">
        <v>5</v>
      </c>
      <c r="H28" s="90">
        <v>1</v>
      </c>
      <c r="I28" s="90">
        <v>1</v>
      </c>
      <c r="J28" s="70">
        <f t="shared" si="1"/>
        <v>0.1</v>
      </c>
      <c r="K28" s="70">
        <f t="shared" si="1"/>
        <v>0.1</v>
      </c>
    </row>
    <row r="29" spans="1:18" x14ac:dyDescent="0.25">
      <c r="A29" s="2" t="s">
        <v>199</v>
      </c>
      <c r="B29">
        <v>25</v>
      </c>
      <c r="C29" s="99"/>
      <c r="J29">
        <f>SUM(J23:J28)</f>
        <v>3.0000000000000004</v>
      </c>
      <c r="K29">
        <f>SUM(K23:K28)</f>
        <v>3.0000000000000004</v>
      </c>
    </row>
    <row r="30" spans="1:18" x14ac:dyDescent="0.25">
      <c r="A30" s="72" t="s">
        <v>239</v>
      </c>
      <c r="B30" s="18">
        <v>3600000</v>
      </c>
      <c r="H30" s="12" t="s">
        <v>179</v>
      </c>
    </row>
    <row r="31" spans="1:18" ht="15" customHeight="1" x14ac:dyDescent="0.25">
      <c r="A31" t="s">
        <v>240</v>
      </c>
      <c r="B31" s="133">
        <v>2160000</v>
      </c>
      <c r="G31" t="s">
        <v>99</v>
      </c>
      <c r="H31" s="93">
        <v>0</v>
      </c>
      <c r="J31" s="174" t="s">
        <v>256</v>
      </c>
      <c r="K31" s="172" t="s">
        <v>257</v>
      </c>
      <c r="L31" s="172"/>
      <c r="M31" s="172"/>
      <c r="N31" s="172"/>
      <c r="O31" s="172"/>
    </row>
    <row r="32" spans="1:18" x14ac:dyDescent="0.25">
      <c r="A32" t="s">
        <v>109</v>
      </c>
      <c r="B32" s="133">
        <v>6010000</v>
      </c>
      <c r="D32" s="61"/>
      <c r="E32" s="61"/>
      <c r="G32" t="s">
        <v>100</v>
      </c>
      <c r="H32" s="93">
        <v>0.1</v>
      </c>
      <c r="J32" s="174"/>
      <c r="K32" s="169" t="s">
        <v>248</v>
      </c>
      <c r="L32" s="169" t="s">
        <v>249</v>
      </c>
      <c r="M32" s="169" t="s">
        <v>250</v>
      </c>
      <c r="N32" s="169" t="s">
        <v>251</v>
      </c>
      <c r="O32" s="169" t="s">
        <v>252</v>
      </c>
    </row>
    <row r="33" spans="1:15" x14ac:dyDescent="0.25">
      <c r="A33" t="s">
        <v>110</v>
      </c>
      <c r="B33" s="133">
        <v>3420000</v>
      </c>
      <c r="G33" t="s">
        <v>101</v>
      </c>
      <c r="H33" s="93">
        <v>0.3</v>
      </c>
      <c r="J33" s="12" t="s">
        <v>254</v>
      </c>
      <c r="K33" s="54">
        <v>0.10499158721256314</v>
      </c>
      <c r="L33" s="54">
        <v>0.10531732418524871</v>
      </c>
      <c r="M33" s="54">
        <v>0.11510791366906475</v>
      </c>
      <c r="N33" s="54">
        <v>0.10112866817155758</v>
      </c>
      <c r="O33" s="54">
        <v>0.10511606941627227</v>
      </c>
    </row>
    <row r="34" spans="1:15" x14ac:dyDescent="0.25">
      <c r="A34" t="s">
        <v>243</v>
      </c>
      <c r="B34" s="14">
        <v>7.0999999999999994E-2</v>
      </c>
      <c r="G34" t="s">
        <v>102</v>
      </c>
      <c r="H34" s="93">
        <v>1</v>
      </c>
      <c r="J34" s="12" t="s">
        <v>255</v>
      </c>
      <c r="K34" s="54">
        <v>7.8743690409422376E-2</v>
      </c>
      <c r="L34" s="54">
        <v>7.8987993138936563E-2</v>
      </c>
      <c r="M34" s="54">
        <v>8.6330935251798524E-2</v>
      </c>
      <c r="N34" s="54">
        <v>7.5846501128668142E-2</v>
      </c>
      <c r="O34" s="54">
        <v>7.8837052062204219E-2</v>
      </c>
    </row>
    <row r="35" spans="1:15" x14ac:dyDescent="0.25">
      <c r="A35" t="s">
        <v>253</v>
      </c>
      <c r="B35" s="141" t="s">
        <v>249</v>
      </c>
    </row>
    <row r="36" spans="1:15" x14ac:dyDescent="0.25">
      <c r="A36" t="s">
        <v>271</v>
      </c>
      <c r="B36" s="151" t="s">
        <v>280</v>
      </c>
    </row>
    <row r="37" spans="1:15" x14ac:dyDescent="0.25">
      <c r="A37" s="34" t="s">
        <v>272</v>
      </c>
      <c r="B37" s="146">
        <v>40.04</v>
      </c>
      <c r="D37" t="s">
        <v>290</v>
      </c>
      <c r="E37" s="146">
        <v>0.05</v>
      </c>
      <c r="F37" t="s">
        <v>293</v>
      </c>
    </row>
    <row r="38" spans="1:15" x14ac:dyDescent="0.25">
      <c r="A38" s="34" t="s">
        <v>273</v>
      </c>
      <c r="B38" s="146">
        <v>34.57</v>
      </c>
      <c r="D38" t="s">
        <v>291</v>
      </c>
      <c r="E38" s="146">
        <v>0.1</v>
      </c>
      <c r="F38" t="s">
        <v>293</v>
      </c>
    </row>
    <row r="39" spans="1:15" x14ac:dyDescent="0.25">
      <c r="A39" s="34" t="s">
        <v>274</v>
      </c>
      <c r="B39" s="146">
        <v>4.7699999999999996</v>
      </c>
      <c r="D39" t="s">
        <v>289</v>
      </c>
      <c r="E39" s="146">
        <v>0.1</v>
      </c>
      <c r="F39" s="13" t="s">
        <v>293</v>
      </c>
    </row>
    <row r="40" spans="1:15" x14ac:dyDescent="0.25">
      <c r="A40" s="34" t="s">
        <v>275</v>
      </c>
      <c r="B40" s="146">
        <v>11.05</v>
      </c>
      <c r="F40" s="13"/>
    </row>
    <row r="41" spans="1:15" x14ac:dyDescent="0.25">
      <c r="A41" s="34" t="s">
        <v>276</v>
      </c>
      <c r="B41" s="146">
        <v>2.17</v>
      </c>
      <c r="D41" s="12" t="s">
        <v>292</v>
      </c>
      <c r="E41">
        <v>300</v>
      </c>
    </row>
    <row r="42" spans="1:15" x14ac:dyDescent="0.25">
      <c r="A42" s="34" t="s">
        <v>277</v>
      </c>
      <c r="B42" s="146">
        <v>18.59</v>
      </c>
    </row>
    <row r="43" spans="1:15" x14ac:dyDescent="0.25">
      <c r="A43" s="34" t="s">
        <v>278</v>
      </c>
      <c r="B43" s="146">
        <v>6.1</v>
      </c>
      <c r="F43" s="61"/>
      <c r="G43" s="61"/>
    </row>
    <row r="44" spans="1:15" x14ac:dyDescent="0.25">
      <c r="A44" s="34" t="s">
        <v>279</v>
      </c>
      <c r="B44" s="146">
        <v>11.89</v>
      </c>
    </row>
    <row r="45" spans="1:15" x14ac:dyDescent="0.25">
      <c r="A45" s="23" t="s">
        <v>313</v>
      </c>
      <c r="I45" t="s">
        <v>307</v>
      </c>
      <c r="K45" t="s">
        <v>308</v>
      </c>
    </row>
    <row r="46" spans="1:15" x14ac:dyDescent="0.25">
      <c r="A46" s="34" t="s">
        <v>307</v>
      </c>
      <c r="B46" s="165">
        <f>SUM(B47:B49)</f>
        <v>5.5649122807017538E-2</v>
      </c>
      <c r="C46" s="12"/>
      <c r="D46">
        <v>2.4</v>
      </c>
      <c r="E46" t="s">
        <v>315</v>
      </c>
      <c r="H46" t="s">
        <v>309</v>
      </c>
      <c r="I46" t="s">
        <v>310</v>
      </c>
      <c r="J46" t="s">
        <v>311</v>
      </c>
      <c r="K46" t="s">
        <v>310</v>
      </c>
      <c r="L46" t="s">
        <v>311</v>
      </c>
    </row>
    <row r="47" spans="1:15" x14ac:dyDescent="0.25">
      <c r="A47" s="163" t="s">
        <v>254</v>
      </c>
      <c r="B47" s="164">
        <f>B80/B33</f>
        <v>5.0649122807017541E-2</v>
      </c>
      <c r="D47" s="14"/>
      <c r="H47" t="s">
        <v>254</v>
      </c>
      <c r="J47">
        <v>108573</v>
      </c>
      <c r="L47">
        <v>128117</v>
      </c>
    </row>
    <row r="48" spans="1:15" x14ac:dyDescent="0.25">
      <c r="A48" s="163" t="s">
        <v>312</v>
      </c>
      <c r="B48" s="164">
        <f>B81/B33</f>
        <v>5.9356725146198831E-4</v>
      </c>
      <c r="D48" s="14"/>
      <c r="H48" t="s">
        <v>312</v>
      </c>
      <c r="J48">
        <v>57657</v>
      </c>
      <c r="L48">
        <v>60085</v>
      </c>
    </row>
    <row r="49" spans="1:12" x14ac:dyDescent="0.25">
      <c r="A49" s="163" t="s">
        <v>255</v>
      </c>
      <c r="B49" s="164">
        <f>B82/B33</f>
        <v>4.406432748538012E-3</v>
      </c>
      <c r="D49" s="14"/>
      <c r="H49" t="s">
        <v>255</v>
      </c>
      <c r="J49">
        <v>31516</v>
      </c>
      <c r="L49">
        <v>31111</v>
      </c>
    </row>
    <row r="50" spans="1:12" x14ac:dyDescent="0.25">
      <c r="A50" s="34" t="s">
        <v>308</v>
      </c>
      <c r="B50" s="165">
        <f>SUM(B51:B53)</f>
        <v>8.3584795321637428E-2</v>
      </c>
    </row>
    <row r="51" spans="1:12" x14ac:dyDescent="0.25">
      <c r="A51" s="163" t="s">
        <v>254</v>
      </c>
      <c r="B51" s="164">
        <f>B86/B33</f>
        <v>2.1964912280701753E-2</v>
      </c>
    </row>
    <row r="52" spans="1:12" x14ac:dyDescent="0.25">
      <c r="A52" s="163" t="s">
        <v>312</v>
      </c>
      <c r="B52" s="164">
        <f>B87/B33</f>
        <v>1.9307017543859648E-2</v>
      </c>
    </row>
    <row r="53" spans="1:12" x14ac:dyDescent="0.25">
      <c r="A53" s="163" t="s">
        <v>255</v>
      </c>
      <c r="B53" s="164">
        <f>B88/B33</f>
        <v>4.2312865497076024E-2</v>
      </c>
    </row>
    <row r="54" spans="1:12" x14ac:dyDescent="0.25">
      <c r="A54" t="s">
        <v>326</v>
      </c>
      <c r="B54" s="16">
        <f>B4/B6</f>
        <v>0.4642857142857143</v>
      </c>
    </row>
    <row r="55" spans="1:12" x14ac:dyDescent="0.25">
      <c r="A55" t="s">
        <v>327</v>
      </c>
      <c r="B55" s="16">
        <f>B5/B6</f>
        <v>0.5357142857142857</v>
      </c>
    </row>
    <row r="56" spans="1:12" x14ac:dyDescent="0.25">
      <c r="A56" s="34" t="s">
        <v>328</v>
      </c>
      <c r="B56">
        <v>0</v>
      </c>
    </row>
    <row r="57" spans="1:12" x14ac:dyDescent="0.25">
      <c r="A57" s="34" t="s">
        <v>329</v>
      </c>
      <c r="B57">
        <v>3</v>
      </c>
    </row>
    <row r="58" spans="1:12" x14ac:dyDescent="0.25">
      <c r="A58" s="34" t="s">
        <v>330</v>
      </c>
      <c r="B58">
        <v>5</v>
      </c>
    </row>
    <row r="59" spans="1:12" x14ac:dyDescent="0.25">
      <c r="A59" s="34" t="s">
        <v>331</v>
      </c>
      <c r="B59">
        <v>8</v>
      </c>
    </row>
    <row r="60" spans="1:12" x14ac:dyDescent="0.25">
      <c r="A60" s="34" t="s">
        <v>332</v>
      </c>
      <c r="B60">
        <v>17</v>
      </c>
    </row>
    <row r="61" spans="1:12" x14ac:dyDescent="0.25">
      <c r="A61" s="34" t="s">
        <v>333</v>
      </c>
      <c r="B61" s="45">
        <v>0.8</v>
      </c>
    </row>
    <row r="62" spans="1:12" x14ac:dyDescent="0.25">
      <c r="A62" s="34" t="s">
        <v>334</v>
      </c>
      <c r="B62" s="13">
        <v>0.5</v>
      </c>
    </row>
    <row r="63" spans="1:12" x14ac:dyDescent="0.25">
      <c r="A63" s="34" t="s">
        <v>335</v>
      </c>
      <c r="B63" s="13">
        <v>0.4</v>
      </c>
    </row>
    <row r="64" spans="1:12" x14ac:dyDescent="0.25">
      <c r="A64" s="34" t="s">
        <v>336</v>
      </c>
      <c r="B64" s="13">
        <v>0.2</v>
      </c>
    </row>
    <row r="65" spans="1:3" x14ac:dyDescent="0.25">
      <c r="A65" s="34" t="s">
        <v>337</v>
      </c>
      <c r="B65" s="98">
        <v>0.1</v>
      </c>
    </row>
    <row r="66" spans="1:3" x14ac:dyDescent="0.25">
      <c r="A66" s="34" t="s">
        <v>338</v>
      </c>
      <c r="B66" s="100">
        <v>20</v>
      </c>
    </row>
    <row r="67" spans="1:3" x14ac:dyDescent="0.25">
      <c r="A67" s="34" t="s">
        <v>339</v>
      </c>
      <c r="B67" s="100">
        <v>25</v>
      </c>
    </row>
    <row r="68" spans="1:3" x14ac:dyDescent="0.25">
      <c r="A68" s="34" t="s">
        <v>340</v>
      </c>
      <c r="B68" s="100">
        <v>30</v>
      </c>
    </row>
    <row r="69" spans="1:3" x14ac:dyDescent="0.25">
      <c r="A69" s="34" t="s">
        <v>341</v>
      </c>
      <c r="B69" s="100">
        <v>45</v>
      </c>
    </row>
    <row r="70" spans="1:3" x14ac:dyDescent="0.25">
      <c r="A70" s="34" t="s">
        <v>342</v>
      </c>
      <c r="B70" s="100">
        <v>55</v>
      </c>
    </row>
    <row r="71" spans="1:3" x14ac:dyDescent="0.25">
      <c r="A71" s="43" t="s">
        <v>343</v>
      </c>
      <c r="B71" s="145">
        <v>13.4</v>
      </c>
    </row>
    <row r="72" spans="1:3" x14ac:dyDescent="0.25">
      <c r="A72" s="43" t="s">
        <v>344</v>
      </c>
      <c r="B72" s="145">
        <v>15.2</v>
      </c>
    </row>
    <row r="73" spans="1:3" x14ac:dyDescent="0.25">
      <c r="A73" s="43" t="s">
        <v>345</v>
      </c>
      <c r="B73" s="145">
        <v>14.5</v>
      </c>
    </row>
    <row r="74" spans="1:3" x14ac:dyDescent="0.25">
      <c r="A74" s="43" t="s">
        <v>346</v>
      </c>
      <c r="B74" s="13">
        <v>0.7</v>
      </c>
    </row>
    <row r="75" spans="1:3" x14ac:dyDescent="0.25">
      <c r="A75" s="43" t="s">
        <v>347</v>
      </c>
      <c r="B75" s="13">
        <v>0.3</v>
      </c>
    </row>
    <row r="76" spans="1:3" x14ac:dyDescent="0.25">
      <c r="A76" s="43" t="s">
        <v>348</v>
      </c>
      <c r="B76" s="13">
        <v>0.9</v>
      </c>
    </row>
    <row r="77" spans="1:3" x14ac:dyDescent="0.25">
      <c r="A77" s="43" t="s">
        <v>349</v>
      </c>
      <c r="B77" s="13">
        <v>0.1</v>
      </c>
    </row>
    <row r="78" spans="1:3" x14ac:dyDescent="0.25">
      <c r="A78" s="43" t="s">
        <v>350</v>
      </c>
      <c r="B78" s="13">
        <v>0.85</v>
      </c>
    </row>
    <row r="79" spans="1:3" x14ac:dyDescent="0.25">
      <c r="A79" s="43" t="s">
        <v>351</v>
      </c>
      <c r="B79" s="13">
        <v>0.15</v>
      </c>
    </row>
    <row r="80" spans="1:3" x14ac:dyDescent="0.25">
      <c r="A80" s="163" t="s">
        <v>357</v>
      </c>
      <c r="B80">
        <v>173220</v>
      </c>
      <c r="C80" s="53"/>
    </row>
    <row r="81" spans="1:3" x14ac:dyDescent="0.25">
      <c r="A81" s="163" t="s">
        <v>352</v>
      </c>
      <c r="B81">
        <v>2030</v>
      </c>
      <c r="C81" s="53"/>
    </row>
    <row r="82" spans="1:3" x14ac:dyDescent="0.25">
      <c r="A82" s="163" t="s">
        <v>353</v>
      </c>
      <c r="B82">
        <v>15070</v>
      </c>
      <c r="C82" s="53"/>
    </row>
    <row r="83" spans="1:3" x14ac:dyDescent="0.25">
      <c r="A83" s="163" t="s">
        <v>354</v>
      </c>
      <c r="B83" s="148">
        <v>108573</v>
      </c>
    </row>
    <row r="84" spans="1:3" x14ac:dyDescent="0.25">
      <c r="A84" s="163" t="s">
        <v>355</v>
      </c>
      <c r="B84" s="148">
        <v>57657</v>
      </c>
    </row>
    <row r="85" spans="1:3" x14ac:dyDescent="0.25">
      <c r="A85" s="163" t="s">
        <v>356</v>
      </c>
      <c r="B85" s="148">
        <v>31516</v>
      </c>
    </row>
    <row r="86" spans="1:3" x14ac:dyDescent="0.25">
      <c r="A86" s="163" t="s">
        <v>358</v>
      </c>
      <c r="B86">
        <v>75120</v>
      </c>
    </row>
    <row r="87" spans="1:3" x14ac:dyDescent="0.25">
      <c r="A87" s="163" t="s">
        <v>359</v>
      </c>
      <c r="B87">
        <v>66030</v>
      </c>
    </row>
    <row r="88" spans="1:3" x14ac:dyDescent="0.25">
      <c r="A88" s="163" t="s">
        <v>360</v>
      </c>
      <c r="B88">
        <v>144710</v>
      </c>
    </row>
    <row r="89" spans="1:3" x14ac:dyDescent="0.25">
      <c r="A89" s="163" t="s">
        <v>361</v>
      </c>
      <c r="B89" s="148">
        <v>128117</v>
      </c>
    </row>
    <row r="90" spans="1:3" x14ac:dyDescent="0.25">
      <c r="A90" s="163" t="s">
        <v>362</v>
      </c>
      <c r="B90" s="148">
        <v>60085</v>
      </c>
    </row>
    <row r="91" spans="1:3" x14ac:dyDescent="0.25">
      <c r="A91" s="163" t="s">
        <v>363</v>
      </c>
      <c r="B91" s="148">
        <v>31111</v>
      </c>
    </row>
    <row r="92" spans="1:3" x14ac:dyDescent="0.25">
      <c r="A92" s="163" t="s">
        <v>364</v>
      </c>
      <c r="B92" s="62">
        <v>0.41617412140575077</v>
      </c>
    </row>
    <row r="93" spans="1:3" x14ac:dyDescent="0.25">
      <c r="A93" s="163" t="s">
        <v>365</v>
      </c>
      <c r="B93" s="62">
        <v>0.42838103892170226</v>
      </c>
    </row>
    <row r="94" spans="1:3" x14ac:dyDescent="0.25">
      <c r="A94" s="163" t="s">
        <v>366</v>
      </c>
      <c r="B94" s="62">
        <v>0.36624283048856332</v>
      </c>
    </row>
    <row r="95" spans="1:3" x14ac:dyDescent="0.25">
      <c r="A95" s="163"/>
      <c r="B95" s="18"/>
    </row>
  </sheetData>
  <mergeCells count="5">
    <mergeCell ref="J31:J32"/>
    <mergeCell ref="K31:O31"/>
    <mergeCell ref="H2:J2"/>
    <mergeCell ref="N2:N3"/>
    <mergeCell ref="O2:O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S56"/>
  <sheetViews>
    <sheetView workbookViewId="0">
      <selection activeCell="I4" sqref="I4"/>
    </sheetView>
  </sheetViews>
  <sheetFormatPr defaultRowHeight="15" x14ac:dyDescent="0.25"/>
  <cols>
    <col min="3" max="3" width="13.85546875" customWidth="1"/>
    <col min="4" max="4" width="12.5703125" bestFit="1" customWidth="1"/>
    <col min="5" max="7" width="11.5703125" bestFit="1" customWidth="1"/>
    <col min="8" max="8" width="10.140625" bestFit="1" customWidth="1"/>
    <col min="9" max="9" width="10.28515625" customWidth="1"/>
    <col min="10" max="10" width="10.140625" bestFit="1" customWidth="1"/>
    <col min="11" max="11" width="11.7109375" customWidth="1"/>
    <col min="12" max="12" width="11.42578125" customWidth="1"/>
    <col min="13" max="13" width="11.140625" customWidth="1"/>
    <col min="14" max="14" width="10.5703125" bestFit="1" customWidth="1"/>
    <col min="17" max="17" width="10.28515625" customWidth="1"/>
    <col min="18" max="18" width="10.140625" customWidth="1"/>
    <col min="19" max="19" width="11" customWidth="1"/>
  </cols>
  <sheetData>
    <row r="1" spans="1:19" x14ac:dyDescent="0.25">
      <c r="C1" s="75"/>
      <c r="D1" s="75"/>
      <c r="E1" s="73"/>
    </row>
    <row r="2" spans="1:19" x14ac:dyDescent="0.25">
      <c r="C2" s="179" t="s">
        <v>206</v>
      </c>
      <c r="D2" s="179"/>
      <c r="E2" s="180"/>
      <c r="F2" s="1" t="s">
        <v>115</v>
      </c>
      <c r="G2" s="178" t="s">
        <v>116</v>
      </c>
      <c r="H2" s="178"/>
      <c r="I2" s="178"/>
      <c r="J2" s="178"/>
      <c r="K2" s="178"/>
      <c r="L2" s="178"/>
      <c r="M2" s="172" t="s">
        <v>117</v>
      </c>
      <c r="N2" s="172"/>
      <c r="O2" s="172"/>
      <c r="P2" s="172"/>
      <c r="Q2" s="172"/>
      <c r="R2" s="172"/>
      <c r="S2" s="1" t="s">
        <v>115</v>
      </c>
    </row>
    <row r="3" spans="1:19" x14ac:dyDescent="0.25">
      <c r="B3" s="1" t="s">
        <v>97</v>
      </c>
      <c r="C3" s="79" t="s">
        <v>115</v>
      </c>
      <c r="D3" s="79" t="s">
        <v>116</v>
      </c>
      <c r="E3" s="74" t="s">
        <v>117</v>
      </c>
      <c r="F3" s="1" t="s">
        <v>114</v>
      </c>
      <c r="G3" s="1" t="s">
        <v>115</v>
      </c>
      <c r="H3" s="1" t="s">
        <v>99</v>
      </c>
      <c r="I3" s="1" t="s">
        <v>100</v>
      </c>
      <c r="J3" s="1" t="s">
        <v>101</v>
      </c>
      <c r="K3" s="1" t="s">
        <v>102</v>
      </c>
      <c r="L3" s="1" t="s">
        <v>98</v>
      </c>
      <c r="M3" s="1" t="s">
        <v>115</v>
      </c>
      <c r="N3" s="1" t="s">
        <v>99</v>
      </c>
      <c r="O3" s="1" t="s">
        <v>100</v>
      </c>
      <c r="P3" s="1" t="s">
        <v>101</v>
      </c>
      <c r="Q3" s="1" t="s">
        <v>102</v>
      </c>
      <c r="R3" s="1" t="s">
        <v>98</v>
      </c>
      <c r="S3" s="1" t="s">
        <v>98</v>
      </c>
    </row>
    <row r="4" spans="1:19" x14ac:dyDescent="0.25">
      <c r="A4">
        <v>1</v>
      </c>
      <c r="B4">
        <f>City!B3</f>
        <v>2018</v>
      </c>
      <c r="C4" s="81">
        <f>City!B6</f>
        <v>84000000</v>
      </c>
      <c r="D4" s="120">
        <f>C4-E4</f>
        <v>75600000</v>
      </c>
      <c r="E4" s="107">
        <f>C4*City!B$7</f>
        <v>8400000</v>
      </c>
      <c r="F4" s="19">
        <f>G4+M4</f>
        <v>83999986.643081784</v>
      </c>
      <c r="G4" s="22">
        <f>SUM(H4:K4)</f>
        <v>75599987.897728309</v>
      </c>
      <c r="H4" s="19">
        <f>D4*'Fleet Types'!C15</f>
        <v>75588340.151826754</v>
      </c>
      <c r="I4" s="19">
        <f>D4*'Fleet Types'!D15*TypeVMT!C4*RideModel!C4*Induced!C4</f>
        <v>6818.9394928628208</v>
      </c>
      <c r="J4" s="19">
        <f>D4*'Fleet Types'!E15*TypeVMT!D4*RideModel!D4*Induced!D4</f>
        <v>4828.8064086829891</v>
      </c>
      <c r="K4" s="19">
        <f>D4*'Fleet Types'!F15*TypeVMT!E4*RideModel!E4*Induced!E4</f>
        <v>0</v>
      </c>
      <c r="L4" s="19">
        <f>SUM(I4:K4)</f>
        <v>11647.74590154581</v>
      </c>
      <c r="M4" s="19">
        <f>SUM(N4:Q4)</f>
        <v>8399998.7453534715</v>
      </c>
      <c r="N4" s="19">
        <f>E4*'Fleet Types'!H15</f>
        <v>8391404.5831015371</v>
      </c>
      <c r="O4" s="19">
        <f>E4*'Fleet Types'!I15*TypeVMT!F4*RideModel!F4*Induced!F4</f>
        <v>8093.5582864847074</v>
      </c>
      <c r="P4" s="19">
        <f>E4*'Fleet Types'!J15*TypeVMT!G4*RideModel!G4*Induced!G4</f>
        <v>500.60396544951095</v>
      </c>
      <c r="Q4" s="19">
        <f>E4*'Fleet Types'!K15*TypeVMT!H4*RideModel!H4*Induced!H4</f>
        <v>0</v>
      </c>
      <c r="R4" s="19">
        <f>SUM(O4:Q4)</f>
        <v>8594.1622519342181</v>
      </c>
      <c r="S4" s="19">
        <f>L4+R4</f>
        <v>20241.908153480028</v>
      </c>
    </row>
    <row r="5" spans="1:19" x14ac:dyDescent="0.25">
      <c r="A5">
        <f>A4+1</f>
        <v>2</v>
      </c>
      <c r="B5">
        <f>B4+1</f>
        <v>2019</v>
      </c>
      <c r="C5" s="81">
        <f>C4*(1+City!B$8)</f>
        <v>85259999.999999985</v>
      </c>
      <c r="D5" s="120">
        <f t="shared" ref="D5:D56" si="0">C5-E5</f>
        <v>76733999.999999985</v>
      </c>
      <c r="E5" s="107">
        <f>C5*City!B$7</f>
        <v>8525999.9999999981</v>
      </c>
      <c r="F5" s="19">
        <f t="shared" ref="F5:F56" si="1">G5+M5</f>
        <v>85259976.078479216</v>
      </c>
      <c r="G5" s="22">
        <f t="shared" ref="G5:G56" si="2">SUM(H5:K5)</f>
        <v>76733987.716194198</v>
      </c>
      <c r="H5" s="19">
        <f>D5*'Fleet Types'!C16</f>
        <v>76398466.550605118</v>
      </c>
      <c r="I5" s="19">
        <f>D5*'Fleet Types'!D16*TypeVMT!C5*RideModel!C5*Induced!C5</f>
        <v>330619.92708427372</v>
      </c>
      <c r="J5" s="19">
        <f>D5*'Fleet Types'!E16*TypeVMT!D5*RideModel!D5*Induced!D5</f>
        <v>4901.2385048132328</v>
      </c>
      <c r="K5" s="19">
        <f>D5*'Fleet Types'!F16*TypeVMT!E5*RideModel!E5*Induced!E5</f>
        <v>0</v>
      </c>
      <c r="L5" s="19">
        <f t="shared" ref="L5:L56" si="3">SUM(I5:K5)</f>
        <v>335521.16558908694</v>
      </c>
      <c r="M5" s="19">
        <f t="shared" ref="M5:M56" si="4">SUM(N5:Q5)</f>
        <v>8525988.3622850217</v>
      </c>
      <c r="N5" s="19">
        <f>E5*'Fleet Types'!H16</f>
        <v>8357520.3394727791</v>
      </c>
      <c r="O5" s="19">
        <f>E5*'Fleet Types'!I16*TypeVMT!F5*RideModel!F5*Induced!F5</f>
        <v>163824.57453605387</v>
      </c>
      <c r="P5" s="19">
        <f>E5*'Fleet Types'!J16*TypeVMT!G5*RideModel!G5*Induced!G5</f>
        <v>4643.4482761879663</v>
      </c>
      <c r="Q5" s="19">
        <f>E5*'Fleet Types'!K16*TypeVMT!H5*RideModel!H5*Induced!H5</f>
        <v>0</v>
      </c>
      <c r="R5" s="19">
        <f t="shared" ref="R5:R56" si="5">SUM(O5:Q5)</f>
        <v>168468.02281224183</v>
      </c>
      <c r="S5" s="19">
        <f t="shared" ref="S5:S56" si="6">L5+R5</f>
        <v>503989.18840132875</v>
      </c>
    </row>
    <row r="6" spans="1:19" x14ac:dyDescent="0.25">
      <c r="A6">
        <f t="shared" ref="A6:A56" si="7">A5+1</f>
        <v>3</v>
      </c>
      <c r="B6">
        <f t="shared" ref="B6:B56" si="8">B5+1</f>
        <v>2020</v>
      </c>
      <c r="C6" s="81">
        <f>C5*(1+City!B$8)</f>
        <v>86538899.99999997</v>
      </c>
      <c r="D6" s="120">
        <f t="shared" si="0"/>
        <v>77885009.99999997</v>
      </c>
      <c r="E6" s="107">
        <f>C6*City!B$7</f>
        <v>8653889.9999999981</v>
      </c>
      <c r="F6" s="19">
        <f t="shared" si="1"/>
        <v>86538667.029283687</v>
      </c>
      <c r="G6" s="22">
        <f t="shared" si="2"/>
        <v>77884845.724790812</v>
      </c>
      <c r="H6" s="19">
        <f>D6*'Fleet Types'!C17</f>
        <v>75885365.39869678</v>
      </c>
      <c r="I6" s="19">
        <f>D6*'Fleet Types'!D17*TypeVMT!C6*RideModel!C6*Induced!C6</f>
        <v>1933934.5176412624</v>
      </c>
      <c r="J6" s="19">
        <f>D6*'Fleet Types'!E17*TypeVMT!D6*RideModel!D6*Induced!D6</f>
        <v>65545.808452764148</v>
      </c>
      <c r="K6" s="19">
        <f>D6*'Fleet Types'!F17*TypeVMT!E6*RideModel!E6*Induced!E6</f>
        <v>0</v>
      </c>
      <c r="L6" s="19">
        <f t="shared" si="3"/>
        <v>1999480.3260940264</v>
      </c>
      <c r="M6" s="19">
        <f t="shared" si="4"/>
        <v>8653821.3044928759</v>
      </c>
      <c r="N6" s="19">
        <f>E6*'Fleet Types'!H17</f>
        <v>7948837.734954752</v>
      </c>
      <c r="O6" s="19">
        <f>E6*'Fleet Types'!I17*TypeVMT!F6*RideModel!F6*Induced!F6</f>
        <v>677574.06219656602</v>
      </c>
      <c r="P6" s="19">
        <f>E6*'Fleet Types'!J17*TypeVMT!G6*RideModel!G6*Induced!G6</f>
        <v>27409.507341557684</v>
      </c>
      <c r="Q6" s="19">
        <f>E6*'Fleet Types'!K17*TypeVMT!H6*RideModel!H6*Induced!H6</f>
        <v>0</v>
      </c>
      <c r="R6" s="19">
        <f t="shared" si="5"/>
        <v>704983.56953812367</v>
      </c>
      <c r="S6" s="19">
        <f t="shared" si="6"/>
        <v>2704463.8956321501</v>
      </c>
    </row>
    <row r="7" spans="1:19" x14ac:dyDescent="0.25">
      <c r="A7">
        <f t="shared" si="7"/>
        <v>4</v>
      </c>
      <c r="B7">
        <f t="shared" si="8"/>
        <v>2021</v>
      </c>
      <c r="C7" s="81">
        <f>C6*(1+City!B$8)</f>
        <v>87836983.499999955</v>
      </c>
      <c r="D7" s="120">
        <f t="shared" si="0"/>
        <v>79053285.149999961</v>
      </c>
      <c r="E7" s="107">
        <f>C7*City!B$7</f>
        <v>8783698.3499999959</v>
      </c>
      <c r="F7" s="19">
        <f t="shared" si="1"/>
        <v>87835938.35466367</v>
      </c>
      <c r="G7" s="22">
        <f t="shared" si="2"/>
        <v>79052471.939369634</v>
      </c>
      <c r="H7" s="19">
        <f>D7*'Fleet Types'!C18</f>
        <v>73431177.153797075</v>
      </c>
      <c r="I7" s="19">
        <f>D7*'Fleet Types'!D18*TypeVMT!C7*RideModel!C7*Induced!C7</f>
        <v>5296823.7440728275</v>
      </c>
      <c r="J7" s="19">
        <f>D7*'Fleet Types'!E18*TypeVMT!D7*RideModel!D7*Induced!D7</f>
        <v>324471.04149973538</v>
      </c>
      <c r="K7" s="19">
        <f>D7*'Fleet Types'!F18*TypeVMT!E7*RideModel!E7*Induced!E7</f>
        <v>0</v>
      </c>
      <c r="L7" s="19">
        <f t="shared" si="3"/>
        <v>5621294.7855725633</v>
      </c>
      <c r="M7" s="19">
        <f t="shared" si="4"/>
        <v>8783466.4152940307</v>
      </c>
      <c r="N7" s="19">
        <f>E7*'Fleet Types'!H18</f>
        <v>7228166.1800044244</v>
      </c>
      <c r="O7" s="19">
        <f>E7*'Fleet Types'!I18*TypeVMT!F7*RideModel!F7*Induced!F7</f>
        <v>1462758.2876096747</v>
      </c>
      <c r="P7" s="19">
        <f>E7*'Fleet Types'!J18*TypeVMT!G7*RideModel!G7*Induced!G7</f>
        <v>92541.947679931924</v>
      </c>
      <c r="Q7" s="19">
        <f>E7*'Fleet Types'!K18*TypeVMT!H7*RideModel!H7*Induced!H7</f>
        <v>0</v>
      </c>
      <c r="R7" s="19">
        <f t="shared" si="5"/>
        <v>1555300.2352896067</v>
      </c>
      <c r="S7" s="19">
        <f t="shared" si="6"/>
        <v>7176595.0208621696</v>
      </c>
    </row>
    <row r="8" spans="1:19" x14ac:dyDescent="0.25">
      <c r="A8">
        <f t="shared" si="7"/>
        <v>5</v>
      </c>
      <c r="B8">
        <f t="shared" si="8"/>
        <v>2022</v>
      </c>
      <c r="C8" s="81">
        <f>C7*(1+City!B$8)</f>
        <v>89154538.252499953</v>
      </c>
      <c r="D8" s="120">
        <f t="shared" si="0"/>
        <v>80239084.427249953</v>
      </c>
      <c r="E8" s="107">
        <f>C8*City!B$7</f>
        <v>8915453.825249996</v>
      </c>
      <c r="F8" s="19">
        <f t="shared" si="1"/>
        <v>89151493.454270437</v>
      </c>
      <c r="G8" s="22">
        <f t="shared" si="2"/>
        <v>80236606.846957728</v>
      </c>
      <c r="H8" s="19">
        <f>D8*'Fleet Types'!C19</f>
        <v>69471283.656405956</v>
      </c>
      <c r="I8" s="19">
        <f>D8*'Fleet Types'!D19*TypeVMT!C8*RideModel!C8*Induced!C8</f>
        <v>9776768.6539548654</v>
      </c>
      <c r="J8" s="19">
        <f>D8*'Fleet Types'!E19*TypeVMT!D8*RideModel!D8*Induced!D8</f>
        <v>988554.53659691126</v>
      </c>
      <c r="K8" s="19">
        <f>D8*'Fleet Types'!F19*TypeVMT!E8*RideModel!E8*Induced!E8</f>
        <v>0</v>
      </c>
      <c r="L8" s="19">
        <f t="shared" si="3"/>
        <v>10765323.190551776</v>
      </c>
      <c r="M8" s="19">
        <f t="shared" si="4"/>
        <v>8914886.607312711</v>
      </c>
      <c r="N8" s="19">
        <f>E8*'Fleet Types'!H19</f>
        <v>6477154.7800820516</v>
      </c>
      <c r="O8" s="19">
        <f>E8*'Fleet Types'!I19*TypeVMT!F8*RideModel!F8*Induced!F8</f>
        <v>2211411.8702536291</v>
      </c>
      <c r="P8" s="19">
        <f>E8*'Fleet Types'!J19*TypeVMT!G8*RideModel!G8*Induced!G8</f>
        <v>226319.95697703012</v>
      </c>
      <c r="Q8" s="19">
        <f>E8*'Fleet Types'!K19*TypeVMT!H8*RideModel!H8*Induced!H8</f>
        <v>0</v>
      </c>
      <c r="R8" s="19">
        <f t="shared" si="5"/>
        <v>2437731.8272306593</v>
      </c>
      <c r="S8" s="19">
        <f t="shared" si="6"/>
        <v>13203055.017782435</v>
      </c>
    </row>
    <row r="9" spans="1:19" x14ac:dyDescent="0.25">
      <c r="A9">
        <f t="shared" si="7"/>
        <v>6</v>
      </c>
      <c r="B9">
        <f t="shared" si="8"/>
        <v>2023</v>
      </c>
      <c r="C9" s="81">
        <f>C8*(1+City!B$8)</f>
        <v>90491856.326287448</v>
      </c>
      <c r="D9" s="120">
        <f t="shared" si="0"/>
        <v>81442670.69365871</v>
      </c>
      <c r="E9" s="107">
        <f>C9*City!B$7</f>
        <v>9049185.6326287445</v>
      </c>
      <c r="F9" s="19">
        <f t="shared" si="1"/>
        <v>90552183.784604579</v>
      </c>
      <c r="G9" s="22">
        <f t="shared" si="2"/>
        <v>81492940.211993888</v>
      </c>
      <c r="H9" s="19">
        <f>D9*'Fleet Types'!C20</f>
        <v>65021110.562048502</v>
      </c>
      <c r="I9" s="19">
        <f>D9*'Fleet Types'!D20*TypeVMT!C9*RideModel!C9*Induced!C9</f>
        <v>14152863.798547972</v>
      </c>
      <c r="J9" s="19">
        <f>D9*'Fleet Types'!E20*TypeVMT!D9*RideModel!D9*Induced!D9</f>
        <v>2318965.851397411</v>
      </c>
      <c r="K9" s="19">
        <f>D9*'Fleet Types'!F20*TypeVMT!E9*RideModel!E9*Induced!E9</f>
        <v>0</v>
      </c>
      <c r="L9" s="19">
        <f t="shared" si="3"/>
        <v>16471829.649945382</v>
      </c>
      <c r="M9" s="19">
        <f t="shared" si="4"/>
        <v>9059243.5726106968</v>
      </c>
      <c r="N9" s="19">
        <f>E9*'Fleet Types'!H20</f>
        <v>5930812.0361665003</v>
      </c>
      <c r="O9" s="19">
        <f>E9*'Fleet Types'!I20*TypeVMT!F9*RideModel!F9*Induced!F9</f>
        <v>2667500.7533225822</v>
      </c>
      <c r="P9" s="19">
        <f>E9*'Fleet Types'!J20*TypeVMT!G9*RideModel!G9*Induced!G9</f>
        <v>460930.78312161425</v>
      </c>
      <c r="Q9" s="19">
        <f>E9*'Fleet Types'!K20*TypeVMT!H9*RideModel!H9*Induced!H9</f>
        <v>0</v>
      </c>
      <c r="R9" s="19">
        <f t="shared" si="5"/>
        <v>3128431.5364441965</v>
      </c>
      <c r="S9" s="19">
        <f t="shared" si="6"/>
        <v>19600261.18638958</v>
      </c>
    </row>
    <row r="10" spans="1:19" x14ac:dyDescent="0.25">
      <c r="A10">
        <f t="shared" si="7"/>
        <v>7</v>
      </c>
      <c r="B10">
        <f t="shared" si="8"/>
        <v>2024</v>
      </c>
      <c r="C10" s="81">
        <f>C9*(1+City!B$8)</f>
        <v>91849234.171181753</v>
      </c>
      <c r="D10" s="120">
        <f t="shared" si="0"/>
        <v>82664310.754063576</v>
      </c>
      <c r="E10" s="107">
        <f>C10*City!B$7</f>
        <v>9184923.417118175</v>
      </c>
      <c r="F10" s="19">
        <f t="shared" si="1"/>
        <v>91967395.261267781</v>
      </c>
      <c r="G10" s="22">
        <f t="shared" si="2"/>
        <v>82763266.839721441</v>
      </c>
      <c r="H10" s="19">
        <f>D10*'Fleet Types'!C21</f>
        <v>61002526.043228656</v>
      </c>
      <c r="I10" s="19">
        <f>D10*'Fleet Types'!D21*TypeVMT!C10*RideModel!C10*Induced!C10</f>
        <v>17390208.125595856</v>
      </c>
      <c r="J10" s="19">
        <f>D10*'Fleet Types'!E21*TypeVMT!D10*RideModel!D10*Induced!D10</f>
        <v>4370532.670896939</v>
      </c>
      <c r="K10" s="19">
        <f>D10*'Fleet Types'!F21*TypeVMT!E10*RideModel!E10*Induced!E10</f>
        <v>0</v>
      </c>
      <c r="L10" s="19">
        <f t="shared" si="3"/>
        <v>21760740.796492796</v>
      </c>
      <c r="M10" s="19">
        <f t="shared" si="4"/>
        <v>9204128.42154634</v>
      </c>
      <c r="N10" s="19">
        <f>E10*'Fleet Types'!H21</f>
        <v>5626913.8515351471</v>
      </c>
      <c r="O10" s="19">
        <f>E10*'Fleet Types'!I21*TypeVMT!F10*RideModel!F10*Induced!F10</f>
        <v>2755409.4233775833</v>
      </c>
      <c r="P10" s="19">
        <f>E10*'Fleet Types'!J21*TypeVMT!G10*RideModel!G10*Induced!G10</f>
        <v>787833.29023250728</v>
      </c>
      <c r="Q10" s="19">
        <f>E10*'Fleet Types'!K21*TypeVMT!H10*RideModel!H10*Induced!H10</f>
        <v>33971.856401103112</v>
      </c>
      <c r="R10" s="19">
        <f t="shared" si="5"/>
        <v>3577214.5700111934</v>
      </c>
      <c r="S10" s="19">
        <f t="shared" si="6"/>
        <v>25337955.366503991</v>
      </c>
    </row>
    <row r="11" spans="1:19" x14ac:dyDescent="0.25">
      <c r="A11">
        <f t="shared" si="7"/>
        <v>8</v>
      </c>
      <c r="B11">
        <f t="shared" si="8"/>
        <v>2025</v>
      </c>
      <c r="C11" s="81">
        <f>C10*(1+City!B$8)</f>
        <v>93226972.683749467</v>
      </c>
      <c r="D11" s="120">
        <f t="shared" si="0"/>
        <v>83904275.415374517</v>
      </c>
      <c r="E11" s="107">
        <f>C11*City!B$7</f>
        <v>9322697.2683749478</v>
      </c>
      <c r="F11" s="19">
        <f t="shared" si="1"/>
        <v>93426363.235466093</v>
      </c>
      <c r="G11" s="22">
        <f t="shared" si="2"/>
        <v>84071342.843273208</v>
      </c>
      <c r="H11" s="19">
        <f>D11*'Fleet Types'!C22</f>
        <v>57916276.245742865</v>
      </c>
      <c r="I11" s="19">
        <f>D11*'Fleet Types'!D22*TypeVMT!C11*RideModel!C11*Induced!C11</f>
        <v>18969208.206656836</v>
      </c>
      <c r="J11" s="19">
        <f>D11*'Fleet Types'!E22*TypeVMT!D11*RideModel!D11*Induced!D11</f>
        <v>7185858.3908735095</v>
      </c>
      <c r="K11" s="19">
        <f>D11*'Fleet Types'!F22*TypeVMT!E11*RideModel!E11*Induced!E11</f>
        <v>0</v>
      </c>
      <c r="L11" s="19">
        <f t="shared" si="3"/>
        <v>26155066.597530346</v>
      </c>
      <c r="M11" s="19">
        <f t="shared" si="4"/>
        <v>9355020.3921928834</v>
      </c>
      <c r="N11" s="19">
        <f>E11*'Fleet Types'!H22</f>
        <v>5495786.7761826385</v>
      </c>
      <c r="O11" s="19">
        <f>E11*'Fleet Types'!I22*TypeVMT!F11*RideModel!F11*Induced!F11</f>
        <v>2539603.6792713753</v>
      </c>
      <c r="P11" s="19">
        <f>E11*'Fleet Types'!J22*TypeVMT!G11*RideModel!G11*Induced!G11</f>
        <v>1206468.0419618487</v>
      </c>
      <c r="Q11" s="19">
        <f>E11*'Fleet Types'!K22*TypeVMT!H11*RideModel!H11*Induced!H11</f>
        <v>113161.89477701964</v>
      </c>
      <c r="R11" s="19">
        <f t="shared" si="5"/>
        <v>3859233.6160102435</v>
      </c>
      <c r="S11" s="19">
        <f t="shared" si="6"/>
        <v>30014300.213540591</v>
      </c>
    </row>
    <row r="12" spans="1:19" x14ac:dyDescent="0.25">
      <c r="A12">
        <f t="shared" si="7"/>
        <v>9</v>
      </c>
      <c r="B12">
        <f t="shared" si="8"/>
        <v>2026</v>
      </c>
      <c r="C12" s="81">
        <f>C11*(1+City!B$8)</f>
        <v>94625377.274005696</v>
      </c>
      <c r="D12" s="120">
        <f t="shared" si="0"/>
        <v>85162839.546605125</v>
      </c>
      <c r="E12" s="107">
        <f>C12*City!B$7</f>
        <v>9462537.7274005692</v>
      </c>
      <c r="F12" s="19">
        <f t="shared" si="1"/>
        <v>94957876.111604527</v>
      </c>
      <c r="G12" s="22">
        <f t="shared" si="2"/>
        <v>85445984.252211601</v>
      </c>
      <c r="H12" s="19">
        <f>D12*'Fleet Types'!C23</f>
        <v>55116785.279863238</v>
      </c>
      <c r="I12" s="19">
        <f>D12*'Fleet Types'!D23*TypeVMT!C12*RideModel!C12*Induced!C12</f>
        <v>18978276.123339541</v>
      </c>
      <c r="J12" s="19">
        <f>D12*'Fleet Types'!E23*TypeVMT!D12*RideModel!D12*Induced!D12</f>
        <v>10754947.095453395</v>
      </c>
      <c r="K12" s="19">
        <f>D12*'Fleet Types'!F23*TypeVMT!E12*RideModel!E12*Induced!E12</f>
        <v>595975.75355542894</v>
      </c>
      <c r="L12" s="19">
        <f t="shared" si="3"/>
        <v>30329198.972348366</v>
      </c>
      <c r="M12" s="19">
        <f t="shared" si="4"/>
        <v>9511891.8593929261</v>
      </c>
      <c r="N12" s="19">
        <f>E12*'Fleet Types'!H23</f>
        <v>5450838.8670842657</v>
      </c>
      <c r="O12" s="19">
        <f>E12*'Fleet Types'!I23*TypeVMT!F12*RideModel!F12*Induced!F12</f>
        <v>2146772.5524620418</v>
      </c>
      <c r="P12" s="19">
        <f>E12*'Fleet Types'!J23*TypeVMT!G12*RideModel!G12*Induced!G12</f>
        <v>1711413.7001728087</v>
      </c>
      <c r="Q12" s="19">
        <f>E12*'Fleet Types'!K23*TypeVMT!H12*RideModel!H12*Induced!H12</f>
        <v>202866.73967381049</v>
      </c>
      <c r="R12" s="19">
        <f t="shared" si="5"/>
        <v>4061052.9923086609</v>
      </c>
      <c r="S12" s="19">
        <f t="shared" si="6"/>
        <v>34390251.964657024</v>
      </c>
    </row>
    <row r="13" spans="1:19" x14ac:dyDescent="0.25">
      <c r="A13">
        <f t="shared" si="7"/>
        <v>10</v>
      </c>
      <c r="B13">
        <f t="shared" si="8"/>
        <v>2027</v>
      </c>
      <c r="C13" s="81">
        <f>C12*(1+City!B$8)</f>
        <v>96044757.933115765</v>
      </c>
      <c r="D13" s="120">
        <f t="shared" si="0"/>
        <v>86440282.139804184</v>
      </c>
      <c r="E13" s="107">
        <f>C13*City!B$7</f>
        <v>9604475.7933115773</v>
      </c>
      <c r="F13" s="19">
        <f t="shared" si="1"/>
        <v>96575934.538654849</v>
      </c>
      <c r="G13" s="22">
        <f t="shared" si="2"/>
        <v>86898111.38475135</v>
      </c>
      <c r="H13" s="19">
        <f>D13*'Fleet Types'!C24</f>
        <v>52754769.306178093</v>
      </c>
      <c r="I13" s="19">
        <f>D13*'Fleet Types'!D24*TypeVMT!C13*RideModel!C13*Induced!C13</f>
        <v>17682995.747773428</v>
      </c>
      <c r="J13" s="19">
        <f>D13*'Fleet Types'!E24*TypeVMT!D13*RideModel!D13*Induced!D13</f>
        <v>14963343.804119999</v>
      </c>
      <c r="K13" s="19">
        <f>D13*'Fleet Types'!F24*TypeVMT!E13*RideModel!E13*Induced!E13</f>
        <v>1497002.526679829</v>
      </c>
      <c r="L13" s="19">
        <f t="shared" si="3"/>
        <v>34143342.078573257</v>
      </c>
      <c r="M13" s="19">
        <f t="shared" si="4"/>
        <v>9677823.1539035048</v>
      </c>
      <c r="N13" s="19">
        <f>E13*'Fleet Types'!H24</f>
        <v>5394746.5291435039</v>
      </c>
      <c r="O13" s="19">
        <f>E13*'Fleet Types'!I24*TypeVMT!F13*RideModel!F13*Induced!F13</f>
        <v>1693489.1905411512</v>
      </c>
      <c r="P13" s="19">
        <f>E13*'Fleet Types'!J24*TypeVMT!G13*RideModel!G13*Induced!G13</f>
        <v>2284009.9388962002</v>
      </c>
      <c r="Q13" s="19">
        <f>E13*'Fleet Types'!K24*TypeVMT!H13*RideModel!H13*Induced!H13</f>
        <v>305577.49532265088</v>
      </c>
      <c r="R13" s="19">
        <f t="shared" si="5"/>
        <v>4283076.6247600028</v>
      </c>
      <c r="S13" s="19">
        <f t="shared" si="6"/>
        <v>38426418.703333259</v>
      </c>
    </row>
    <row r="14" spans="1:19" x14ac:dyDescent="0.25">
      <c r="A14">
        <f t="shared" si="7"/>
        <v>11</v>
      </c>
      <c r="B14">
        <f t="shared" si="8"/>
        <v>2028</v>
      </c>
      <c r="C14" s="81">
        <f>C13*(1+City!B$8)</f>
        <v>97485429.30211249</v>
      </c>
      <c r="D14" s="120">
        <f t="shared" si="0"/>
        <v>87736886.371901244</v>
      </c>
      <c r="E14" s="107">
        <f>C14*City!B$7</f>
        <v>9748542.9302112497</v>
      </c>
      <c r="F14" s="19">
        <f t="shared" si="1"/>
        <v>97762319.831468761</v>
      </c>
      <c r="G14" s="22">
        <f t="shared" si="2"/>
        <v>87967229.913613066</v>
      </c>
      <c r="H14" s="19">
        <f>D14*'Fleet Types'!C25</f>
        <v>50896240.180916272</v>
      </c>
      <c r="I14" s="19">
        <f>D14*'Fleet Types'!D25*TypeVMT!C14*RideModel!C14*Induced!C14</f>
        <v>15285639.502404409</v>
      </c>
      <c r="J14" s="19">
        <f>D14*'Fleet Types'!E25*TypeVMT!D14*RideModel!D14*Induced!D14</f>
        <v>19265262.889345419</v>
      </c>
      <c r="K14" s="19">
        <f>D14*'Fleet Types'!F25*TypeVMT!E14*RideModel!E14*Induced!E14</f>
        <v>2520087.340946978</v>
      </c>
      <c r="L14" s="19">
        <f t="shared" si="3"/>
        <v>37070989.732696809</v>
      </c>
      <c r="M14" s="19">
        <f t="shared" si="4"/>
        <v>9795089.917855693</v>
      </c>
      <c r="N14" s="19">
        <f>E14*'Fleet Types'!H25</f>
        <v>5281715.0330352141</v>
      </c>
      <c r="O14" s="19">
        <f>E14*'Fleet Types'!I25*TypeVMT!F14*RideModel!F14*Induced!F14</f>
        <v>1248400.2199206231</v>
      </c>
      <c r="P14" s="19">
        <f>E14*'Fleet Types'!J25*TypeVMT!G14*RideModel!G14*Induced!G14</f>
        <v>2845166.1779509145</v>
      </c>
      <c r="Q14" s="19">
        <f>E14*'Fleet Types'!K25*TypeVMT!H14*RideModel!H14*Induced!H14</f>
        <v>419808.48694894067</v>
      </c>
      <c r="R14" s="19">
        <f t="shared" si="5"/>
        <v>4513374.884820478</v>
      </c>
      <c r="S14" s="19">
        <f t="shared" si="6"/>
        <v>41584364.617517285</v>
      </c>
    </row>
    <row r="15" spans="1:19" x14ac:dyDescent="0.25">
      <c r="A15">
        <f t="shared" si="7"/>
        <v>12</v>
      </c>
      <c r="B15">
        <f t="shared" si="8"/>
        <v>2029</v>
      </c>
      <c r="C15" s="81">
        <f>C14*(1+City!B$8)</f>
        <v>98947710.741644174</v>
      </c>
      <c r="D15" s="120">
        <f t="shared" si="0"/>
        <v>89052939.667479753</v>
      </c>
      <c r="E15" s="107">
        <f>C15*City!B$7</f>
        <v>9894771.0741644185</v>
      </c>
      <c r="F15" s="19">
        <f t="shared" si="1"/>
        <v>99438676.473622546</v>
      </c>
      <c r="G15" s="22">
        <f t="shared" si="2"/>
        <v>89472914.694962144</v>
      </c>
      <c r="H15" s="19">
        <f>D15*'Fleet Types'!C26</f>
        <v>49326216.616901793</v>
      </c>
      <c r="I15" s="19">
        <f>D15*'Fleet Types'!D26*TypeVMT!C15*RideModel!C15*Induced!C15</f>
        <v>12580310.900767714</v>
      </c>
      <c r="J15" s="19">
        <f>D15*'Fleet Types'!E26*TypeVMT!D15*RideModel!D15*Induced!D15</f>
        <v>23861350.941048849</v>
      </c>
      <c r="K15" s="19">
        <f>D15*'Fleet Types'!F26*TypeVMT!E15*RideModel!E15*Induced!E15</f>
        <v>3705036.2362437835</v>
      </c>
      <c r="L15" s="19">
        <f t="shared" si="3"/>
        <v>40146698.078060344</v>
      </c>
      <c r="M15" s="19">
        <f t="shared" si="4"/>
        <v>9965761.7786604073</v>
      </c>
      <c r="N15" s="19">
        <f>E15*'Fleet Types'!H26</f>
        <v>5097528.5531940162</v>
      </c>
      <c r="O15" s="19">
        <f>E15*'Fleet Types'!I26*TypeVMT!F15*RideModel!F15*Induced!F15</f>
        <v>885637.70297983324</v>
      </c>
      <c r="P15" s="19">
        <f>E15*'Fleet Types'!J26*TypeVMT!G15*RideModel!G15*Induced!G15</f>
        <v>3431415.4368121568</v>
      </c>
      <c r="Q15" s="19">
        <f>E15*'Fleet Types'!K26*TypeVMT!H15*RideModel!H15*Induced!H15</f>
        <v>551180.08567440079</v>
      </c>
      <c r="R15" s="19">
        <f t="shared" si="5"/>
        <v>4868233.2254663901</v>
      </c>
      <c r="S15" s="19">
        <f t="shared" si="6"/>
        <v>45014931.303526737</v>
      </c>
    </row>
    <row r="16" spans="1:19" x14ac:dyDescent="0.25">
      <c r="A16">
        <f t="shared" si="7"/>
        <v>13</v>
      </c>
      <c r="B16">
        <f t="shared" si="8"/>
        <v>2030</v>
      </c>
      <c r="C16" s="81">
        <f>C15*(1+City!B$8)</f>
        <v>100431926.40276882</v>
      </c>
      <c r="D16" s="120">
        <f t="shared" si="0"/>
        <v>90388733.762491941</v>
      </c>
      <c r="E16" s="107">
        <f>C16*City!B$7</f>
        <v>10043192.640276883</v>
      </c>
      <c r="F16" s="19">
        <f t="shared" si="1"/>
        <v>101269526.15674293</v>
      </c>
      <c r="G16" s="22">
        <f t="shared" si="2"/>
        <v>91116200.12550202</v>
      </c>
      <c r="H16" s="19">
        <f>D16*'Fleet Types'!C27</f>
        <v>47852589.279985182</v>
      </c>
      <c r="I16" s="19">
        <f>D16*'Fleet Types'!D27*TypeVMT!C16*RideModel!C16*Induced!C16</f>
        <v>9808405.0764858034</v>
      </c>
      <c r="J16" s="19">
        <f>D16*'Fleet Types'!E27*TypeVMT!D16*RideModel!D16*Induced!D16</f>
        <v>28371199.836082712</v>
      </c>
      <c r="K16" s="19">
        <f>D16*'Fleet Types'!F27*TypeVMT!E16*RideModel!E16*Induced!E16</f>
        <v>5084005.9329483155</v>
      </c>
      <c r="L16" s="19">
        <f t="shared" si="3"/>
        <v>43263610.845516831</v>
      </c>
      <c r="M16" s="19">
        <f t="shared" si="4"/>
        <v>10153326.031240912</v>
      </c>
      <c r="N16" s="19">
        <f>E16*'Fleet Types'!H27</f>
        <v>4855375.8613143982</v>
      </c>
      <c r="O16" s="19">
        <f>E16*'Fleet Types'!I27*TypeVMT!F16*RideModel!F16*Induced!F16</f>
        <v>602889.23591640813</v>
      </c>
      <c r="P16" s="19">
        <f>E16*'Fleet Types'!J27*TypeVMT!G16*RideModel!G16*Induced!G16</f>
        <v>3992487.8104855656</v>
      </c>
      <c r="Q16" s="19">
        <f>E16*'Fleet Types'!K27*TypeVMT!H16*RideModel!H16*Induced!H16</f>
        <v>702573.12352454185</v>
      </c>
      <c r="R16" s="19">
        <f t="shared" si="5"/>
        <v>5297950.1699265158</v>
      </c>
      <c r="S16" s="19">
        <f t="shared" si="6"/>
        <v>48561561.015443347</v>
      </c>
    </row>
    <row r="17" spans="1:19" x14ac:dyDescent="0.25">
      <c r="A17">
        <f t="shared" si="7"/>
        <v>14</v>
      </c>
      <c r="B17">
        <f t="shared" si="8"/>
        <v>2031</v>
      </c>
      <c r="C17" s="81">
        <f>C16*(1+City!B$8)</f>
        <v>101938405.29881035</v>
      </c>
      <c r="D17" s="120">
        <f t="shared" si="0"/>
        <v>91744564.768929318</v>
      </c>
      <c r="E17" s="107">
        <f>C17*City!B$7</f>
        <v>10193840.529881036</v>
      </c>
      <c r="F17" s="19">
        <f t="shared" si="1"/>
        <v>103068200.55885504</v>
      </c>
      <c r="G17" s="22">
        <f t="shared" si="2"/>
        <v>92733306.118545488</v>
      </c>
      <c r="H17" s="19">
        <f>D17*'Fleet Types'!C28</f>
        <v>46426272.880929679</v>
      </c>
      <c r="I17" s="19">
        <f>D17*'Fleet Types'!D28*TypeVMT!C17*RideModel!C17*Induced!C17</f>
        <v>7313812.1161411433</v>
      </c>
      <c r="J17" s="19">
        <f>D17*'Fleet Types'!E28*TypeVMT!D17*RideModel!D17*Induced!D17</f>
        <v>32349720.488634139</v>
      </c>
      <c r="K17" s="19">
        <f>D17*'Fleet Types'!F28*TypeVMT!E17*RideModel!E17*Induced!E17</f>
        <v>6643500.6328405356</v>
      </c>
      <c r="L17" s="19">
        <f t="shared" si="3"/>
        <v>46307033.237615816</v>
      </c>
      <c r="M17" s="19">
        <f t="shared" si="4"/>
        <v>10334894.44030956</v>
      </c>
      <c r="N17" s="19">
        <f>E17*'Fleet Types'!H28</f>
        <v>4595174.6849697446</v>
      </c>
      <c r="O17" s="19">
        <f>E17*'Fleet Types'!I28*TypeVMT!F17*RideModel!F17*Induced!F17</f>
        <v>396592.00157035654</v>
      </c>
      <c r="P17" s="19">
        <f>E17*'Fleet Types'!J28*TypeVMT!G17*RideModel!G17*Induced!G17</f>
        <v>4472346.1466816273</v>
      </c>
      <c r="Q17" s="19">
        <f>E17*'Fleet Types'!K28*TypeVMT!H17*RideModel!H17*Induced!H17</f>
        <v>870781.60708783206</v>
      </c>
      <c r="R17" s="19">
        <f t="shared" si="5"/>
        <v>5739719.7553398162</v>
      </c>
      <c r="S17" s="19">
        <f t="shared" si="6"/>
        <v>52046752.992955633</v>
      </c>
    </row>
    <row r="18" spans="1:19" x14ac:dyDescent="0.25">
      <c r="A18">
        <f t="shared" si="7"/>
        <v>15</v>
      </c>
      <c r="B18">
        <f t="shared" si="8"/>
        <v>2032</v>
      </c>
      <c r="C18" s="81">
        <f>C17*(1+City!B$8)</f>
        <v>103467481.37829249</v>
      </c>
      <c r="D18" s="120">
        <f t="shared" si="0"/>
        <v>93120733.240463242</v>
      </c>
      <c r="E18" s="107">
        <f>C18*City!B$7</f>
        <v>10346748.13782925</v>
      </c>
      <c r="F18" s="19">
        <f t="shared" si="1"/>
        <v>104957245.92915842</v>
      </c>
      <c r="G18" s="22">
        <f t="shared" si="2"/>
        <v>94431349.138101906</v>
      </c>
      <c r="H18" s="19">
        <f>D18*'Fleet Types'!C29</f>
        <v>45014563.405559026</v>
      </c>
      <c r="I18" s="19">
        <f>D18*'Fleet Types'!D29*TypeVMT!C18*RideModel!C18*Induced!C18</f>
        <v>5283296.7524245195</v>
      </c>
      <c r="J18" s="19">
        <f>D18*'Fleet Types'!E29*TypeVMT!D18*RideModel!D18*Induced!D18</f>
        <v>35703034.655446857</v>
      </c>
      <c r="K18" s="19">
        <f>D18*'Fleet Types'!F29*TypeVMT!E18*RideModel!E18*Induced!E18</f>
        <v>8430454.3246715125</v>
      </c>
      <c r="L18" s="19">
        <f t="shared" si="3"/>
        <v>49416785.732542895</v>
      </c>
      <c r="M18" s="19">
        <f t="shared" si="4"/>
        <v>10525896.791056518</v>
      </c>
      <c r="N18" s="19">
        <f>E18*'Fleet Types'!H29</f>
        <v>4345925.2912689671</v>
      </c>
      <c r="O18" s="19">
        <f>E18*'Fleet Types'!I29*TypeVMT!F18*RideModel!F18*Induced!F18</f>
        <v>253730.2735471644</v>
      </c>
      <c r="P18" s="19">
        <f>E18*'Fleet Types'!J29*TypeVMT!G18*RideModel!G18*Induced!G18</f>
        <v>4865182.4411393255</v>
      </c>
      <c r="Q18" s="19">
        <f>E18*'Fleet Types'!K29*TypeVMT!H18*RideModel!H18*Induced!H18</f>
        <v>1061058.7851010596</v>
      </c>
      <c r="R18" s="19">
        <f t="shared" si="5"/>
        <v>6179971.4997875495</v>
      </c>
      <c r="S18" s="19">
        <f t="shared" si="6"/>
        <v>55596757.232330441</v>
      </c>
    </row>
    <row r="19" spans="1:19" x14ac:dyDescent="0.25">
      <c r="A19">
        <f t="shared" si="7"/>
        <v>16</v>
      </c>
      <c r="B19">
        <f t="shared" si="8"/>
        <v>2033</v>
      </c>
      <c r="C19" s="81">
        <f>C18*(1+City!B$8)</f>
        <v>105019493.59896687</v>
      </c>
      <c r="D19" s="120">
        <f t="shared" si="0"/>
        <v>94517544.239070177</v>
      </c>
      <c r="E19" s="107">
        <f>C19*City!B$7</f>
        <v>10501949.359896688</v>
      </c>
      <c r="F19" s="19">
        <f t="shared" si="1"/>
        <v>108229214.68469018</v>
      </c>
      <c r="G19" s="22">
        <f t="shared" si="2"/>
        <v>97354231.972101927</v>
      </c>
      <c r="H19" s="19">
        <f>D19*'Fleet Types'!C30</f>
        <v>43632228.059726641</v>
      </c>
      <c r="I19" s="19">
        <f>D19*'Fleet Types'!D30*TypeVMT!C19*RideModel!C19*Induced!C19</f>
        <v>3744824.7044110708</v>
      </c>
      <c r="J19" s="19">
        <f>D19*'Fleet Types'!E30*TypeVMT!D19*RideModel!D19*Induced!D19</f>
        <v>39085928.292982318</v>
      </c>
      <c r="K19" s="19">
        <f>D19*'Fleet Types'!F30*TypeVMT!E19*RideModel!E19*Induced!E19</f>
        <v>10891250.914981898</v>
      </c>
      <c r="L19" s="19">
        <f t="shared" si="3"/>
        <v>53722003.912375286</v>
      </c>
      <c r="M19" s="19">
        <f t="shared" si="4"/>
        <v>10874982.712588258</v>
      </c>
      <c r="N19" s="19">
        <f>E19*'Fleet Types'!H30</f>
        <v>4124436.9641740858</v>
      </c>
      <c r="O19" s="19">
        <f>E19*'Fleet Types'!I30*TypeVMT!F19*RideModel!F19*Induced!F19</f>
        <v>158722.99801963649</v>
      </c>
      <c r="P19" s="19">
        <f>E19*'Fleet Types'!J30*TypeVMT!G19*RideModel!G19*Induced!G19</f>
        <v>5265155.7293091472</v>
      </c>
      <c r="Q19" s="19">
        <f>E19*'Fleet Types'!K30*TypeVMT!H19*RideModel!H19*Induced!H19</f>
        <v>1326667.0210853887</v>
      </c>
      <c r="R19" s="19">
        <f t="shared" si="5"/>
        <v>6750545.7484141728</v>
      </c>
      <c r="S19" s="19">
        <f t="shared" si="6"/>
        <v>60472549.66078946</v>
      </c>
    </row>
    <row r="20" spans="1:19" x14ac:dyDescent="0.25">
      <c r="A20">
        <f t="shared" si="7"/>
        <v>17</v>
      </c>
      <c r="B20">
        <f t="shared" si="8"/>
        <v>2034</v>
      </c>
      <c r="C20" s="81">
        <f>C19*(1+City!B$8)</f>
        <v>106594786.00295135</v>
      </c>
      <c r="D20" s="120">
        <f t="shared" si="0"/>
        <v>95935307.402656212</v>
      </c>
      <c r="E20" s="107">
        <f>C20*City!B$7</f>
        <v>10659478.600295136</v>
      </c>
      <c r="F20" s="19">
        <f t="shared" si="1"/>
        <v>110394002.41512717</v>
      </c>
      <c r="G20" s="22">
        <f t="shared" si="2"/>
        <v>99301452.67583096</v>
      </c>
      <c r="H20" s="19">
        <f>D20*'Fleet Types'!C31</f>
        <v>42388695.043126553</v>
      </c>
      <c r="I20" s="19">
        <f>D20*'Fleet Types'!D31*TypeVMT!C20*RideModel!C20*Induced!C20</f>
        <v>2634016.6418853598</v>
      </c>
      <c r="J20" s="19">
        <f>D20*'Fleet Types'!E31*TypeVMT!D20*RideModel!D20*Induced!D20</f>
        <v>40956711.335543312</v>
      </c>
      <c r="K20" s="19">
        <f>D20*'Fleet Types'!F31*TypeVMT!E20*RideModel!E20*Induced!E20</f>
        <v>13322029.655275727</v>
      </c>
      <c r="L20" s="19">
        <f t="shared" si="3"/>
        <v>56912757.6327044</v>
      </c>
      <c r="M20" s="19">
        <f t="shared" si="4"/>
        <v>11092549.739296215</v>
      </c>
      <c r="N20" s="19">
        <f>E20*'Fleet Types'!H31</f>
        <v>3946948.6122840778</v>
      </c>
      <c r="O20" s="19">
        <f>E20*'Fleet Types'!I31*TypeVMT!F20*RideModel!F20*Induced!F20</f>
        <v>97501.100255913261</v>
      </c>
      <c r="P20" s="19">
        <f>E20*'Fleet Types'!J31*TypeVMT!G20*RideModel!G20*Induced!G20</f>
        <v>5469150.6208974998</v>
      </c>
      <c r="Q20" s="19">
        <f>E20*'Fleet Types'!K31*TypeVMT!H20*RideModel!H20*Induced!H20</f>
        <v>1578949.4058587237</v>
      </c>
      <c r="R20" s="19">
        <f t="shared" si="5"/>
        <v>7145601.1270121364</v>
      </c>
      <c r="S20" s="19">
        <f t="shared" si="6"/>
        <v>64058358.759716533</v>
      </c>
    </row>
    <row r="21" spans="1:19" x14ac:dyDescent="0.25">
      <c r="A21">
        <f t="shared" si="7"/>
        <v>18</v>
      </c>
      <c r="B21">
        <f t="shared" si="8"/>
        <v>2035</v>
      </c>
      <c r="C21" s="81">
        <f>C20*(1+City!B$8)</f>
        <v>108193707.79299562</v>
      </c>
      <c r="D21" s="120">
        <f t="shared" si="0"/>
        <v>97374337.01369606</v>
      </c>
      <c r="E21" s="107">
        <f>C21*City!B$7</f>
        <v>10819370.779299563</v>
      </c>
      <c r="F21" s="19">
        <f t="shared" si="1"/>
        <v>112468266.96393624</v>
      </c>
      <c r="G21" s="22">
        <f t="shared" si="2"/>
        <v>101167896.68487048</v>
      </c>
      <c r="H21" s="19">
        <f>D21*'Fleet Types'!C32</f>
        <v>41383079.529419668</v>
      </c>
      <c r="I21" s="19">
        <f>D21*'Fleet Types'!D32*TypeVMT!C21*RideModel!C21*Induced!C21</f>
        <v>1849832.306438063</v>
      </c>
      <c r="J21" s="19">
        <f>D21*'Fleet Types'!E32*TypeVMT!D21*RideModel!D21*Induced!D21</f>
        <v>42014681.830531731</v>
      </c>
      <c r="K21" s="19">
        <f>D21*'Fleet Types'!F32*TypeVMT!E21*RideModel!E21*Induced!E21</f>
        <v>15920303.018481016</v>
      </c>
      <c r="L21" s="19">
        <f t="shared" si="3"/>
        <v>59784817.155450813</v>
      </c>
      <c r="M21" s="19">
        <f t="shared" si="4"/>
        <v>11300370.279065762</v>
      </c>
      <c r="N21" s="19">
        <f>E21*'Fleet Types'!H32</f>
        <v>3820847.9702782519</v>
      </c>
      <c r="O21" s="19">
        <f>E21*'Fleet Types'!I32*TypeVMT!F21*RideModel!F21*Induced!F21</f>
        <v>58981.184198016177</v>
      </c>
      <c r="P21" s="19">
        <f>E21*'Fleet Types'!J32*TypeVMT!G21*RideModel!G21*Induced!G21</f>
        <v>5577588.0607969426</v>
      </c>
      <c r="Q21" s="19">
        <f>E21*'Fleet Types'!K32*TypeVMT!H21*RideModel!H21*Induced!H21</f>
        <v>1842953.0637925512</v>
      </c>
      <c r="R21" s="19">
        <f t="shared" si="5"/>
        <v>7479522.3087875098</v>
      </c>
      <c r="S21" s="19">
        <f t="shared" si="6"/>
        <v>67264339.464238316</v>
      </c>
    </row>
    <row r="22" spans="1:19" x14ac:dyDescent="0.25">
      <c r="A22">
        <f t="shared" si="7"/>
        <v>19</v>
      </c>
      <c r="B22">
        <f t="shared" si="8"/>
        <v>2036</v>
      </c>
      <c r="C22" s="81">
        <f>C21*(1+City!B$8)</f>
        <v>109816613.40989055</v>
      </c>
      <c r="D22" s="120">
        <f t="shared" si="0"/>
        <v>98834952.068901494</v>
      </c>
      <c r="E22" s="107">
        <f>C22*City!B$7</f>
        <v>10981661.340989055</v>
      </c>
      <c r="F22" s="19">
        <f t="shared" si="1"/>
        <v>116575820.3095578</v>
      </c>
      <c r="G22" s="22">
        <f t="shared" si="2"/>
        <v>104862176.51381212</v>
      </c>
      <c r="H22" s="19">
        <f>D22*'Fleet Types'!C33</f>
        <v>40670622.690664135</v>
      </c>
      <c r="I22" s="19">
        <f>D22*'Fleet Types'!D33*TypeVMT!C22*RideModel!C22*Induced!C22</f>
        <v>1296814.1919492506</v>
      </c>
      <c r="J22" s="19">
        <f>D22*'Fleet Types'!E33*TypeVMT!D22*RideModel!D22*Induced!D22</f>
        <v>42141931.520786427</v>
      </c>
      <c r="K22" s="19">
        <f>D22*'Fleet Types'!F33*TypeVMT!E22*RideModel!E22*Induced!E22</f>
        <v>20752808.110412307</v>
      </c>
      <c r="L22" s="19">
        <f t="shared" si="3"/>
        <v>64191553.823147982</v>
      </c>
      <c r="M22" s="19">
        <f t="shared" si="4"/>
        <v>11713643.795745667</v>
      </c>
      <c r="N22" s="19">
        <f>E22*'Fleet Types'!H33</f>
        <v>3745776.3353457507</v>
      </c>
      <c r="O22" s="19">
        <f>E22*'Fleet Types'!I33*TypeVMT!F22*RideModel!F22*Induced!F22</f>
        <v>35187.906232145731</v>
      </c>
      <c r="P22" s="19">
        <f>E22*'Fleet Types'!J33*TypeVMT!G22*RideModel!G22*Induced!G22</f>
        <v>5579585.6047274284</v>
      </c>
      <c r="Q22" s="19">
        <f>E22*'Fleet Types'!K33*TypeVMT!H22*RideModel!H22*Induced!H22</f>
        <v>2353093.949440341</v>
      </c>
      <c r="R22" s="19">
        <f t="shared" si="5"/>
        <v>7967867.4603999145</v>
      </c>
      <c r="S22" s="19">
        <f t="shared" si="6"/>
        <v>72159421.283547893</v>
      </c>
    </row>
    <row r="23" spans="1:19" x14ac:dyDescent="0.25">
      <c r="A23">
        <f t="shared" si="7"/>
        <v>20</v>
      </c>
      <c r="B23">
        <f t="shared" si="8"/>
        <v>2037</v>
      </c>
      <c r="C23" s="81">
        <f>C22*(1+City!B$8)</f>
        <v>111463862.61103889</v>
      </c>
      <c r="D23" s="120">
        <f t="shared" si="0"/>
        <v>100317476.349935</v>
      </c>
      <c r="E23" s="107">
        <f>C23*City!B$7</f>
        <v>11146386.261103891</v>
      </c>
      <c r="F23" s="19">
        <f t="shared" si="1"/>
        <v>119195525.57472974</v>
      </c>
      <c r="G23" s="22">
        <f t="shared" si="2"/>
        <v>107224200.07318088</v>
      </c>
      <c r="H23" s="19">
        <f>D23*'Fleet Types'!C34</f>
        <v>40255521.20544181</v>
      </c>
      <c r="I23" s="19">
        <f>D23*'Fleet Types'!D34*TypeVMT!C23*RideModel!C23*Induced!C23</f>
        <v>902176.0825929665</v>
      </c>
      <c r="J23" s="19">
        <f>D23*'Fleet Types'!E34*TypeVMT!D23*RideModel!D23*Induced!D23</f>
        <v>41487172.60532476</v>
      </c>
      <c r="K23" s="19">
        <f>D23*'Fleet Types'!F34*TypeVMT!E23*RideModel!E23*Induced!E23</f>
        <v>24579330.179821342</v>
      </c>
      <c r="L23" s="19">
        <f t="shared" si="3"/>
        <v>66968678.867739066</v>
      </c>
      <c r="M23" s="19">
        <f t="shared" si="4"/>
        <v>11971325.50154886</v>
      </c>
      <c r="N23" s="19">
        <f>E23*'Fleet Types'!H34</f>
        <v>3715517.1414864347</v>
      </c>
      <c r="O23" s="19">
        <f>E23*'Fleet Types'!I34*TypeVMT!F23*RideModel!F23*Induced!F23</f>
        <v>20713.583435701097</v>
      </c>
      <c r="P23" s="19">
        <f>E23*'Fleet Types'!J34*TypeVMT!G23*RideModel!G23*Induced!G23</f>
        <v>5499180.2588731935</v>
      </c>
      <c r="Q23" s="19">
        <f>E23*'Fleet Types'!K34*TypeVMT!H23*RideModel!H23*Induced!H23</f>
        <v>2735914.5177535308</v>
      </c>
      <c r="R23" s="19">
        <f t="shared" si="5"/>
        <v>8255808.360062426</v>
      </c>
      <c r="S23" s="19">
        <f t="shared" si="6"/>
        <v>75224487.227801487</v>
      </c>
    </row>
    <row r="24" spans="1:19" x14ac:dyDescent="0.25">
      <c r="A24">
        <f t="shared" si="7"/>
        <v>21</v>
      </c>
      <c r="B24">
        <f t="shared" si="8"/>
        <v>2038</v>
      </c>
      <c r="C24" s="81">
        <f>C23*(1+City!B$8)</f>
        <v>113135820.55020447</v>
      </c>
      <c r="D24" s="120">
        <f t="shared" si="0"/>
        <v>101822238.49518402</v>
      </c>
      <c r="E24" s="107">
        <f>C24*City!B$7</f>
        <v>11313582.055020448</v>
      </c>
      <c r="F24" s="19">
        <f t="shared" si="1"/>
        <v>126277738.59208676</v>
      </c>
      <c r="G24" s="22">
        <f t="shared" si="2"/>
        <v>113608783.51796891</v>
      </c>
      <c r="H24" s="19">
        <f>D24*'Fleet Types'!C35</f>
        <v>40117944.844157025</v>
      </c>
      <c r="I24" s="19">
        <f>D24*'Fleet Types'!D35*TypeVMT!C24*RideModel!C24*Induced!C24</f>
        <v>616794.53537762398</v>
      </c>
      <c r="J24" s="19">
        <f>D24*'Fleet Types'!E35*TypeVMT!D24*RideModel!D24*Induced!D24</f>
        <v>40104182.593951792</v>
      </c>
      <c r="K24" s="19">
        <f>D24*'Fleet Types'!F35*TypeVMT!E24*RideModel!E24*Induced!E24</f>
        <v>32769861.54448247</v>
      </c>
      <c r="L24" s="19">
        <f t="shared" si="3"/>
        <v>73490838.673811883</v>
      </c>
      <c r="M24" s="19">
        <f t="shared" si="4"/>
        <v>12668955.074117862</v>
      </c>
      <c r="N24" s="19">
        <f>E24*'Fleet Types'!H35</f>
        <v>3722477.4777691588</v>
      </c>
      <c r="O24" s="19">
        <f>E24*'Fleet Types'!I35*TypeVMT!F24*RideModel!F24*Induced!F24</f>
        <v>12029.772006644665</v>
      </c>
      <c r="P24" s="19">
        <f>E24*'Fleet Types'!J35*TypeVMT!G24*RideModel!G24*Induced!G24</f>
        <v>5347010.7809250345</v>
      </c>
      <c r="Q24" s="19">
        <f>E24*'Fleet Types'!K35*TypeVMT!H24*RideModel!H24*Induced!H24</f>
        <v>3587437.043417023</v>
      </c>
      <c r="R24" s="19">
        <f t="shared" si="5"/>
        <v>8946477.5963487029</v>
      </c>
      <c r="S24" s="19">
        <f t="shared" si="6"/>
        <v>82437316.270160586</v>
      </c>
    </row>
    <row r="25" spans="1:19" x14ac:dyDescent="0.25">
      <c r="A25">
        <f t="shared" si="7"/>
        <v>22</v>
      </c>
      <c r="B25">
        <f t="shared" si="8"/>
        <v>2039</v>
      </c>
      <c r="C25" s="81">
        <f>C24*(1+City!B$8)</f>
        <v>114832857.85845752</v>
      </c>
      <c r="D25" s="120">
        <f t="shared" si="0"/>
        <v>103349572.07261176</v>
      </c>
      <c r="E25" s="107">
        <f>C25*City!B$7</f>
        <v>11483285.785845753</v>
      </c>
      <c r="F25" s="19">
        <f t="shared" si="1"/>
        <v>129426437.25889677</v>
      </c>
      <c r="G25" s="22">
        <f t="shared" si="2"/>
        <v>116459650.79639132</v>
      </c>
      <c r="H25" s="19">
        <f>D25*'Fleet Types'!C36</f>
        <v>40333572.736798137</v>
      </c>
      <c r="I25" s="19">
        <f>D25*'Fleet Types'!D36*TypeVMT!C25*RideModel!C25*Induced!C25</f>
        <v>409421.61458743981</v>
      </c>
      <c r="J25" s="19">
        <f>D25*'Fleet Types'!E36*TypeVMT!D25*RideModel!D25*Induced!D25</f>
        <v>37751581.655043416</v>
      </c>
      <c r="K25" s="19">
        <f>D25*'Fleet Types'!F36*TypeVMT!E25*RideModel!E25*Induced!E25</f>
        <v>37965074.789962336</v>
      </c>
      <c r="L25" s="19">
        <f t="shared" si="3"/>
        <v>76126078.059593201</v>
      </c>
      <c r="M25" s="19">
        <f t="shared" si="4"/>
        <v>12966786.462505445</v>
      </c>
      <c r="N25" s="19">
        <f>E25*'Fleet Types'!H36</f>
        <v>3773989.4307833444</v>
      </c>
      <c r="O25" s="19">
        <f>E25*'Fleet Types'!I36*TypeVMT!F25*RideModel!F25*Induced!F25</f>
        <v>6889.4506323155556</v>
      </c>
      <c r="P25" s="19">
        <f>E25*'Fleet Types'!J36*TypeVMT!G25*RideModel!G25*Induced!G25</f>
        <v>5091576.2085330132</v>
      </c>
      <c r="Q25" s="19">
        <f>E25*'Fleet Types'!K36*TypeVMT!H25*RideModel!H25*Induced!H25</f>
        <v>4094331.372556773</v>
      </c>
      <c r="R25" s="19">
        <f t="shared" si="5"/>
        <v>9192797.0317221023</v>
      </c>
      <c r="S25" s="19">
        <f t="shared" si="6"/>
        <v>85318875.091315299</v>
      </c>
    </row>
    <row r="26" spans="1:19" x14ac:dyDescent="0.25">
      <c r="A26">
        <f t="shared" si="7"/>
        <v>23</v>
      </c>
      <c r="B26">
        <f t="shared" si="8"/>
        <v>2040</v>
      </c>
      <c r="C26" s="81">
        <f>C25*(1+City!B$8)</f>
        <v>116555350.72633438</v>
      </c>
      <c r="D26" s="120">
        <f t="shared" si="0"/>
        <v>104899815.65370095</v>
      </c>
      <c r="E26" s="107">
        <f>C26*City!B$7</f>
        <v>11655535.072633438</v>
      </c>
      <c r="F26" s="19">
        <f t="shared" si="1"/>
        <v>132731229.08760968</v>
      </c>
      <c r="G26" s="22">
        <f t="shared" si="2"/>
        <v>119452903.78123048</v>
      </c>
      <c r="H26" s="19">
        <f>D26*'Fleet Types'!C37</f>
        <v>40641012.756731249</v>
      </c>
      <c r="I26" s="19">
        <f>D26*'Fleet Types'!D37*TypeVMT!C26*RideModel!C26*Induced!C26</f>
        <v>261063.97660630071</v>
      </c>
      <c r="J26" s="19">
        <f>D26*'Fleet Types'!E37*TypeVMT!D26*RideModel!D26*Induced!D26</f>
        <v>34867286.005546845</v>
      </c>
      <c r="K26" s="19">
        <f>D26*'Fleet Types'!F37*TypeVMT!E26*RideModel!E26*Induced!E26</f>
        <v>43683541.042346083</v>
      </c>
      <c r="L26" s="19">
        <f t="shared" si="3"/>
        <v>78811891.024499238</v>
      </c>
      <c r="M26" s="19">
        <f t="shared" si="4"/>
        <v>13278325.306379203</v>
      </c>
      <c r="N26" s="19">
        <f>E26*'Fleet Types'!H37</f>
        <v>3834728.4763959586</v>
      </c>
      <c r="O26" s="19">
        <f>E26*'Fleet Types'!I37*TypeVMT!F26*RideModel!F26*Induced!F26</f>
        <v>3890.6142724202368</v>
      </c>
      <c r="P26" s="19">
        <f>E26*'Fleet Types'!J37*TypeVMT!G26*RideModel!G26*Induced!G26</f>
        <v>4791670.0286780065</v>
      </c>
      <c r="Q26" s="19">
        <f>E26*'Fleet Types'!K37*TypeVMT!H26*RideModel!H26*Induced!H26</f>
        <v>4648036.1870328169</v>
      </c>
      <c r="R26" s="19">
        <f t="shared" si="5"/>
        <v>9443596.8299832437</v>
      </c>
      <c r="S26" s="19">
        <f t="shared" si="6"/>
        <v>88255487.854482487</v>
      </c>
    </row>
    <row r="27" spans="1:19" x14ac:dyDescent="0.25">
      <c r="A27">
        <f t="shared" si="7"/>
        <v>24</v>
      </c>
      <c r="B27">
        <f t="shared" si="8"/>
        <v>2041</v>
      </c>
      <c r="C27" s="81">
        <f>C26*(1+City!B$8)</f>
        <v>118303680.98722938</v>
      </c>
      <c r="D27" s="120">
        <f t="shared" si="0"/>
        <v>106473312.88850644</v>
      </c>
      <c r="E27" s="107">
        <f>C27*City!B$7</f>
        <v>11830368.098722938</v>
      </c>
      <c r="F27" s="19">
        <f t="shared" si="1"/>
        <v>136122302.54169616</v>
      </c>
      <c r="G27" s="22">
        <f t="shared" si="2"/>
        <v>122525963.6548434</v>
      </c>
      <c r="H27" s="19">
        <f>D27*'Fleet Types'!C38</f>
        <v>40941410.400330245</v>
      </c>
      <c r="I27" s="19">
        <f>D27*'Fleet Types'!D38*TypeVMT!C27*RideModel!C27*Induced!C27</f>
        <v>158459.05927122355</v>
      </c>
      <c r="J27" s="19">
        <f>D27*'Fleet Types'!E38*TypeVMT!D27*RideModel!D27*Induced!D27</f>
        <v>31547687.168750472</v>
      </c>
      <c r="K27" s="19">
        <f>D27*'Fleet Types'!F38*TypeVMT!E27*RideModel!E27*Induced!E27</f>
        <v>49878407.026491463</v>
      </c>
      <c r="L27" s="19">
        <f t="shared" si="3"/>
        <v>81584553.254513159</v>
      </c>
      <c r="M27" s="19">
        <f t="shared" si="4"/>
        <v>13596338.886852752</v>
      </c>
      <c r="N27" s="19">
        <f>E27*'Fleet Types'!H38</f>
        <v>3892474.2287505637</v>
      </c>
      <c r="O27" s="19">
        <f>E27*'Fleet Types'!I38*TypeVMT!F27*RideModel!F27*Induced!F27</f>
        <v>2166.7273769620915</v>
      </c>
      <c r="P27" s="19">
        <f>E27*'Fleet Types'!J38*TypeVMT!G27*RideModel!G27*Induced!G27</f>
        <v>4457668.1354581146</v>
      </c>
      <c r="Q27" s="19">
        <f>E27*'Fleet Types'!K38*TypeVMT!H27*RideModel!H27*Induced!H27</f>
        <v>5244029.7952671116</v>
      </c>
      <c r="R27" s="19">
        <f t="shared" si="5"/>
        <v>9703864.6581021883</v>
      </c>
      <c r="S27" s="19">
        <f t="shared" si="6"/>
        <v>91288417.912615344</v>
      </c>
    </row>
    <row r="28" spans="1:19" x14ac:dyDescent="0.25">
      <c r="A28">
        <f t="shared" si="7"/>
        <v>25</v>
      </c>
      <c r="B28">
        <f t="shared" si="8"/>
        <v>2042</v>
      </c>
      <c r="C28" s="81">
        <f>C27*(1+City!B$8)</f>
        <v>120078236.20203781</v>
      </c>
      <c r="D28" s="120">
        <f t="shared" si="0"/>
        <v>108070412.58183403</v>
      </c>
      <c r="E28" s="107">
        <f>C28*City!B$7</f>
        <v>12007823.620203782</v>
      </c>
      <c r="F28" s="19">
        <f t="shared" si="1"/>
        <v>139668987.57171446</v>
      </c>
      <c r="G28" s="22">
        <f t="shared" si="2"/>
        <v>125740668.01068375</v>
      </c>
      <c r="H28" s="19">
        <f>D28*'Fleet Types'!C39</f>
        <v>41134090.3617405</v>
      </c>
      <c r="I28" s="19">
        <f>D28*'Fleet Types'!D39*TypeVMT!C28*RideModel!C28*Induced!C28</f>
        <v>90886.410400655877</v>
      </c>
      <c r="J28" s="19">
        <f>D28*'Fleet Types'!E39*TypeVMT!D28*RideModel!D28*Induced!D28</f>
        <v>27948664.135959025</v>
      </c>
      <c r="K28" s="19">
        <f>D28*'Fleet Types'!F39*TypeVMT!E28*RideModel!E28*Induced!E28</f>
        <v>56567027.102583565</v>
      </c>
      <c r="L28" s="19">
        <f t="shared" si="3"/>
        <v>84606577.648943245</v>
      </c>
      <c r="M28" s="19">
        <f t="shared" si="4"/>
        <v>13928319.561030705</v>
      </c>
      <c r="N28" s="19">
        <f>E28*'Fleet Types'!H39</f>
        <v>3936568.898912922</v>
      </c>
      <c r="O28" s="19">
        <f>E28*'Fleet Types'!I39*TypeVMT!F28*RideModel!F28*Induced!F28</f>
        <v>1190.3219680140876</v>
      </c>
      <c r="P28" s="19">
        <f>E28*'Fleet Types'!J39*TypeVMT!G28*RideModel!G28*Induced!G28</f>
        <v>4105261.0581948757</v>
      </c>
      <c r="Q28" s="19">
        <f>E28*'Fleet Types'!K39*TypeVMT!H28*RideModel!H28*Induced!H28</f>
        <v>5885299.281954892</v>
      </c>
      <c r="R28" s="19">
        <f t="shared" si="5"/>
        <v>9991750.6621177811</v>
      </c>
      <c r="S28" s="19">
        <f t="shared" si="6"/>
        <v>94598328.311061025</v>
      </c>
    </row>
    <row r="29" spans="1:19" x14ac:dyDescent="0.25">
      <c r="A29">
        <f t="shared" si="7"/>
        <v>26</v>
      </c>
      <c r="B29">
        <f t="shared" si="8"/>
        <v>2043</v>
      </c>
      <c r="C29" s="81">
        <f>C28*(1+City!B$8)</f>
        <v>121879409.74506837</v>
      </c>
      <c r="D29" s="120">
        <f t="shared" si="0"/>
        <v>109691468.77056153</v>
      </c>
      <c r="E29" s="107">
        <f>C29*City!B$7</f>
        <v>12187940.974506838</v>
      </c>
      <c r="F29" s="19">
        <f t="shared" si="1"/>
        <v>143372656.25024182</v>
      </c>
      <c r="G29" s="22">
        <f t="shared" si="2"/>
        <v>129098072.3336592</v>
      </c>
      <c r="H29" s="19">
        <f>D29*'Fleet Types'!C40</f>
        <v>41120034.077012941</v>
      </c>
      <c r="I29" s="19">
        <f>D29*'Fleet Types'!D40*TypeVMT!C29*RideModel!C29*Induced!C29</f>
        <v>48980.820759494607</v>
      </c>
      <c r="J29" s="19">
        <f>D29*'Fleet Types'!E40*TypeVMT!D29*RideModel!D29*Induced!D29</f>
        <v>24212451.244403291</v>
      </c>
      <c r="K29" s="19">
        <f>D29*'Fleet Types'!F40*TypeVMT!E29*RideModel!E29*Induced!E29</f>
        <v>63716606.19148346</v>
      </c>
      <c r="L29" s="19">
        <f t="shared" si="3"/>
        <v>87978038.256646246</v>
      </c>
      <c r="M29" s="19">
        <f t="shared" si="4"/>
        <v>14274583.916582629</v>
      </c>
      <c r="N29" s="19">
        <f>E29*'Fleet Types'!H40</f>
        <v>3958417.8405065653</v>
      </c>
      <c r="O29" s="19">
        <f>E29*'Fleet Types'!I40*TypeVMT!F29*RideModel!F29*Induced!F29</f>
        <v>645.3027740874337</v>
      </c>
      <c r="P29" s="19">
        <f>E29*'Fleet Types'!J40*TypeVMT!G29*RideModel!G29*Induced!G29</f>
        <v>3745379.0467889602</v>
      </c>
      <c r="Q29" s="19">
        <f>E29*'Fleet Types'!K40*TypeVMT!H29*RideModel!H29*Induced!H29</f>
        <v>6570141.726513017</v>
      </c>
      <c r="R29" s="19">
        <f t="shared" si="5"/>
        <v>10316166.076076064</v>
      </c>
      <c r="S29" s="19">
        <f t="shared" si="6"/>
        <v>98294204.332722306</v>
      </c>
    </row>
    <row r="30" spans="1:19" x14ac:dyDescent="0.25">
      <c r="A30">
        <f t="shared" si="7"/>
        <v>27</v>
      </c>
      <c r="B30">
        <f t="shared" si="8"/>
        <v>2044</v>
      </c>
      <c r="C30" s="81">
        <f>C29*(1+City!B$8)</f>
        <v>123707600.89124438</v>
      </c>
      <c r="D30" s="120">
        <f t="shared" si="0"/>
        <v>111336840.80211994</v>
      </c>
      <c r="E30" s="107">
        <f>C30*City!B$7</f>
        <v>12370760.089124439</v>
      </c>
      <c r="F30" s="19">
        <f t="shared" si="1"/>
        <v>147229790.34182781</v>
      </c>
      <c r="G30" s="22">
        <f t="shared" si="2"/>
        <v>132594789.35372376</v>
      </c>
      <c r="H30" s="19">
        <f>D30*'Fleet Types'!C41</f>
        <v>40806338.670248188</v>
      </c>
      <c r="I30" s="19">
        <f>D30*'Fleet Types'!D41*TypeVMT!C30*RideModel!C30*Induced!C30</f>
        <v>24699.122357189226</v>
      </c>
      <c r="J30" s="19">
        <f>D30*'Fleet Types'!E41*TypeVMT!D30*RideModel!D30*Induced!D30</f>
        <v>20486633.912854668</v>
      </c>
      <c r="K30" s="19">
        <f>D30*'Fleet Types'!F41*TypeVMT!E30*RideModel!E30*Induced!E30</f>
        <v>71277117.648263723</v>
      </c>
      <c r="L30" s="19">
        <f t="shared" si="3"/>
        <v>91788450.683475584</v>
      </c>
      <c r="M30" s="19">
        <f t="shared" si="4"/>
        <v>14635000.988104038</v>
      </c>
      <c r="N30" s="19">
        <f>E30*'Fleet Types'!H41</f>
        <v>3951744.8514816565</v>
      </c>
      <c r="O30" s="19">
        <f>E30*'Fleet Types'!I41*TypeVMT!F30*RideModel!F30*Induced!F30</f>
        <v>345.36817893546691</v>
      </c>
      <c r="P30" s="19">
        <f>E30*'Fleet Types'!J41*TypeVMT!G30*RideModel!G30*Induced!G30</f>
        <v>3387239.3256981228</v>
      </c>
      <c r="Q30" s="19">
        <f>E30*'Fleet Types'!K41*TypeVMT!H30*RideModel!H30*Induced!H30</f>
        <v>7295671.4427453224</v>
      </c>
      <c r="R30" s="19">
        <f t="shared" si="5"/>
        <v>10683256.13662238</v>
      </c>
      <c r="S30" s="19">
        <f t="shared" si="6"/>
        <v>102471706.82009797</v>
      </c>
    </row>
    <row r="31" spans="1:19" x14ac:dyDescent="0.25">
      <c r="A31">
        <f t="shared" si="7"/>
        <v>28</v>
      </c>
      <c r="B31">
        <f t="shared" si="8"/>
        <v>2045</v>
      </c>
      <c r="C31" s="81">
        <f>C30*(1+City!B$8)</f>
        <v>125563214.90461303</v>
      </c>
      <c r="D31" s="120">
        <f t="shared" si="0"/>
        <v>113006893.41415173</v>
      </c>
      <c r="E31" s="107">
        <f>C31*City!B$7</f>
        <v>12556321.490461305</v>
      </c>
      <c r="F31" s="19">
        <f t="shared" si="1"/>
        <v>151231807.22243711</v>
      </c>
      <c r="G31" s="22">
        <f t="shared" si="2"/>
        <v>136222807.30592585</v>
      </c>
      <c r="H31" s="19">
        <f>D31*'Fleet Types'!C42</f>
        <v>40113425.654581159</v>
      </c>
      <c r="I31" s="19">
        <f>D31*'Fleet Types'!D42*TypeVMT!C31*RideModel!C31*Induced!C31</f>
        <v>11622.899708157494</v>
      </c>
      <c r="J31" s="19">
        <f>D31*'Fleet Types'!E42*TypeVMT!D31*RideModel!D31*Induced!D31</f>
        <v>16914798.912520874</v>
      </c>
      <c r="K31" s="19">
        <f>D31*'Fleet Types'!F42*TypeVMT!E31*RideModel!E31*Induced!E31</f>
        <v>79182959.839115664</v>
      </c>
      <c r="L31" s="19">
        <f t="shared" si="3"/>
        <v>96109381.651344702</v>
      </c>
      <c r="M31" s="19">
        <f t="shared" si="4"/>
        <v>15008999.916511279</v>
      </c>
      <c r="N31" s="19">
        <f>E31*'Fleet Types'!H42</f>
        <v>3912638.7758649257</v>
      </c>
      <c r="O31" s="19">
        <f>E31*'Fleet Types'!I42*TypeVMT!F31*RideModel!F31*Induced!F31</f>
        <v>182.55962369335839</v>
      </c>
      <c r="P31" s="19">
        <f>E31*'Fleet Types'!J42*TypeVMT!G31*RideModel!G31*Induced!G31</f>
        <v>3038328.8892418882</v>
      </c>
      <c r="Q31" s="19">
        <f>E31*'Fleet Types'!K42*TypeVMT!H31*RideModel!H31*Induced!H31</f>
        <v>8057849.6917807711</v>
      </c>
      <c r="R31" s="19">
        <f t="shared" si="5"/>
        <v>11096361.140646353</v>
      </c>
      <c r="S31" s="19">
        <f t="shared" si="6"/>
        <v>107205742.79199106</v>
      </c>
    </row>
    <row r="32" spans="1:19" x14ac:dyDescent="0.25">
      <c r="A32">
        <f t="shared" si="7"/>
        <v>29</v>
      </c>
      <c r="B32">
        <f t="shared" si="8"/>
        <v>2046</v>
      </c>
      <c r="C32" s="81">
        <f>C31*(1+City!B$8)</f>
        <v>127446663.12818222</v>
      </c>
      <c r="D32" s="120">
        <f t="shared" si="0"/>
        <v>114701996.815364</v>
      </c>
      <c r="E32" s="107">
        <f>C32*City!B$7</f>
        <v>12744666.312818222</v>
      </c>
      <c r="F32" s="19">
        <f t="shared" si="1"/>
        <v>155365168.2541126</v>
      </c>
      <c r="G32" s="22">
        <f t="shared" si="2"/>
        <v>139969557.3965326</v>
      </c>
      <c r="H32" s="19">
        <f>D32*'Fleet Types'!C43</f>
        <v>38984627.850333542</v>
      </c>
      <c r="I32" s="19">
        <f>D32*'Fleet Types'!D43*TypeVMT!C32*RideModel!C32*Induced!C32</f>
        <v>5099.9490393635433</v>
      </c>
      <c r="J32" s="19">
        <f>D32*'Fleet Types'!E43*TypeVMT!D32*RideModel!D32*Induced!D32</f>
        <v>13623397.948848598</v>
      </c>
      <c r="K32" s="19">
        <f>D32*'Fleet Types'!F43*TypeVMT!E32*RideModel!E32*Induced!E32</f>
        <v>87356431.648311108</v>
      </c>
      <c r="L32" s="19">
        <f t="shared" si="3"/>
        <v>100984929.54619907</v>
      </c>
      <c r="M32" s="19">
        <f t="shared" si="4"/>
        <v>15395610.857580008</v>
      </c>
      <c r="N32" s="19">
        <f>E32*'Fleet Types'!H43</f>
        <v>3839427.3441501213</v>
      </c>
      <c r="O32" s="19">
        <f>E32*'Fleet Types'!I43*TypeVMT!F32*RideModel!F32*Induced!F32</f>
        <v>95.349803280585007</v>
      </c>
      <c r="P32" s="19">
        <f>E32*'Fleet Types'!J43*TypeVMT!G32*RideModel!G32*Induced!G32</f>
        <v>2704475.2839541682</v>
      </c>
      <c r="Q32" s="19">
        <f>E32*'Fleet Types'!K43*TypeVMT!H32*RideModel!H32*Induced!H32</f>
        <v>8851612.8796724379</v>
      </c>
      <c r="R32" s="19">
        <f t="shared" si="5"/>
        <v>11556183.513429888</v>
      </c>
      <c r="S32" s="19">
        <f t="shared" si="6"/>
        <v>112541113.05962896</v>
      </c>
    </row>
    <row r="33" spans="1:19" x14ac:dyDescent="0.25">
      <c r="A33">
        <f t="shared" si="7"/>
        <v>30</v>
      </c>
      <c r="B33">
        <f t="shared" si="8"/>
        <v>2047</v>
      </c>
      <c r="C33" s="81">
        <f>C32*(1+City!B$8)</f>
        <v>129358363.07510494</v>
      </c>
      <c r="D33" s="120">
        <f t="shared" si="0"/>
        <v>116422526.76759444</v>
      </c>
      <c r="E33" s="107">
        <f>C33*City!B$7</f>
        <v>12935836.307510495</v>
      </c>
      <c r="F33" s="19">
        <f t="shared" si="1"/>
        <v>159611896.51315287</v>
      </c>
      <c r="G33" s="22">
        <f t="shared" si="2"/>
        <v>143818360.4693386</v>
      </c>
      <c r="H33" s="19">
        <f>D33*'Fleet Types'!C44</f>
        <v>37395435.14301376</v>
      </c>
      <c r="I33" s="19">
        <f>D33*'Fleet Types'!D44*TypeVMT!C33*RideModel!C33*Induced!C33</f>
        <v>2089.5600517113648</v>
      </c>
      <c r="J33" s="19">
        <f>D33*'Fleet Types'!E44*TypeVMT!D33*RideModel!D33*Induced!D33</f>
        <v>10708169.351564901</v>
      </c>
      <c r="K33" s="19">
        <f>D33*'Fleet Types'!F44*TypeVMT!E33*RideModel!E33*Induced!E33</f>
        <v>95712666.414708227</v>
      </c>
      <c r="L33" s="19">
        <f t="shared" si="3"/>
        <v>106422925.32632484</v>
      </c>
      <c r="M33" s="19">
        <f t="shared" si="4"/>
        <v>15793536.04381427</v>
      </c>
      <c r="N33" s="19">
        <f>E33*'Fleet Types'!H44</f>
        <v>3732416.1270073974</v>
      </c>
      <c r="O33" s="19">
        <f>E33*'Fleet Types'!I44*TypeVMT!F33*RideModel!F33*Induced!F33</f>
        <v>49.230422915145169</v>
      </c>
      <c r="P33" s="19">
        <f>E33*'Fleet Types'!J44*TypeVMT!G33*RideModel!G33*Induced!G33</f>
        <v>2389975.4845103179</v>
      </c>
      <c r="Q33" s="19">
        <f>E33*'Fleet Types'!K44*TypeVMT!H33*RideModel!H33*Induced!H33</f>
        <v>9671095.2018736396</v>
      </c>
      <c r="R33" s="19">
        <f t="shared" si="5"/>
        <v>12061119.916806873</v>
      </c>
      <c r="S33" s="19">
        <f t="shared" si="6"/>
        <v>118484045.24313171</v>
      </c>
    </row>
    <row r="34" spans="1:19" x14ac:dyDescent="0.25">
      <c r="A34">
        <f t="shared" si="7"/>
        <v>31</v>
      </c>
      <c r="B34">
        <f t="shared" si="8"/>
        <v>2048</v>
      </c>
      <c r="C34" s="81">
        <f>C33*(1+City!B$8)</f>
        <v>131298738.5212315</v>
      </c>
      <c r="D34" s="120">
        <f t="shared" si="0"/>
        <v>118168864.66910835</v>
      </c>
      <c r="E34" s="107">
        <f>C34*City!B$7</f>
        <v>13129873.852123151</v>
      </c>
      <c r="F34" s="19">
        <f t="shared" si="1"/>
        <v>163950611.41405526</v>
      </c>
      <c r="G34" s="22">
        <f t="shared" si="2"/>
        <v>147749367.52525932</v>
      </c>
      <c r="H34" s="19">
        <f>D34*'Fleet Types'!C45</f>
        <v>35358617.592367075</v>
      </c>
      <c r="I34" s="19">
        <f>D34*'Fleet Types'!D45*TypeVMT!C34*RideModel!C34*Induced!C34</f>
        <v>802.6524580113645</v>
      </c>
      <c r="J34" s="19">
        <f>D34*'Fleet Types'!E45*TypeVMT!D34*RideModel!D34*Induced!D34</f>
        <v>8224612.4020051872</v>
      </c>
      <c r="K34" s="19">
        <f>D34*'Fleet Types'!F45*TypeVMT!E34*RideModel!E34*Induced!E34</f>
        <v>104165334.87842903</v>
      </c>
      <c r="L34" s="19">
        <f t="shared" si="3"/>
        <v>112390749.93289222</v>
      </c>
      <c r="M34" s="19">
        <f t="shared" si="4"/>
        <v>16201243.888795935</v>
      </c>
      <c r="N34" s="19">
        <f>E34*'Fleet Types'!H45</f>
        <v>3593533.4906659983</v>
      </c>
      <c r="O34" s="19">
        <f>E34*'Fleet Types'!I45*TypeVMT!F34*RideModel!F34*Induced!F34</f>
        <v>25.141080997325968</v>
      </c>
      <c r="P34" s="19">
        <f>E34*'Fleet Types'!J45*TypeVMT!G34*RideModel!G34*Induced!G34</f>
        <v>2097759.4819737501</v>
      </c>
      <c r="Q34" s="19">
        <f>E34*'Fleet Types'!K45*TypeVMT!H34*RideModel!H34*Induced!H34</f>
        <v>10509925.77507519</v>
      </c>
      <c r="R34" s="19">
        <f t="shared" si="5"/>
        <v>12607710.398129936</v>
      </c>
      <c r="S34" s="19">
        <f t="shared" si="6"/>
        <v>124998460.33102216</v>
      </c>
    </row>
    <row r="35" spans="1:19" x14ac:dyDescent="0.25">
      <c r="A35">
        <f t="shared" si="7"/>
        <v>32</v>
      </c>
      <c r="B35">
        <f t="shared" si="8"/>
        <v>2049</v>
      </c>
      <c r="C35" s="81">
        <f>C34*(1+City!B$8)</f>
        <v>133268219.59904996</v>
      </c>
      <c r="D35" s="120">
        <f t="shared" si="0"/>
        <v>119941397.63914496</v>
      </c>
      <c r="E35" s="107">
        <f>C35*City!B$7</f>
        <v>13326821.959904997</v>
      </c>
      <c r="F35" s="19">
        <f t="shared" si="1"/>
        <v>168358061.58707049</v>
      </c>
      <c r="G35" s="22">
        <f t="shared" si="2"/>
        <v>151740985.8203845</v>
      </c>
      <c r="H35" s="19">
        <f>D35*'Fleet Types'!C46</f>
        <v>32922543.200641129</v>
      </c>
      <c r="I35" s="19">
        <f>D35*'Fleet Types'!D46*TypeVMT!C35*RideModel!C35*Induced!C35</f>
        <v>290.98498079340652</v>
      </c>
      <c r="J35" s="19">
        <f>D35*'Fleet Types'!E46*TypeVMT!D35*RideModel!D35*Induced!D35</f>
        <v>6185887.1145517016</v>
      </c>
      <c r="K35" s="19">
        <f>D35*'Fleet Types'!F46*TypeVMT!E35*RideModel!E35*Induced!E35</f>
        <v>112632264.52021089</v>
      </c>
      <c r="L35" s="19">
        <f t="shared" si="3"/>
        <v>118818442.61974339</v>
      </c>
      <c r="M35" s="19">
        <f t="shared" si="4"/>
        <v>16617075.766685985</v>
      </c>
      <c r="N35" s="19">
        <f>E35*'Fleet Types'!H46</f>
        <v>3425924.4140874767</v>
      </c>
      <c r="O35" s="19">
        <f>E35*'Fleet Types'!I46*TypeVMT!F35*RideModel!F35*Induced!F35</f>
        <v>12.707274992810527</v>
      </c>
      <c r="P35" s="19">
        <f>E35*'Fleet Types'!J46*TypeVMT!G35*RideModel!G35*Induced!G35</f>
        <v>1829571.5307973702</v>
      </c>
      <c r="Q35" s="19">
        <f>E35*'Fleet Types'!K46*TypeVMT!H35*RideModel!H35*Induced!H35</f>
        <v>11361567.114526145</v>
      </c>
      <c r="R35" s="19">
        <f t="shared" si="5"/>
        <v>13191151.352598509</v>
      </c>
      <c r="S35" s="19">
        <f t="shared" si="6"/>
        <v>132009593.9723419</v>
      </c>
    </row>
    <row r="36" spans="1:19" x14ac:dyDescent="0.25">
      <c r="A36">
        <f t="shared" si="7"/>
        <v>33</v>
      </c>
      <c r="B36">
        <f t="shared" si="8"/>
        <v>2050</v>
      </c>
      <c r="C36" s="81">
        <f>C35*(1+City!B$8)</f>
        <v>135267242.89303568</v>
      </c>
      <c r="D36" s="120">
        <f t="shared" si="0"/>
        <v>121740518.60373211</v>
      </c>
      <c r="E36" s="107">
        <f>C36*City!B$7</f>
        <v>13526724.289303569</v>
      </c>
      <c r="F36" s="19">
        <f t="shared" si="1"/>
        <v>172810953.37454578</v>
      </c>
      <c r="G36" s="22">
        <f t="shared" si="2"/>
        <v>155771599.81634536</v>
      </c>
      <c r="H36" s="19">
        <f>D36*'Fleet Types'!C47</f>
        <v>30162714.655934375</v>
      </c>
      <c r="I36" s="19">
        <f>D36*'Fleet Types'!D47*TypeVMT!C36*RideModel!C36*Induced!C36</f>
        <v>100.45017434487561</v>
      </c>
      <c r="J36" s="19">
        <f>D36*'Fleet Types'!E47*TypeVMT!D36*RideModel!D36*Induced!D36</f>
        <v>4568603.7431760337</v>
      </c>
      <c r="K36" s="19">
        <f>D36*'Fleet Types'!F47*TypeVMT!E36*RideModel!E36*Induced!E36</f>
        <v>121040180.96706061</v>
      </c>
      <c r="L36" s="19">
        <f t="shared" si="3"/>
        <v>125608885.16041099</v>
      </c>
      <c r="M36" s="19">
        <f t="shared" si="4"/>
        <v>17039353.558200415</v>
      </c>
      <c r="N36" s="19">
        <f>E36*'Fleet Types'!H47</f>
        <v>3233534.9693262237</v>
      </c>
      <c r="O36" s="19">
        <f>E36*'Fleet Types'!I47*TypeVMT!F36*RideModel!F36*Induced!F36</f>
        <v>6.3616321347108746</v>
      </c>
      <c r="P36" s="19">
        <f>E36*'Fleet Types'!J47*TypeVMT!G36*RideModel!G36*Induced!G36</f>
        <v>1586157.1740201446</v>
      </c>
      <c r="Q36" s="19">
        <f>E36*'Fleet Types'!K47*TypeVMT!H36*RideModel!H36*Induced!H36</f>
        <v>12219655.053221913</v>
      </c>
      <c r="R36" s="19">
        <f t="shared" si="5"/>
        <v>13805818.588874193</v>
      </c>
      <c r="S36" s="19">
        <f t="shared" si="6"/>
        <v>139414703.74928519</v>
      </c>
    </row>
    <row r="37" spans="1:19" x14ac:dyDescent="0.25">
      <c r="A37">
        <f t="shared" si="7"/>
        <v>34</v>
      </c>
      <c r="B37">
        <f t="shared" si="8"/>
        <v>2051</v>
      </c>
      <c r="C37" s="81">
        <f>C36*(1+City!B$8)</f>
        <v>137296251.53643119</v>
      </c>
      <c r="D37" s="120">
        <f t="shared" si="0"/>
        <v>123566626.38278808</v>
      </c>
      <c r="E37" s="107">
        <f>C37*City!B$7</f>
        <v>13729625.15364312</v>
      </c>
      <c r="F37" s="19">
        <f t="shared" si="1"/>
        <v>177246850.8062903</v>
      </c>
      <c r="G37" s="22">
        <f t="shared" si="2"/>
        <v>159784325.04303944</v>
      </c>
      <c r="H37" s="19">
        <f>D37*'Fleet Types'!C48</f>
        <v>27260139.076454062</v>
      </c>
      <c r="I37" s="19">
        <f>D37*'Fleet Types'!D48*TypeVMT!C37*RideModel!C37*Induced!C37</f>
        <v>33.750195553059847</v>
      </c>
      <c r="J37" s="19">
        <f>D37*'Fleet Types'!E48*TypeVMT!D37*RideModel!D37*Induced!D37</f>
        <v>3330264.4256378473</v>
      </c>
      <c r="K37" s="19">
        <f>D37*'Fleet Types'!F48*TypeVMT!E37*RideModel!E37*Induced!E37</f>
        <v>129193887.79075199</v>
      </c>
      <c r="L37" s="19">
        <f t="shared" si="3"/>
        <v>132524185.9665854</v>
      </c>
      <c r="M37" s="19">
        <f t="shared" si="4"/>
        <v>17462525.763250858</v>
      </c>
      <c r="N37" s="19">
        <f>E37*'Fleet Types'!H48</f>
        <v>3032853.2702777237</v>
      </c>
      <c r="O37" s="19">
        <f>E37*'Fleet Types'!I48*TypeVMT!F37*RideModel!F37*Induced!F37</f>
        <v>3.1590480212222185</v>
      </c>
      <c r="P37" s="19">
        <f>E37*'Fleet Types'!J48*TypeVMT!G37*RideModel!G37*Induced!G37</f>
        <v>1364932.3921529637</v>
      </c>
      <c r="Q37" s="19">
        <f>E37*'Fleet Types'!K48*TypeVMT!H37*RideModel!H37*Induced!H37</f>
        <v>13064736.941772148</v>
      </c>
      <c r="R37" s="19">
        <f t="shared" si="5"/>
        <v>14429672.492973134</v>
      </c>
      <c r="S37" s="19">
        <f t="shared" si="6"/>
        <v>146953858.45955855</v>
      </c>
    </row>
    <row r="38" spans="1:19" x14ac:dyDescent="0.25">
      <c r="A38">
        <f t="shared" si="7"/>
        <v>35</v>
      </c>
      <c r="B38">
        <f t="shared" si="8"/>
        <v>2052</v>
      </c>
      <c r="C38" s="81">
        <f>C37*(1+City!B$8)</f>
        <v>139355695.30947766</v>
      </c>
      <c r="D38" s="120">
        <f t="shared" si="0"/>
        <v>125420125.77852988</v>
      </c>
      <c r="E38" s="107">
        <f>C38*City!B$7</f>
        <v>13935569.530947767</v>
      </c>
      <c r="F38" s="19">
        <f t="shared" si="1"/>
        <v>181654283.43604121</v>
      </c>
      <c r="G38" s="22">
        <f t="shared" si="2"/>
        <v>163768388.73409972</v>
      </c>
      <c r="H38" s="19">
        <f>D38*'Fleet Types'!C49</f>
        <v>24293002.012962315</v>
      </c>
      <c r="I38" s="19">
        <f>D38*'Fleet Types'!D49*TypeVMT!C38*RideModel!C38*Induced!C38</f>
        <v>11.175416584017684</v>
      </c>
      <c r="J38" s="19">
        <f>D38*'Fleet Types'!E49*TypeVMT!D38*RideModel!D38*Induced!D38</f>
        <v>2406234.860150265</v>
      </c>
      <c r="K38" s="19">
        <f>D38*'Fleet Types'!F49*TypeVMT!E38*RideModel!E38*Induced!E38</f>
        <v>137069140.68557054</v>
      </c>
      <c r="L38" s="19">
        <f t="shared" si="3"/>
        <v>139475386.72113737</v>
      </c>
      <c r="M38" s="19">
        <f t="shared" si="4"/>
        <v>17885894.701941483</v>
      </c>
      <c r="N38" s="19">
        <f>E38*'Fleet Types'!H49</f>
        <v>2824979.5209339052</v>
      </c>
      <c r="O38" s="19">
        <f>E38*'Fleet Types'!I49*TypeVMT!F38*RideModel!F38*Induced!F38</f>
        <v>1.5578150897306107</v>
      </c>
      <c r="P38" s="19">
        <f>E38*'Fleet Types'!J49*TypeVMT!G38*RideModel!G38*Induced!G38</f>
        <v>1167050.1980888236</v>
      </c>
      <c r="Q38" s="19">
        <f>E38*'Fleet Types'!K49*TypeVMT!H38*RideModel!H38*Induced!H38</f>
        <v>13893863.425103666</v>
      </c>
      <c r="R38" s="19">
        <f t="shared" si="5"/>
        <v>15060915.181007579</v>
      </c>
      <c r="S38" s="19">
        <f t="shared" si="6"/>
        <v>154536301.90214497</v>
      </c>
    </row>
    <row r="39" spans="1:19" x14ac:dyDescent="0.25">
      <c r="A39">
        <f t="shared" si="7"/>
        <v>36</v>
      </c>
      <c r="B39">
        <f t="shared" si="8"/>
        <v>2053</v>
      </c>
      <c r="C39" s="81">
        <f>C38*(1+City!B$8)</f>
        <v>141446030.7391198</v>
      </c>
      <c r="D39" s="120">
        <f t="shared" si="0"/>
        <v>127301427.66520782</v>
      </c>
      <c r="E39" s="107">
        <f>C39*City!B$7</f>
        <v>14144603.07391198</v>
      </c>
      <c r="F39" s="19">
        <f t="shared" si="1"/>
        <v>186044664.93338528</v>
      </c>
      <c r="G39" s="22">
        <f t="shared" si="2"/>
        <v>167733948.39569175</v>
      </c>
      <c r="H39" s="19">
        <f>D39*'Fleet Types'!C50</f>
        <v>21288484.192521133</v>
      </c>
      <c r="I39" s="19">
        <f>D39*'Fleet Types'!D50*TypeVMT!C39*RideModel!C39*Induced!C39</f>
        <v>3.6640956109375091</v>
      </c>
      <c r="J39" s="19">
        <f>D39*'Fleet Types'!E50*TypeVMT!D39*RideModel!D39*Induced!D39</f>
        <v>1727598.3552482245</v>
      </c>
      <c r="K39" s="19">
        <f>D39*'Fleet Types'!F50*TypeVMT!E39*RideModel!E39*Induced!E39</f>
        <v>144717862.18382677</v>
      </c>
      <c r="L39" s="19">
        <f t="shared" si="3"/>
        <v>146445464.2031706</v>
      </c>
      <c r="M39" s="19">
        <f t="shared" si="4"/>
        <v>18310716.537693527</v>
      </c>
      <c r="N39" s="19">
        <f>E39*'Fleet Types'!H50</f>
        <v>2606419.3469506386</v>
      </c>
      <c r="O39" s="19">
        <f>E39*'Fleet Types'!I50*TypeVMT!F39*RideModel!F39*Induced!F39</f>
        <v>0.76341242419669675</v>
      </c>
      <c r="P39" s="19">
        <f>E39*'Fleet Types'!J50*TypeVMT!G39*RideModel!G39*Induced!G39</f>
        <v>993048.7884136542</v>
      </c>
      <c r="Q39" s="19">
        <f>E39*'Fleet Types'!K50*TypeVMT!H39*RideModel!H39*Induced!H39</f>
        <v>14711247.638916809</v>
      </c>
      <c r="R39" s="19">
        <f t="shared" si="5"/>
        <v>15704297.190742888</v>
      </c>
      <c r="S39" s="19">
        <f t="shared" si="6"/>
        <v>162149761.39391348</v>
      </c>
    </row>
    <row r="40" spans="1:19" x14ac:dyDescent="0.25">
      <c r="A40">
        <f t="shared" si="7"/>
        <v>37</v>
      </c>
      <c r="B40">
        <f t="shared" si="8"/>
        <v>2054</v>
      </c>
      <c r="C40" s="81">
        <f>C39*(1+City!B$8)</f>
        <v>143567721.20020658</v>
      </c>
      <c r="D40" s="120">
        <f t="shared" si="0"/>
        <v>129210949.08018592</v>
      </c>
      <c r="E40" s="107">
        <f>C40*City!B$7</f>
        <v>14356772.120020658</v>
      </c>
      <c r="F40" s="19">
        <f t="shared" si="1"/>
        <v>190408238.46626985</v>
      </c>
      <c r="G40" s="22">
        <f t="shared" si="2"/>
        <v>171672236.63040757</v>
      </c>
      <c r="H40" s="19">
        <f>D40*'Fleet Types'!C51</f>
        <v>18314587.97601271</v>
      </c>
      <c r="I40" s="19">
        <f>D40*'Fleet Types'!D51*TypeVMT!C40*RideModel!C40*Induced!C40</f>
        <v>1.2015553494440934</v>
      </c>
      <c r="J40" s="19">
        <f>D40*'Fleet Types'!E51*TypeVMT!D40*RideModel!D40*Induced!D40</f>
        <v>1236298.3905210369</v>
      </c>
      <c r="K40" s="19">
        <f>D40*'Fleet Types'!F51*TypeVMT!E40*RideModel!E40*Induced!E40</f>
        <v>152121349.06231847</v>
      </c>
      <c r="L40" s="19">
        <f t="shared" si="3"/>
        <v>153357648.65439487</v>
      </c>
      <c r="M40" s="19">
        <f t="shared" si="4"/>
        <v>18736001.835862275</v>
      </c>
      <c r="N40" s="19">
        <f>E40*'Fleet Types'!H51</f>
        <v>2381210.1965857749</v>
      </c>
      <c r="O40" s="19">
        <f>E40*'Fleet Types'!I51*TypeVMT!F40*RideModel!F40*Induced!F40</f>
        <v>0.37214707196248831</v>
      </c>
      <c r="P40" s="19">
        <f>E40*'Fleet Types'!J51*TypeVMT!G40*RideModel!G40*Induced!G40</f>
        <v>841193.60154871119</v>
      </c>
      <c r="Q40" s="19">
        <f>E40*'Fleet Types'!K51*TypeVMT!H40*RideModel!H40*Induced!H40</f>
        <v>15513597.665580716</v>
      </c>
      <c r="R40" s="19">
        <f t="shared" si="5"/>
        <v>16354791.639276499</v>
      </c>
      <c r="S40" s="19">
        <f t="shared" si="6"/>
        <v>169712440.29367137</v>
      </c>
    </row>
    <row r="41" spans="1:19" x14ac:dyDescent="0.25">
      <c r="A41">
        <f t="shared" si="7"/>
        <v>38</v>
      </c>
      <c r="B41">
        <f t="shared" si="8"/>
        <v>2055</v>
      </c>
      <c r="C41" s="81">
        <f>C40*(1+City!B$8)</f>
        <v>145721237.01820967</v>
      </c>
      <c r="D41" s="120">
        <f t="shared" si="0"/>
        <v>131149113.3163887</v>
      </c>
      <c r="E41" s="107">
        <f>C41*City!B$7</f>
        <v>14572123.701820968</v>
      </c>
      <c r="F41" s="19">
        <f t="shared" si="1"/>
        <v>194739340.29994369</v>
      </c>
      <c r="G41" s="22">
        <f t="shared" si="2"/>
        <v>175578327.2788873</v>
      </c>
      <c r="H41" s="19">
        <f>D41*'Fleet Types'!C52</f>
        <v>15421952.529788472</v>
      </c>
      <c r="I41" s="19">
        <f>D41*'Fleet Types'!D52*TypeVMT!C41*RideModel!C41*Induced!C41</f>
        <v>0.39746543265655054</v>
      </c>
      <c r="J41" s="19">
        <f>D41*'Fleet Types'!E52*TypeVMT!D41*RideModel!D41*Induced!D41</f>
        <v>884130.44415816129</v>
      </c>
      <c r="K41" s="19">
        <f>D41*'Fleet Types'!F52*TypeVMT!E41*RideModel!E41*Induced!E41</f>
        <v>159272243.90747523</v>
      </c>
      <c r="L41" s="19">
        <f t="shared" si="3"/>
        <v>160156374.74909884</v>
      </c>
      <c r="M41" s="19">
        <f t="shared" si="4"/>
        <v>19161013.02105638</v>
      </c>
      <c r="N41" s="19">
        <f>E41*'Fleet Types'!H52</f>
        <v>2152872.9615503503</v>
      </c>
      <c r="O41" s="19">
        <f>E41*'Fleet Types'!I52*TypeVMT!F41*RideModel!F41*Induced!F41</f>
        <v>0.1806284665824584</v>
      </c>
      <c r="P41" s="19">
        <f>E41*'Fleet Types'!J52*TypeVMT!G41*RideModel!G41*Induced!G41</f>
        <v>709573.2035190477</v>
      </c>
      <c r="Q41" s="19">
        <f>E41*'Fleet Types'!K52*TypeVMT!H41*RideModel!H41*Induced!H41</f>
        <v>16298566.675358517</v>
      </c>
      <c r="R41" s="19">
        <f t="shared" si="5"/>
        <v>17008140.059506033</v>
      </c>
      <c r="S41" s="19">
        <f t="shared" si="6"/>
        <v>177164514.80860487</v>
      </c>
    </row>
    <row r="42" spans="1:19" x14ac:dyDescent="0.25">
      <c r="A42">
        <f t="shared" si="7"/>
        <v>39</v>
      </c>
      <c r="B42">
        <f t="shared" si="8"/>
        <v>2056</v>
      </c>
      <c r="C42" s="81">
        <f>C41*(1+City!B$8)</f>
        <v>147907055.57348281</v>
      </c>
      <c r="D42" s="120">
        <f t="shared" si="0"/>
        <v>133116350.01613453</v>
      </c>
      <c r="E42" s="107">
        <f>C42*City!B$7</f>
        <v>14790705.557348281</v>
      </c>
      <c r="F42" s="19">
        <f t="shared" si="1"/>
        <v>199035804.29660028</v>
      </c>
      <c r="G42" s="22">
        <f t="shared" si="2"/>
        <v>179450552.5471625</v>
      </c>
      <c r="H42" s="19">
        <f>D42*'Fleet Types'!C53</f>
        <v>12645022.316990919</v>
      </c>
      <c r="I42" s="19">
        <f>D42*'Fleet Types'!D53*TypeVMT!C42*RideModel!C42*Induced!C42</f>
        <v>0.13353616451837402</v>
      </c>
      <c r="J42" s="19">
        <f>D42*'Fleet Types'!E53*TypeVMT!D42*RideModel!D42*Induced!D42</f>
        <v>633200.53142226289</v>
      </c>
      <c r="K42" s="19">
        <f>D42*'Fleet Types'!F53*TypeVMT!E42*RideModel!E42*Induced!E42</f>
        <v>166172329.56521314</v>
      </c>
      <c r="L42" s="19">
        <f t="shared" si="3"/>
        <v>166805530.23017156</v>
      </c>
      <c r="M42" s="19">
        <f t="shared" si="4"/>
        <v>19585251.749437764</v>
      </c>
      <c r="N42" s="19">
        <f>E42*'Fleet Types'!H53</f>
        <v>1924365.4905108328</v>
      </c>
      <c r="O42" s="19">
        <f>E42*'Fleet Types'!I53*TypeVMT!F42*RideModel!F42*Induced!F42</f>
        <v>8.7365768126306906E-2</v>
      </c>
      <c r="P42" s="19">
        <f>E42*'Fleet Types'!J53*TypeVMT!G42*RideModel!G42*Induced!G42</f>
        <v>596204.46236004762</v>
      </c>
      <c r="Q42" s="19">
        <f>E42*'Fleet Types'!K53*TypeVMT!H42*RideModel!H42*Induced!H42</f>
        <v>17064681.709201116</v>
      </c>
      <c r="R42" s="19">
        <f t="shared" si="5"/>
        <v>17660886.258926932</v>
      </c>
      <c r="S42" s="19">
        <f t="shared" si="6"/>
        <v>184466416.48909849</v>
      </c>
    </row>
    <row r="43" spans="1:19" x14ac:dyDescent="0.25">
      <c r="A43">
        <f t="shared" si="7"/>
        <v>40</v>
      </c>
      <c r="B43">
        <f t="shared" si="8"/>
        <v>2057</v>
      </c>
      <c r="C43" s="81">
        <f>C42*(1+City!B$8)</f>
        <v>150125661.40708503</v>
      </c>
      <c r="D43" s="120">
        <f t="shared" si="0"/>
        <v>135113095.26637653</v>
      </c>
      <c r="E43" s="107">
        <f>C43*City!B$7</f>
        <v>15012566.140708504</v>
      </c>
      <c r="F43" s="19">
        <f t="shared" si="1"/>
        <v>203298246.64713654</v>
      </c>
      <c r="G43" s="22">
        <f t="shared" si="2"/>
        <v>183289812.35386327</v>
      </c>
      <c r="H43" s="19">
        <f>D43*'Fleet Types'!C54</f>
        <v>10004623.317154434</v>
      </c>
      <c r="I43" s="19">
        <f>D43*'Fleet Types'!D54*TypeVMT!C43*RideModel!C43*Induced!C43</f>
        <v>4.5800147184314986E-2</v>
      </c>
      <c r="J43" s="19">
        <f>D43*'Fleet Types'!E54*TypeVMT!D43*RideModel!D43*Induced!D43</f>
        <v>454883.53492964618</v>
      </c>
      <c r="K43" s="19">
        <f>D43*'Fleet Types'!F54*TypeVMT!E43*RideModel!E43*Induced!E43</f>
        <v>172830305.45597905</v>
      </c>
      <c r="L43" s="19">
        <f t="shared" si="3"/>
        <v>173285189.03670883</v>
      </c>
      <c r="M43" s="19">
        <f t="shared" si="4"/>
        <v>20008434.29327327</v>
      </c>
      <c r="N43" s="19">
        <f>E43*'Fleet Types'!H54</f>
        <v>1698084.6730891471</v>
      </c>
      <c r="O43" s="19">
        <f>E43*'Fleet Types'!I54*TypeVMT!F43*RideModel!F43*Induced!F43</f>
        <v>4.2140756352081608E-2</v>
      </c>
      <c r="P43" s="19">
        <f>E43*'Fleet Types'!J54*TypeVMT!G43*RideModel!G43*Induced!G43</f>
        <v>499114.42233879172</v>
      </c>
      <c r="Q43" s="19">
        <f>E43*'Fleet Types'!K54*TypeVMT!H43*RideModel!H43*Induced!H43</f>
        <v>17811235.155704577</v>
      </c>
      <c r="R43" s="19">
        <f t="shared" si="5"/>
        <v>18310349.620184124</v>
      </c>
      <c r="S43" s="19">
        <f t="shared" si="6"/>
        <v>191595538.65689296</v>
      </c>
    </row>
    <row r="44" spans="1:19" x14ac:dyDescent="0.25">
      <c r="A44">
        <f t="shared" si="7"/>
        <v>41</v>
      </c>
      <c r="B44">
        <f t="shared" si="8"/>
        <v>2058</v>
      </c>
      <c r="C44" s="81">
        <f>C43*(1+City!B$8)</f>
        <v>152377546.32819128</v>
      </c>
      <c r="D44" s="120">
        <f t="shared" si="0"/>
        <v>137139791.69537216</v>
      </c>
      <c r="E44" s="107">
        <f>C44*City!B$7</f>
        <v>15237754.632819129</v>
      </c>
      <c r="F44" s="19">
        <f t="shared" si="1"/>
        <v>207529355.66037938</v>
      </c>
      <c r="G44" s="22">
        <f t="shared" si="2"/>
        <v>187098895.39627895</v>
      </c>
      <c r="H44" s="19">
        <f>D44*'Fleet Types'!C55</f>
        <v>7510971.304251668</v>
      </c>
      <c r="I44" s="19">
        <f>D44*'Fleet Types'!D55*TypeVMT!C44*RideModel!C44*Induced!C44</f>
        <v>1.6093268287509368E-2</v>
      </c>
      <c r="J44" s="19">
        <f>D44*'Fleet Types'!E55*TypeVMT!D44*RideModel!D44*Induced!D44</f>
        <v>328167.08968771191</v>
      </c>
      <c r="K44" s="19">
        <f>D44*'Fleet Types'!F55*TypeVMT!E44*RideModel!E44*Induced!E44</f>
        <v>179259756.98624629</v>
      </c>
      <c r="L44" s="19">
        <f t="shared" si="3"/>
        <v>179587924.09202728</v>
      </c>
      <c r="M44" s="19">
        <f t="shared" si="4"/>
        <v>20430460.26410044</v>
      </c>
      <c r="N44" s="19">
        <f>E44*'Fleet Types'!H55</f>
        <v>1475901.94960923</v>
      </c>
      <c r="O44" s="19">
        <f>E44*'Fleet Types'!I55*TypeVMT!F44*RideModel!F44*Induced!F44</f>
        <v>2.0283509748587177E-2</v>
      </c>
      <c r="P44" s="19">
        <f>E44*'Fleet Types'!J55*TypeVMT!G44*RideModel!G44*Induced!G44</f>
        <v>416400.70043902803</v>
      </c>
      <c r="Q44" s="19">
        <f>E44*'Fleet Types'!K55*TypeVMT!H44*RideModel!H44*Induced!H44</f>
        <v>18538157.593768671</v>
      </c>
      <c r="R44" s="19">
        <f t="shared" si="5"/>
        <v>18954558.314491209</v>
      </c>
      <c r="S44" s="19">
        <f t="shared" si="6"/>
        <v>198542482.40651849</v>
      </c>
    </row>
    <row r="45" spans="1:19" x14ac:dyDescent="0.25">
      <c r="A45">
        <f t="shared" si="7"/>
        <v>42</v>
      </c>
      <c r="B45">
        <f t="shared" si="8"/>
        <v>2059</v>
      </c>
      <c r="C45" s="81">
        <f>C44*(1+City!B$8)</f>
        <v>154663209.52311414</v>
      </c>
      <c r="D45" s="120">
        <f t="shared" si="0"/>
        <v>139196888.57080272</v>
      </c>
      <c r="E45" s="107">
        <f>C45*City!B$7</f>
        <v>15466320.952311415</v>
      </c>
      <c r="F45" s="19">
        <f t="shared" si="1"/>
        <v>211733260.0233717</v>
      </c>
      <c r="G45" s="22">
        <f t="shared" si="2"/>
        <v>190881880.950064</v>
      </c>
      <c r="H45" s="19">
        <f>D45*'Fleet Types'!C56</f>
        <v>5166518.1656437861</v>
      </c>
      <c r="I45" s="19">
        <f>D45*'Fleet Types'!D56*TypeVMT!C45*RideModel!C45*Induced!C45</f>
        <v>5.8060370825024302E-3</v>
      </c>
      <c r="J45" s="19">
        <f>D45*'Fleet Types'!E56*TypeVMT!D45*RideModel!D45*Induced!D45</f>
        <v>237932.5312776303</v>
      </c>
      <c r="K45" s="19">
        <f>D45*'Fleet Types'!F56*TypeVMT!E45*RideModel!E45*Induced!E45</f>
        <v>185477430.24733654</v>
      </c>
      <c r="L45" s="19">
        <f t="shared" si="3"/>
        <v>185715362.78442019</v>
      </c>
      <c r="M45" s="19">
        <f t="shared" si="4"/>
        <v>20851379.073307693</v>
      </c>
      <c r="N45" s="19">
        <f>E45*'Fleet Types'!H56</f>
        <v>1259218.834694173</v>
      </c>
      <c r="O45" s="19">
        <f>E45*'Fleet Types'!I56*TypeVMT!F45*RideModel!F45*Induced!F45</f>
        <v>9.7474036069901057E-3</v>
      </c>
      <c r="P45" s="19">
        <f>E45*'Fleet Types'!J56*TypeVMT!G45*RideModel!G45*Induced!G45</f>
        <v>346273.10008394805</v>
      </c>
      <c r="Q45" s="19">
        <f>E45*'Fleet Types'!K56*TypeVMT!H45*RideModel!H45*Induced!H45</f>
        <v>19245887.128782168</v>
      </c>
      <c r="R45" s="19">
        <f t="shared" si="5"/>
        <v>19592160.23861352</v>
      </c>
      <c r="S45" s="19">
        <f t="shared" si="6"/>
        <v>205307523.02303371</v>
      </c>
    </row>
    <row r="46" spans="1:19" x14ac:dyDescent="0.25">
      <c r="A46">
        <f t="shared" si="7"/>
        <v>43</v>
      </c>
      <c r="B46">
        <f t="shared" si="8"/>
        <v>2060</v>
      </c>
      <c r="C46" s="81">
        <f>C45*(1+City!B$8)</f>
        <v>156983157.66596085</v>
      </c>
      <c r="D46" s="120">
        <f t="shared" si="0"/>
        <v>141284841.89936477</v>
      </c>
      <c r="E46" s="107">
        <f>C46*City!B$7</f>
        <v>15698315.766596086</v>
      </c>
      <c r="F46" s="19">
        <f t="shared" si="1"/>
        <v>215915007.56565294</v>
      </c>
      <c r="G46" s="22">
        <f t="shared" si="2"/>
        <v>194643650.22481501</v>
      </c>
      <c r="H46" s="19">
        <f>D46*'Fleet Types'!C57</f>
        <v>2968356.7138262442</v>
      </c>
      <c r="I46" s="19">
        <f>D46*'Fleet Types'!D57*TypeVMT!C46*RideModel!C46*Induced!C46</f>
        <v>2.1529565926254809E-3</v>
      </c>
      <c r="J46" s="19">
        <f>D46*'Fleet Types'!E57*TypeVMT!D46*RideModel!D46*Induced!D46</f>
        <v>173444.88920915552</v>
      </c>
      <c r="K46" s="19">
        <f>D46*'Fleet Types'!F57*TypeVMT!E46*RideModel!E46*Induced!E46</f>
        <v>191501848.61962664</v>
      </c>
      <c r="L46" s="19">
        <f t="shared" si="3"/>
        <v>191675293.51098874</v>
      </c>
      <c r="M46" s="19">
        <f t="shared" si="4"/>
        <v>21271357.340837933</v>
      </c>
      <c r="N46" s="19">
        <f>E46*'Fleet Types'!H57</f>
        <v>1049031.7753064807</v>
      </c>
      <c r="O46" s="19">
        <f>E46*'Fleet Types'!I57*TypeVMT!F46*RideModel!F46*Induced!F46</f>
        <v>4.6786384622377799E-3</v>
      </c>
      <c r="P46" s="19">
        <f>E46*'Fleet Types'!J57*TypeVMT!G46*RideModel!G46*Induced!G46</f>
        <v>287079.58564898837</v>
      </c>
      <c r="Q46" s="19">
        <f>E46*'Fleet Types'!K57*TypeVMT!H46*RideModel!H46*Induced!H46</f>
        <v>19935245.975203827</v>
      </c>
      <c r="R46" s="19">
        <f t="shared" si="5"/>
        <v>20222325.565531455</v>
      </c>
      <c r="S46" s="19">
        <f t="shared" si="6"/>
        <v>211897619.0765202</v>
      </c>
    </row>
    <row r="47" spans="1:19" x14ac:dyDescent="0.25">
      <c r="A47">
        <f t="shared" si="7"/>
        <v>44</v>
      </c>
      <c r="B47">
        <f t="shared" si="8"/>
        <v>2061</v>
      </c>
      <c r="C47" s="81">
        <f>C46*(1+City!B$8)</f>
        <v>159337905.03095025</v>
      </c>
      <c r="D47" s="120">
        <f t="shared" si="0"/>
        <v>143404114.52785522</v>
      </c>
      <c r="E47" s="107">
        <f>C47*City!B$7</f>
        <v>15933790.503095025</v>
      </c>
      <c r="F47" s="19">
        <f t="shared" si="1"/>
        <v>220080159.19988137</v>
      </c>
      <c r="G47" s="22">
        <f t="shared" si="2"/>
        <v>198389509.90142378</v>
      </c>
      <c r="H47" s="19">
        <f>D47*'Fleet Types'!C58</f>
        <v>910109.11337065825</v>
      </c>
      <c r="I47" s="19">
        <f>D47*'Fleet Types'!D58*TypeVMT!C47*RideModel!C47*Induced!C47</f>
        <v>8.2071062362622216E-4</v>
      </c>
      <c r="J47" s="19">
        <f>D47*'Fleet Types'!E58*TypeVMT!D47*RideModel!D47*Induced!D47</f>
        <v>127142.28753920991</v>
      </c>
      <c r="K47" s="19">
        <f>D47*'Fleet Types'!F58*TypeVMT!E47*RideModel!E47*Induced!E47</f>
        <v>197352258.49969321</v>
      </c>
      <c r="L47" s="19">
        <f t="shared" si="3"/>
        <v>197479400.78805313</v>
      </c>
      <c r="M47" s="19">
        <f t="shared" si="4"/>
        <v>21690649.298457578</v>
      </c>
      <c r="N47" s="19">
        <f>E47*'Fleet Types'!H58</f>
        <v>845998.62370455789</v>
      </c>
      <c r="O47" s="19">
        <f>E47*'Fleet Types'!I58*TypeVMT!F47*RideModel!F47*Induced!F47</f>
        <v>2.243743893181925E-3</v>
      </c>
      <c r="P47" s="19">
        <f>E47*'Fleet Types'!J58*TypeVMT!G47*RideModel!G47*Induced!G47</f>
        <v>237319.83037283865</v>
      </c>
      <c r="Q47" s="19">
        <f>E47*'Fleet Types'!K58*TypeVMT!H47*RideModel!H47*Induced!H47</f>
        <v>20607330.842136439</v>
      </c>
      <c r="R47" s="19">
        <f t="shared" si="5"/>
        <v>20844650.674753021</v>
      </c>
      <c r="S47" s="19">
        <f t="shared" si="6"/>
        <v>218324051.46280614</v>
      </c>
    </row>
    <row r="48" spans="1:19" x14ac:dyDescent="0.25">
      <c r="A48">
        <f t="shared" si="7"/>
        <v>45</v>
      </c>
      <c r="B48">
        <f t="shared" si="8"/>
        <v>2062</v>
      </c>
      <c r="C48" s="81">
        <f>C47*(1+City!B$8)</f>
        <v>161727973.6064145</v>
      </c>
      <c r="D48" s="120">
        <f t="shared" si="0"/>
        <v>145555176.24577305</v>
      </c>
      <c r="E48" s="107">
        <f>C48*City!B$7</f>
        <v>16172797.36064145</v>
      </c>
      <c r="F48" s="19">
        <f t="shared" si="1"/>
        <v>223968234.1301688</v>
      </c>
      <c r="G48" s="22">
        <f t="shared" si="2"/>
        <v>201858662.87253594</v>
      </c>
      <c r="H48" s="19">
        <f>D48*'Fleet Types'!C59</f>
        <v>0</v>
      </c>
      <c r="I48" s="19">
        <f>D48*'Fleet Types'!D59*TypeVMT!C48*RideModel!C48*Induced!C48</f>
        <v>3.8981414076303105E-4</v>
      </c>
      <c r="J48" s="19">
        <f>D48*'Fleet Types'!E59*TypeVMT!D48*RideModel!D48*Induced!D48</f>
        <v>99025.317988129609</v>
      </c>
      <c r="K48" s="19">
        <f>D48*'Fleet Types'!F59*TypeVMT!E48*RideModel!E48*Induced!E48</f>
        <v>201759637.554158</v>
      </c>
      <c r="L48" s="19">
        <f t="shared" si="3"/>
        <v>201858662.87253594</v>
      </c>
      <c r="M48" s="19">
        <f t="shared" si="4"/>
        <v>22109571.257632837</v>
      </c>
      <c r="N48" s="19">
        <f>E48*'Fleet Types'!H59</f>
        <v>650501.69198358082</v>
      </c>
      <c r="O48" s="19">
        <f>E48*'Fleet Types'!I59*TypeVMT!F48*RideModel!F48*Induced!F48</f>
        <v>1.0753587782844601E-3</v>
      </c>
      <c r="P48" s="19">
        <f>E48*'Fleet Types'!J59*TypeVMT!G48*RideModel!G48*Induced!G48</f>
        <v>195649.33917219823</v>
      </c>
      <c r="Q48" s="19">
        <f>E48*'Fleet Types'!K59*TypeVMT!H48*RideModel!H48*Induced!H48</f>
        <v>21263420.2254017</v>
      </c>
      <c r="R48" s="19">
        <f t="shared" si="5"/>
        <v>21459069.565649256</v>
      </c>
      <c r="S48" s="19">
        <f t="shared" si="6"/>
        <v>223317732.43818521</v>
      </c>
    </row>
    <row r="49" spans="1:19" x14ac:dyDescent="0.25">
      <c r="A49">
        <f t="shared" si="7"/>
        <v>46</v>
      </c>
      <c r="B49">
        <f t="shared" si="8"/>
        <v>2063</v>
      </c>
      <c r="C49" s="81">
        <f>C48*(1+City!B$8)</f>
        <v>164153893.2105107</v>
      </c>
      <c r="D49" s="120">
        <f t="shared" si="0"/>
        <v>147738503.88945964</v>
      </c>
      <c r="E49" s="107">
        <f>C49*City!B$7</f>
        <v>16415389.32105107</v>
      </c>
      <c r="F49" s="19">
        <f t="shared" si="1"/>
        <v>227396257.44533804</v>
      </c>
      <c r="G49" s="22">
        <f t="shared" si="2"/>
        <v>204867776.95974323</v>
      </c>
      <c r="H49" s="19">
        <f>D49*'Fleet Types'!C60</f>
        <v>0</v>
      </c>
      <c r="I49" s="19">
        <f>D49*'Fleet Types'!D60*TypeVMT!C49*RideModel!C49*Induced!C49</f>
        <v>2.2863546188074872E-4</v>
      </c>
      <c r="J49" s="19">
        <f>D49*'Fleet Types'!E60*TypeVMT!D49*RideModel!D49*Induced!D49</f>
        <v>81744.842044216872</v>
      </c>
      <c r="K49" s="19">
        <f>D49*'Fleet Types'!F60*TypeVMT!E49*RideModel!E49*Induced!E49</f>
        <v>204786032.11747038</v>
      </c>
      <c r="L49" s="19">
        <f t="shared" si="3"/>
        <v>204867776.95974323</v>
      </c>
      <c r="M49" s="19">
        <f t="shared" si="4"/>
        <v>22528480.485594798</v>
      </c>
      <c r="N49" s="19">
        <f>E49*'Fleet Types'!H60</f>
        <v>462704.52131449402</v>
      </c>
      <c r="O49" s="19">
        <f>E49*'Fleet Types'!I60*TypeVMT!F49*RideModel!F49*Induced!F49</f>
        <v>5.1514928310667039E-4</v>
      </c>
      <c r="P49" s="19">
        <f>E49*'Fleet Types'!J60*TypeVMT!G49*RideModel!G49*Induced!G49</f>
        <v>160876.76875206217</v>
      </c>
      <c r="Q49" s="19">
        <f>E49*'Fleet Types'!K60*TypeVMT!H49*RideModel!H49*Induced!H49</f>
        <v>21904899.195013091</v>
      </c>
      <c r="R49" s="19">
        <f t="shared" si="5"/>
        <v>22065775.964280304</v>
      </c>
      <c r="S49" s="19">
        <f t="shared" si="6"/>
        <v>226933552.92402354</v>
      </c>
    </row>
    <row r="50" spans="1:19" x14ac:dyDescent="0.25">
      <c r="A50">
        <f t="shared" si="7"/>
        <v>47</v>
      </c>
      <c r="B50">
        <f t="shared" si="8"/>
        <v>2064</v>
      </c>
      <c r="C50" s="81">
        <f>C49*(1+City!B$8)</f>
        <v>166616201.60866836</v>
      </c>
      <c r="D50" s="120">
        <f t="shared" si="0"/>
        <v>149954581.44780153</v>
      </c>
      <c r="E50" s="107">
        <f>C50*City!B$7</f>
        <v>16661620.160866836</v>
      </c>
      <c r="F50" s="19">
        <f t="shared" si="1"/>
        <v>230872875.27554253</v>
      </c>
      <c r="G50" s="22">
        <f t="shared" si="2"/>
        <v>207925116.92486021</v>
      </c>
      <c r="H50" s="19">
        <f>D50*'Fleet Types'!C61</f>
        <v>0</v>
      </c>
      <c r="I50" s="19">
        <f>D50*'Fleet Types'!D61*TypeVMT!C50*RideModel!C50*Induced!C50</f>
        <v>1.3375783907501411E-4</v>
      </c>
      <c r="J50" s="19">
        <f>D50*'Fleet Types'!E61*TypeVMT!D50*RideModel!D50*Induced!D50</f>
        <v>67294.325494070581</v>
      </c>
      <c r="K50" s="19">
        <f>D50*'Fleet Types'!F61*TypeVMT!E50*RideModel!E50*Induced!E50</f>
        <v>207857822.59923238</v>
      </c>
      <c r="L50" s="19">
        <f t="shared" si="3"/>
        <v>207925116.92486021</v>
      </c>
      <c r="M50" s="19">
        <f t="shared" si="4"/>
        <v>22947758.350682326</v>
      </c>
      <c r="N50" s="19">
        <f>E50*'Fleet Types'!H61</f>
        <v>282601.08767823444</v>
      </c>
      <c r="O50" s="19">
        <f>E50*'Fleet Types'!I61*TypeVMT!F50*RideModel!F50*Induced!F50</f>
        <v>2.4669569723068617E-4</v>
      </c>
      <c r="P50" s="19">
        <f>E50*'Fleet Types'!J61*TypeVMT!G50*RideModel!G50*Induced!G50</f>
        <v>131956.61718508147</v>
      </c>
      <c r="Q50" s="19">
        <f>E50*'Fleet Types'!K61*TypeVMT!H50*RideModel!H50*Induced!H50</f>
        <v>22533200.645572312</v>
      </c>
      <c r="R50" s="19">
        <f t="shared" si="5"/>
        <v>22665157.263004091</v>
      </c>
      <c r="S50" s="19">
        <f t="shared" si="6"/>
        <v>230590274.1878643</v>
      </c>
    </row>
    <row r="51" spans="1:19" x14ac:dyDescent="0.25">
      <c r="A51">
        <f t="shared" si="7"/>
        <v>48</v>
      </c>
      <c r="B51">
        <f t="shared" si="8"/>
        <v>2065</v>
      </c>
      <c r="C51" s="81">
        <f>C50*(1+City!B$8)</f>
        <v>169115444.63279837</v>
      </c>
      <c r="D51" s="120">
        <f t="shared" si="0"/>
        <v>152203900.16951853</v>
      </c>
      <c r="E51" s="107">
        <f>C51*City!B$7</f>
        <v>16911544.46327984</v>
      </c>
      <c r="F51" s="19">
        <f t="shared" si="1"/>
        <v>234398739.68907604</v>
      </c>
      <c r="G51" s="22">
        <f t="shared" si="2"/>
        <v>211030942.37081257</v>
      </c>
      <c r="H51" s="19">
        <f>D51*'Fleet Types'!C62</f>
        <v>0</v>
      </c>
      <c r="I51" s="19">
        <f>D51*'Fleet Types'!D62*TypeVMT!C51*RideModel!C51*Induced!C51</f>
        <v>7.806054001450762E-5</v>
      </c>
      <c r="J51" s="19">
        <f>D51*'Fleet Types'!E62*TypeVMT!D51*RideModel!D51*Induced!D51</f>
        <v>55252.432513611289</v>
      </c>
      <c r="K51" s="19">
        <f>D51*'Fleet Types'!F62*TypeVMT!E51*RideModel!E51*Induced!E51</f>
        <v>210975689.93822089</v>
      </c>
      <c r="L51" s="19">
        <f t="shared" si="3"/>
        <v>211030942.37081257</v>
      </c>
      <c r="M51" s="19">
        <f t="shared" si="4"/>
        <v>23367797.318263471</v>
      </c>
      <c r="N51" s="19">
        <f>E51*'Fleet Types'!H62</f>
        <v>110057.23088685055</v>
      </c>
      <c r="O51" s="19">
        <f>E51*'Fleet Types'!I62*TypeVMT!F51*RideModel!F51*Induced!F51</f>
        <v>1.181051543480976E-4</v>
      </c>
      <c r="P51" s="19">
        <f>E51*'Fleet Types'!J62*TypeVMT!G51*RideModel!G51*Induced!G51</f>
        <v>107979.00352471349</v>
      </c>
      <c r="Q51" s="19">
        <f>E51*'Fleet Types'!K62*TypeVMT!H51*RideModel!H51*Induced!H51</f>
        <v>23149761.083733801</v>
      </c>
      <c r="R51" s="19">
        <f t="shared" si="5"/>
        <v>23257740.087376621</v>
      </c>
      <c r="S51" s="19">
        <f t="shared" si="6"/>
        <v>234288682.45818919</v>
      </c>
    </row>
    <row r="52" spans="1:19" x14ac:dyDescent="0.25">
      <c r="A52">
        <f t="shared" si="7"/>
        <v>49</v>
      </c>
      <c r="B52">
        <f t="shared" si="8"/>
        <v>2066</v>
      </c>
      <c r="C52" s="81">
        <f>C51*(1+City!B$8)</f>
        <v>171652176.30229032</v>
      </c>
      <c r="D52" s="120">
        <f t="shared" si="0"/>
        <v>154486958.67206129</v>
      </c>
      <c r="E52" s="107">
        <f>C52*City!B$7</f>
        <v>17165217.630229034</v>
      </c>
      <c r="F52" s="19">
        <f t="shared" si="1"/>
        <v>238029722.66922104</v>
      </c>
      <c r="G52" s="22">
        <f t="shared" si="2"/>
        <v>214185576.15936911</v>
      </c>
      <c r="H52" s="19">
        <f>D52*'Fleet Types'!C63</f>
        <v>0</v>
      </c>
      <c r="I52" s="19">
        <f>D52*'Fleet Types'!D63*TypeVMT!C52*RideModel!C52*Induced!C52</f>
        <v>4.5449027523126212E-5</v>
      </c>
      <c r="J52" s="19">
        <f>D52*'Fleet Types'!E63*TypeVMT!D52*RideModel!D52*Induced!D52</f>
        <v>45250.872029525912</v>
      </c>
      <c r="K52" s="19">
        <f>D52*'Fleet Types'!F63*TypeVMT!E52*RideModel!E52*Induced!E52</f>
        <v>214140325.28729415</v>
      </c>
      <c r="L52" s="19">
        <f t="shared" si="3"/>
        <v>214185576.15936911</v>
      </c>
      <c r="M52" s="19">
        <f t="shared" si="4"/>
        <v>23844146.509851925</v>
      </c>
      <c r="N52" s="19">
        <f>E52*'Fleet Types'!H63</f>
        <v>0</v>
      </c>
      <c r="O52" s="19">
        <f>E52*'Fleet Types'!I63*TypeVMT!F52*RideModel!F52*Induced!F52</f>
        <v>5.6528866922120338E-5</v>
      </c>
      <c r="P52" s="19">
        <f>E52*'Fleet Types'!J63*TypeVMT!G52*RideModel!G52*Induced!G52</f>
        <v>88157.847155263444</v>
      </c>
      <c r="Q52" s="19">
        <f>E52*'Fleet Types'!K63*TypeVMT!H52*RideModel!H52*Induced!H52</f>
        <v>23755988.662640132</v>
      </c>
      <c r="R52" s="19">
        <f t="shared" si="5"/>
        <v>23844146.509851925</v>
      </c>
      <c r="S52" s="19">
        <f t="shared" si="6"/>
        <v>238029722.66922104</v>
      </c>
    </row>
    <row r="53" spans="1:19" x14ac:dyDescent="0.25">
      <c r="A53">
        <f t="shared" si="7"/>
        <v>50</v>
      </c>
      <c r="B53">
        <f t="shared" si="8"/>
        <v>2067</v>
      </c>
      <c r="C53" s="81">
        <f>C52*(1+City!B$8)</f>
        <v>174226958.94682467</v>
      </c>
      <c r="D53" s="120">
        <f t="shared" si="0"/>
        <v>156804263.0521422</v>
      </c>
      <c r="E53" s="107">
        <f>C53*City!B$7</f>
        <v>17422695.894682467</v>
      </c>
      <c r="F53" s="19">
        <f t="shared" si="1"/>
        <v>241611671.46723285</v>
      </c>
      <c r="G53" s="22">
        <f t="shared" si="2"/>
        <v>217389400.20418561</v>
      </c>
      <c r="H53" s="19">
        <f>D53*'Fleet Types'!C64</f>
        <v>0</v>
      </c>
      <c r="I53" s="19">
        <f>D53*'Fleet Types'!D64*TypeVMT!C53*RideModel!C53*Induced!C53</f>
        <v>2.6402178971638883E-5</v>
      </c>
      <c r="J53" s="19">
        <f>D53*'Fleet Types'!E64*TypeVMT!D53*RideModel!D53*Induced!D53</f>
        <v>36970.037555651099</v>
      </c>
      <c r="K53" s="19">
        <f>D53*'Fleet Types'!F64*TypeVMT!E53*RideModel!E53*Induced!E53</f>
        <v>217352430.16660357</v>
      </c>
      <c r="L53" s="19">
        <f t="shared" si="3"/>
        <v>217389400.20418561</v>
      </c>
      <c r="M53" s="19">
        <f t="shared" si="4"/>
        <v>24222271.263047252</v>
      </c>
      <c r="N53" s="19">
        <f>E53*'Fleet Types'!H64</f>
        <v>0</v>
      </c>
      <c r="O53" s="19">
        <f>E53*'Fleet Types'!I64*TypeVMT!F53*RideModel!F53*Induced!F53</f>
        <v>2.7746782041093611E-5</v>
      </c>
      <c r="P53" s="19">
        <f>E53*'Fleet Types'!J64*TypeVMT!G53*RideModel!G53*Induced!G53</f>
        <v>72001.244507998359</v>
      </c>
      <c r="Q53" s="19">
        <f>E53*'Fleet Types'!K64*TypeVMT!H53*RideModel!H53*Induced!H53</f>
        <v>24150270.018511508</v>
      </c>
      <c r="R53" s="19">
        <f t="shared" si="5"/>
        <v>24222271.263047252</v>
      </c>
      <c r="S53" s="19">
        <f t="shared" si="6"/>
        <v>241611671.46723285</v>
      </c>
    </row>
    <row r="54" spans="1:19" x14ac:dyDescent="0.25">
      <c r="A54">
        <f t="shared" si="7"/>
        <v>51</v>
      </c>
      <c r="B54">
        <f t="shared" si="8"/>
        <v>2068</v>
      </c>
      <c r="C54" s="81">
        <f>C53*(1+City!B$8)</f>
        <v>176840363.33102703</v>
      </c>
      <c r="D54" s="120">
        <f t="shared" si="0"/>
        <v>159156326.99792433</v>
      </c>
      <c r="E54" s="107">
        <f>C54*City!B$7</f>
        <v>17684036.333102703</v>
      </c>
      <c r="F54" s="19">
        <f t="shared" si="1"/>
        <v>245214073.65627828</v>
      </c>
      <c r="G54" s="22">
        <f t="shared" si="2"/>
        <v>220642851.00380492</v>
      </c>
      <c r="H54" s="19">
        <f>D54*'Fleet Types'!C65</f>
        <v>0</v>
      </c>
      <c r="I54" s="19">
        <f>D54*'Fleet Types'!D65*TypeVMT!C54*RideModel!C54*Induced!C54</f>
        <v>1.5304389229094235E-5</v>
      </c>
      <c r="J54" s="19">
        <f>D54*'Fleet Types'!E65*TypeVMT!D54*RideModel!D54*Induced!D54</f>
        <v>30134.384687030866</v>
      </c>
      <c r="K54" s="19">
        <f>D54*'Fleet Types'!F65*TypeVMT!E54*RideModel!E54*Induced!E54</f>
        <v>220612716.6191026</v>
      </c>
      <c r="L54" s="19">
        <f t="shared" si="3"/>
        <v>220642851.00380492</v>
      </c>
      <c r="M54" s="19">
        <f t="shared" si="4"/>
        <v>24571222.652473349</v>
      </c>
      <c r="N54" s="19">
        <f>E54*'Fleet Types'!H65</f>
        <v>0</v>
      </c>
      <c r="O54" s="19">
        <f>E54*'Fleet Types'!I65*TypeVMT!F54*RideModel!F54*Induced!F54</f>
        <v>1.3653360105984006E-5</v>
      </c>
      <c r="P54" s="19">
        <f>E54*'Fleet Types'!J65*TypeVMT!G54*RideModel!G54*Induced!G54</f>
        <v>58698.583670516848</v>
      </c>
      <c r="Q54" s="19">
        <f>E54*'Fleet Types'!K65*TypeVMT!H54*RideModel!H54*Induced!H54</f>
        <v>24512524.06878918</v>
      </c>
      <c r="R54" s="19">
        <f t="shared" si="5"/>
        <v>24571222.652473349</v>
      </c>
      <c r="S54" s="19">
        <f t="shared" si="6"/>
        <v>245214073.65627828</v>
      </c>
    </row>
    <row r="55" spans="1:19" x14ac:dyDescent="0.25">
      <c r="A55">
        <f t="shared" si="7"/>
        <v>52</v>
      </c>
      <c r="B55">
        <f t="shared" si="8"/>
        <v>2069</v>
      </c>
      <c r="C55" s="81">
        <f>C54*(1+City!B$8)</f>
        <v>179492968.78099242</v>
      </c>
      <c r="D55" s="120">
        <f t="shared" si="0"/>
        <v>161543671.90289319</v>
      </c>
      <c r="E55" s="107">
        <f>C55*City!B$7</f>
        <v>17949296.878099244</v>
      </c>
      <c r="F55" s="19">
        <f t="shared" si="1"/>
        <v>248874375.37385312</v>
      </c>
      <c r="G55" s="22">
        <f t="shared" si="2"/>
        <v>223946415.14389074</v>
      </c>
      <c r="H55" s="19">
        <f>D55*'Fleet Types'!C66</f>
        <v>0</v>
      </c>
      <c r="I55" s="19">
        <f>D55*'Fleet Types'!D66*TypeVMT!C55*RideModel!C55*Induced!C55</f>
        <v>8.8529892194408135E-6</v>
      </c>
      <c r="J55" s="19">
        <f>D55*'Fleet Types'!E66*TypeVMT!D55*RideModel!D55*Induced!D55</f>
        <v>24507.775492760829</v>
      </c>
      <c r="K55" s="19">
        <f>D55*'Fleet Types'!F66*TypeVMT!E55*RideModel!E55*Induced!E55</f>
        <v>223921907.36838913</v>
      </c>
      <c r="L55" s="19">
        <f t="shared" si="3"/>
        <v>223946415.14389074</v>
      </c>
      <c r="M55" s="19">
        <f t="shared" si="4"/>
        <v>24927960.229962375</v>
      </c>
      <c r="N55" s="19">
        <f>E55*'Fleet Types'!H66</f>
        <v>0</v>
      </c>
      <c r="O55" s="19">
        <f>E55*'Fleet Types'!I66*TypeVMT!F55*RideModel!F55*Induced!F55</f>
        <v>6.7041635991333102E-6</v>
      </c>
      <c r="P55" s="19">
        <f>E55*'Fleet Types'!J66*TypeVMT!G55*RideModel!G55*Induced!G55</f>
        <v>47748.300134657642</v>
      </c>
      <c r="Q55" s="19">
        <f>E55*'Fleet Types'!K66*TypeVMT!H55*RideModel!H55*Induced!H55</f>
        <v>24880211.929821014</v>
      </c>
      <c r="R55" s="19">
        <f t="shared" si="5"/>
        <v>24927960.229962375</v>
      </c>
      <c r="S55" s="19">
        <f t="shared" si="6"/>
        <v>248874375.37385312</v>
      </c>
    </row>
    <row r="56" spans="1:19" x14ac:dyDescent="0.25">
      <c r="A56">
        <f t="shared" si="7"/>
        <v>53</v>
      </c>
      <c r="B56">
        <f t="shared" si="8"/>
        <v>2070</v>
      </c>
      <c r="C56" s="81">
        <f>C55*(1+City!B$8)</f>
        <v>182185363.31270728</v>
      </c>
      <c r="D56" s="120">
        <f t="shared" si="0"/>
        <v>163966826.98143655</v>
      </c>
      <c r="E56" s="107">
        <f>C56*City!B$7</f>
        <v>18218536.331270728</v>
      </c>
      <c r="F56" s="19">
        <f t="shared" si="1"/>
        <v>252592798.55777335</v>
      </c>
      <c r="G56" s="22">
        <f t="shared" si="2"/>
        <v>227300624.93240607</v>
      </c>
      <c r="H56" s="19">
        <f>D56*'Fleet Types'!C67</f>
        <v>0</v>
      </c>
      <c r="I56" s="19">
        <f>D56*'Fleet Types'!D67*TypeVMT!C56*RideModel!C56*Induced!C56</f>
        <v>5.1108850194680311E-6</v>
      </c>
      <c r="J56" s="19">
        <f>D56*'Fleet Types'!E67*TypeVMT!D56*RideModel!D56*Induced!D56</f>
        <v>19888.953486050676</v>
      </c>
      <c r="K56" s="19">
        <f>D56*'Fleet Types'!F67*TypeVMT!E56*RideModel!E56*Induced!E56</f>
        <v>227280735.97891492</v>
      </c>
      <c r="L56" s="19">
        <f t="shared" si="3"/>
        <v>227300624.93240607</v>
      </c>
      <c r="M56" s="19">
        <f t="shared" si="4"/>
        <v>25292173.62536728</v>
      </c>
      <c r="N56" s="19">
        <f>E56*'Fleet Types'!H67</f>
        <v>0</v>
      </c>
      <c r="O56" s="19">
        <f>E56*'Fleet Types'!I67*TypeVMT!F56*RideModel!F56*Induced!F56</f>
        <v>3.285208372773484E-6</v>
      </c>
      <c r="P56" s="19">
        <f>E56*'Fleet Types'!J67*TypeVMT!G56*RideModel!G56*Induced!G56</f>
        <v>38758.516595669978</v>
      </c>
      <c r="Q56" s="19">
        <f>E56*'Fleet Types'!K67*TypeVMT!H56*RideModel!H56*Induced!H56</f>
        <v>25253415.108768325</v>
      </c>
      <c r="R56" s="19">
        <f t="shared" si="5"/>
        <v>25292173.62536728</v>
      </c>
      <c r="S56" s="19">
        <f t="shared" si="6"/>
        <v>252592798.55777335</v>
      </c>
    </row>
  </sheetData>
  <mergeCells count="3">
    <mergeCell ref="M2:R2"/>
    <mergeCell ref="G2:L2"/>
    <mergeCell ref="C2:E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1:AM29"/>
  <sheetViews>
    <sheetView workbookViewId="0">
      <selection activeCell="W29" sqref="W29"/>
    </sheetView>
  </sheetViews>
  <sheetFormatPr defaultRowHeight="15" x14ac:dyDescent="0.25"/>
  <sheetData>
    <row r="1" spans="16:39" x14ac:dyDescent="0.25"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10</v>
      </c>
      <c r="AF1">
        <v>11</v>
      </c>
      <c r="AG1">
        <v>12</v>
      </c>
      <c r="AH1">
        <v>13</v>
      </c>
      <c r="AI1">
        <v>14</v>
      </c>
      <c r="AJ1">
        <v>15</v>
      </c>
      <c r="AK1">
        <v>16</v>
      </c>
      <c r="AL1">
        <v>17</v>
      </c>
      <c r="AM1">
        <v>18</v>
      </c>
    </row>
    <row r="2" spans="16:39" ht="23.25" x14ac:dyDescent="0.35">
      <c r="P2" s="181">
        <f>E28</f>
        <v>2040</v>
      </c>
      <c r="Q2" s="181"/>
      <c r="W2" s="69" t="s">
        <v>206</v>
      </c>
      <c r="X2" s="72"/>
      <c r="Y2" s="72"/>
      <c r="Z2" s="72" t="s">
        <v>115</v>
      </c>
      <c r="AA2" s="72" t="s">
        <v>116</v>
      </c>
      <c r="AB2" s="72"/>
      <c r="AC2" s="72"/>
      <c r="AD2" s="72"/>
      <c r="AE2" s="72"/>
      <c r="AF2" s="72"/>
      <c r="AG2" s="72" t="s">
        <v>117</v>
      </c>
      <c r="AH2" s="72"/>
      <c r="AI2" s="72"/>
      <c r="AJ2" s="69"/>
      <c r="AM2" t="s">
        <v>115</v>
      </c>
    </row>
    <row r="3" spans="16:39" x14ac:dyDescent="0.25">
      <c r="V3" s="11" t="s">
        <v>97</v>
      </c>
      <c r="W3" s="11" t="s">
        <v>115</v>
      </c>
      <c r="X3" s="11" t="s">
        <v>116</v>
      </c>
      <c r="Y3" s="11" t="s">
        <v>117</v>
      </c>
      <c r="Z3" s="11" t="s">
        <v>114</v>
      </c>
      <c r="AA3" s="11" t="s">
        <v>115</v>
      </c>
      <c r="AB3" s="11" t="s">
        <v>99</v>
      </c>
      <c r="AC3" s="11" t="s">
        <v>100</v>
      </c>
      <c r="AD3" s="11" t="s">
        <v>101</v>
      </c>
      <c r="AE3" s="11" t="s">
        <v>102</v>
      </c>
      <c r="AF3" s="11" t="s">
        <v>98</v>
      </c>
      <c r="AG3" s="11" t="s">
        <v>115</v>
      </c>
      <c r="AH3" s="11" t="s">
        <v>99</v>
      </c>
      <c r="AI3" s="11" t="s">
        <v>100</v>
      </c>
      <c r="AJ3" s="11" t="s">
        <v>101</v>
      </c>
      <c r="AK3" t="s">
        <v>102</v>
      </c>
      <c r="AL3" t="s">
        <v>98</v>
      </c>
      <c r="AM3" t="s">
        <v>98</v>
      </c>
    </row>
    <row r="4" spans="16:39" x14ac:dyDescent="0.25">
      <c r="V4">
        <f>VLOOKUP($E28,Miles!$B4:$S56,V1)</f>
        <v>2040</v>
      </c>
      <c r="W4">
        <f>VLOOKUP($E28,Miles!$B4:$S56,W1)</f>
        <v>116555350.72633438</v>
      </c>
      <c r="X4">
        <f>VLOOKUP($E28,Miles!$B4:$S56,X1)</f>
        <v>104899815.65370095</v>
      </c>
      <c r="Y4">
        <f>VLOOKUP($E28,Miles!$B4:$S56,Y1)</f>
        <v>11655535.072633438</v>
      </c>
      <c r="Z4">
        <f>VLOOKUP($E28,Miles!$B4:$S56,Z1)</f>
        <v>132731229.08760968</v>
      </c>
      <c r="AA4">
        <f>VLOOKUP($E28,Miles!$B4:$S56,AA1)</f>
        <v>119452903.78123048</v>
      </c>
      <c r="AB4">
        <f>VLOOKUP($E28,Miles!$B4:$S56,AB1)</f>
        <v>40641012.756731249</v>
      </c>
      <c r="AC4">
        <f>VLOOKUP($E28,Miles!$B4:$S56,AC1)</f>
        <v>261063.97660630071</v>
      </c>
      <c r="AD4">
        <f>VLOOKUP($E28,Miles!$B4:$S56,AD1)</f>
        <v>34867286.005546845</v>
      </c>
      <c r="AE4">
        <f>VLOOKUP($E28,Miles!$B4:$S56,AE1)</f>
        <v>43683541.042346083</v>
      </c>
      <c r="AF4">
        <f>VLOOKUP($E28,Miles!$B4:$S56,AF1)</f>
        <v>78811891.024499238</v>
      </c>
      <c r="AG4">
        <f>VLOOKUP($E28,Miles!$B4:$S56,AG1)</f>
        <v>13278325.306379203</v>
      </c>
      <c r="AH4">
        <f>VLOOKUP($E28,Miles!$B4:$S56,AH1)</f>
        <v>3834728.4763959586</v>
      </c>
      <c r="AI4">
        <f>VLOOKUP($E28,Miles!$B4:$S56,AI1)</f>
        <v>3890.6142724202368</v>
      </c>
      <c r="AJ4">
        <f>VLOOKUP($E28,Miles!$B4:$S56,AJ1)</f>
        <v>4791670.0286780065</v>
      </c>
      <c r="AK4">
        <f>VLOOKUP($E28,Miles!$B4:$S56,AK1)</f>
        <v>4648036.1870328169</v>
      </c>
      <c r="AL4">
        <f>VLOOKUP($E28,Miles!$B4:$S56,AL1)</f>
        <v>9443596.8299832437</v>
      </c>
      <c r="AM4">
        <f>VLOOKUP($E28,Miles!$B4:$S56,AM1)</f>
        <v>88255487.854482487</v>
      </c>
    </row>
    <row r="6" spans="16:39" x14ac:dyDescent="0.25">
      <c r="V6" s="1"/>
      <c r="W6" s="1"/>
      <c r="X6" s="1"/>
      <c r="Y6" s="1"/>
    </row>
    <row r="27" spans="4:25" ht="18" customHeight="1" x14ac:dyDescent="0.25">
      <c r="G27" t="s">
        <v>176</v>
      </c>
      <c r="J27" s="24">
        <f>(AE4+AK4)/Z4</f>
        <v>0.36413116612879015</v>
      </c>
    </row>
    <row r="28" spans="4:25" ht="18" customHeight="1" x14ac:dyDescent="0.25">
      <c r="D28" s="12" t="s">
        <v>118</v>
      </c>
      <c r="E28" s="25">
        <v>2040</v>
      </c>
      <c r="G28" t="s">
        <v>119</v>
      </c>
      <c r="J28" s="24">
        <f>AM4/Z4</f>
        <v>0.66491878709440089</v>
      </c>
      <c r="Y28" s="41" t="s">
        <v>152</v>
      </c>
    </row>
    <row r="29" spans="4:25" ht="18" customHeight="1" x14ac:dyDescent="0.3">
      <c r="G29" t="s">
        <v>120</v>
      </c>
      <c r="J29" s="24">
        <f>(Z4-W4)/W4</f>
        <v>0.13878280371061971</v>
      </c>
      <c r="K29" s="42" t="str">
        <f>IF(J29&gt;=0,Y28,Y29)</f>
        <v>↑↑</v>
      </c>
      <c r="Y29" s="41" t="s">
        <v>153</v>
      </c>
    </row>
  </sheetData>
  <mergeCells count="1">
    <mergeCell ref="P2:Q2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24"/>
  <sheetViews>
    <sheetView topLeftCell="B1" workbookViewId="0">
      <selection activeCell="C38" sqref="C38"/>
    </sheetView>
  </sheetViews>
  <sheetFormatPr defaultRowHeight="15" x14ac:dyDescent="0.25"/>
  <cols>
    <col min="1" max="1" width="10.140625" bestFit="1" customWidth="1"/>
  </cols>
  <sheetData>
    <row r="1" spans="1:4" x14ac:dyDescent="0.25">
      <c r="A1" t="s">
        <v>128</v>
      </c>
      <c r="B1">
        <v>1</v>
      </c>
      <c r="C1">
        <v>-0.2</v>
      </c>
      <c r="D1">
        <v>1.2</v>
      </c>
    </row>
    <row r="2" spans="1:4" x14ac:dyDescent="0.25">
      <c r="A2" t="s">
        <v>129</v>
      </c>
      <c r="B2">
        <v>1</v>
      </c>
      <c r="C2">
        <v>-0.4</v>
      </c>
      <c r="D2">
        <v>0.9</v>
      </c>
    </row>
    <row r="3" spans="1:4" x14ac:dyDescent="0.25">
      <c r="A3" t="s">
        <v>177</v>
      </c>
      <c r="B3" t="s">
        <v>128</v>
      </c>
      <c r="C3" t="s">
        <v>129</v>
      </c>
    </row>
    <row r="4" spans="1:4" x14ac:dyDescent="0.25">
      <c r="A4" s="16">
        <v>0</v>
      </c>
      <c r="B4" s="51">
        <f>$B$1+$C$1*$A4+$D$1*$A4*$A4</f>
        <v>1</v>
      </c>
      <c r="C4" s="51">
        <f>$B$2+$C$2*$A4+$D$2*$A4*$A4</f>
        <v>1</v>
      </c>
    </row>
    <row r="5" spans="1:4" x14ac:dyDescent="0.25">
      <c r="A5" s="16">
        <f>A4+0.05</f>
        <v>0.05</v>
      </c>
      <c r="B5" s="51">
        <f t="shared" ref="B5:B24" si="0">$B$1+$C$1*$A5+$D$1*$A5*$A5</f>
        <v>0.99299999999999999</v>
      </c>
      <c r="C5" s="51">
        <f t="shared" ref="C5:C24" si="1">$B$2+$C$2*$A5+$D$2*$A5*$A5</f>
        <v>0.98224999999999996</v>
      </c>
    </row>
    <row r="6" spans="1:4" x14ac:dyDescent="0.25">
      <c r="A6" s="16">
        <f t="shared" ref="A6:A22" si="2">A5+0.05</f>
        <v>0.1</v>
      </c>
      <c r="B6" s="51">
        <f t="shared" si="0"/>
        <v>0.99199999999999999</v>
      </c>
      <c r="C6" s="51">
        <f>$B$2+$C$2*$A6+$D$2*$A6*$A6</f>
        <v>0.96899999999999997</v>
      </c>
    </row>
    <row r="7" spans="1:4" x14ac:dyDescent="0.25">
      <c r="A7" s="16">
        <f t="shared" si="2"/>
        <v>0.15000000000000002</v>
      </c>
      <c r="B7" s="51">
        <f t="shared" si="0"/>
        <v>0.997</v>
      </c>
      <c r="C7" s="51">
        <f t="shared" si="1"/>
        <v>0.96024999999999994</v>
      </c>
    </row>
    <row r="8" spans="1:4" x14ac:dyDescent="0.25">
      <c r="A8" s="16">
        <f t="shared" si="2"/>
        <v>0.2</v>
      </c>
      <c r="B8" s="51">
        <f t="shared" si="0"/>
        <v>1.008</v>
      </c>
      <c r="C8" s="51">
        <f t="shared" si="1"/>
        <v>0.95599999999999996</v>
      </c>
    </row>
    <row r="9" spans="1:4" x14ac:dyDescent="0.25">
      <c r="A9" s="16">
        <f t="shared" si="2"/>
        <v>0.25</v>
      </c>
      <c r="B9" s="51">
        <f t="shared" si="0"/>
        <v>1.0249999999999999</v>
      </c>
      <c r="C9" s="51">
        <f t="shared" si="1"/>
        <v>0.95625000000000004</v>
      </c>
    </row>
    <row r="10" spans="1:4" x14ac:dyDescent="0.25">
      <c r="A10" s="16">
        <f t="shared" si="2"/>
        <v>0.3</v>
      </c>
      <c r="B10" s="51">
        <f t="shared" si="0"/>
        <v>1.048</v>
      </c>
      <c r="C10" s="51">
        <f t="shared" si="1"/>
        <v>0.96099999999999997</v>
      </c>
    </row>
    <row r="11" spans="1:4" x14ac:dyDescent="0.25">
      <c r="A11" s="16">
        <f t="shared" si="2"/>
        <v>0.35</v>
      </c>
      <c r="B11" s="51">
        <f t="shared" si="0"/>
        <v>1.077</v>
      </c>
      <c r="C11" s="51">
        <f t="shared" si="1"/>
        <v>0.97024999999999995</v>
      </c>
    </row>
    <row r="12" spans="1:4" x14ac:dyDescent="0.25">
      <c r="A12" s="16">
        <f t="shared" si="2"/>
        <v>0.39999999999999997</v>
      </c>
      <c r="B12" s="51">
        <f t="shared" si="0"/>
        <v>1.1120000000000001</v>
      </c>
      <c r="C12" s="51">
        <f t="shared" si="1"/>
        <v>0.98399999999999999</v>
      </c>
    </row>
    <row r="13" spans="1:4" x14ac:dyDescent="0.25">
      <c r="A13" s="16">
        <f t="shared" si="2"/>
        <v>0.44999999999999996</v>
      </c>
      <c r="B13" s="51">
        <f t="shared" si="0"/>
        <v>1.153</v>
      </c>
      <c r="C13" s="51">
        <f t="shared" si="1"/>
        <v>1.0022500000000001</v>
      </c>
    </row>
    <row r="14" spans="1:4" x14ac:dyDescent="0.25">
      <c r="A14" s="16">
        <f t="shared" si="2"/>
        <v>0.49999999999999994</v>
      </c>
      <c r="B14" s="51">
        <f t="shared" si="0"/>
        <v>1.2</v>
      </c>
      <c r="C14" s="51">
        <f t="shared" si="1"/>
        <v>1.0249999999999999</v>
      </c>
    </row>
    <row r="15" spans="1:4" x14ac:dyDescent="0.25">
      <c r="A15" s="16">
        <f t="shared" si="2"/>
        <v>0.54999999999999993</v>
      </c>
      <c r="B15" s="51">
        <f t="shared" si="0"/>
        <v>1.2529999999999999</v>
      </c>
      <c r="C15" s="51">
        <f t="shared" si="1"/>
        <v>1.0522499999999999</v>
      </c>
    </row>
    <row r="16" spans="1:4" x14ac:dyDescent="0.25">
      <c r="A16" s="16">
        <f t="shared" si="2"/>
        <v>0.6</v>
      </c>
      <c r="B16" s="51">
        <f t="shared" si="0"/>
        <v>1.3120000000000001</v>
      </c>
      <c r="C16" s="51">
        <f t="shared" si="1"/>
        <v>1.0840000000000001</v>
      </c>
    </row>
    <row r="17" spans="1:3" x14ac:dyDescent="0.25">
      <c r="A17" s="16">
        <f t="shared" si="2"/>
        <v>0.65</v>
      </c>
      <c r="B17" s="51">
        <f t="shared" si="0"/>
        <v>1.377</v>
      </c>
      <c r="C17" s="51">
        <f t="shared" si="1"/>
        <v>1.12025</v>
      </c>
    </row>
    <row r="18" spans="1:3" x14ac:dyDescent="0.25">
      <c r="A18" s="16">
        <f t="shared" si="2"/>
        <v>0.70000000000000007</v>
      </c>
      <c r="B18" s="51">
        <f t="shared" si="0"/>
        <v>1.448</v>
      </c>
      <c r="C18" s="51">
        <f t="shared" si="1"/>
        <v>1.161</v>
      </c>
    </row>
    <row r="19" spans="1:3" x14ac:dyDescent="0.25">
      <c r="A19" s="16">
        <f t="shared" si="2"/>
        <v>0.75000000000000011</v>
      </c>
      <c r="B19" s="51">
        <f t="shared" si="0"/>
        <v>1.5250000000000001</v>
      </c>
      <c r="C19" s="51">
        <f t="shared" si="1"/>
        <v>1.2062500000000003</v>
      </c>
    </row>
    <row r="20" spans="1:3" x14ac:dyDescent="0.25">
      <c r="A20" s="16">
        <f t="shared" si="2"/>
        <v>0.80000000000000016</v>
      </c>
      <c r="B20" s="51">
        <f t="shared" si="0"/>
        <v>1.6080000000000003</v>
      </c>
      <c r="C20" s="51">
        <f t="shared" si="1"/>
        <v>1.2560000000000002</v>
      </c>
    </row>
    <row r="21" spans="1:3" x14ac:dyDescent="0.25">
      <c r="A21" s="16">
        <f t="shared" si="2"/>
        <v>0.8500000000000002</v>
      </c>
      <c r="B21" s="51">
        <f t="shared" si="0"/>
        <v>1.6970000000000005</v>
      </c>
      <c r="C21" s="51">
        <f t="shared" si="1"/>
        <v>1.3102500000000004</v>
      </c>
    </row>
    <row r="22" spans="1:3" x14ac:dyDescent="0.25">
      <c r="A22" s="16">
        <f t="shared" si="2"/>
        <v>0.90000000000000024</v>
      </c>
      <c r="B22" s="51">
        <f t="shared" si="0"/>
        <v>1.7920000000000005</v>
      </c>
      <c r="C22" s="51">
        <f t="shared" si="1"/>
        <v>1.3690000000000002</v>
      </c>
    </row>
    <row r="23" spans="1:3" x14ac:dyDescent="0.25">
      <c r="A23" s="16">
        <f>A22+0.05</f>
        <v>0.95000000000000029</v>
      </c>
      <c r="B23" s="51">
        <f t="shared" si="0"/>
        <v>1.8930000000000007</v>
      </c>
      <c r="C23" s="51">
        <f t="shared" si="1"/>
        <v>1.4322500000000005</v>
      </c>
    </row>
    <row r="24" spans="1:3" x14ac:dyDescent="0.25">
      <c r="A24" s="16">
        <f>A23+0.05</f>
        <v>1.0000000000000002</v>
      </c>
      <c r="B24" s="51">
        <f t="shared" si="0"/>
        <v>2.0000000000000004</v>
      </c>
      <c r="C24" s="51">
        <f t="shared" si="1"/>
        <v>1.5000000000000004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Z58"/>
  <sheetViews>
    <sheetView topLeftCell="B1" workbookViewId="0">
      <selection activeCell="E6" sqref="E6"/>
    </sheetView>
  </sheetViews>
  <sheetFormatPr defaultRowHeight="15" x14ac:dyDescent="0.25"/>
  <cols>
    <col min="3" max="4" width="11.5703125" bestFit="1" customWidth="1"/>
    <col min="5" max="5" width="8.5703125" bestFit="1" customWidth="1"/>
    <col min="10" max="10" width="11.5703125" bestFit="1" customWidth="1"/>
    <col min="11" max="11" width="10.7109375" customWidth="1"/>
    <col min="12" max="12" width="10.5703125" customWidth="1"/>
    <col min="13" max="13" width="11" customWidth="1"/>
    <col min="14" max="14" width="11.5703125" customWidth="1"/>
    <col min="15" max="15" width="10.5703125" customWidth="1"/>
    <col min="16" max="16" width="10.42578125" customWidth="1"/>
    <col min="17" max="17" width="9.85546875" customWidth="1"/>
    <col min="18" max="18" width="10" customWidth="1"/>
    <col min="19" max="19" width="11.140625" customWidth="1"/>
    <col min="20" max="20" width="10.7109375" customWidth="1"/>
    <col min="21" max="21" width="11" customWidth="1"/>
    <col min="22" max="22" width="9.28515625" customWidth="1"/>
    <col min="23" max="23" width="8.7109375" customWidth="1"/>
    <col min="24" max="24" width="11.5703125" bestFit="1" customWidth="1"/>
  </cols>
  <sheetData>
    <row r="1" spans="1:26" x14ac:dyDescent="0.25">
      <c r="C1" s="183" t="s">
        <v>207</v>
      </c>
      <c r="D1" s="184"/>
      <c r="E1" s="184"/>
      <c r="F1" s="184"/>
      <c r="G1" s="184"/>
      <c r="H1" s="184"/>
      <c r="I1" s="185"/>
      <c r="J1" s="182" t="s">
        <v>208</v>
      </c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3">
        <v>0.1</v>
      </c>
      <c r="Y1" s="13">
        <v>0.1</v>
      </c>
      <c r="Z1" t="s">
        <v>141</v>
      </c>
    </row>
    <row r="2" spans="1:26" x14ac:dyDescent="0.25">
      <c r="C2" s="182" t="s">
        <v>106</v>
      </c>
      <c r="D2" s="179"/>
      <c r="E2" s="75"/>
      <c r="F2" s="75"/>
      <c r="G2" s="75"/>
      <c r="H2" s="75"/>
      <c r="I2" s="73"/>
      <c r="K2" s="172" t="s">
        <v>179</v>
      </c>
      <c r="L2" s="172"/>
      <c r="M2" s="172"/>
      <c r="N2" s="172"/>
      <c r="S2" s="178"/>
      <c r="T2" s="178"/>
      <c r="W2" s="66" t="s">
        <v>137</v>
      </c>
      <c r="X2" s="13">
        <v>0.05</v>
      </c>
      <c r="Y2" s="13">
        <v>0.1</v>
      </c>
      <c r="Z2" t="s">
        <v>140</v>
      </c>
    </row>
    <row r="3" spans="1:26" x14ac:dyDescent="0.25">
      <c r="B3" s="12"/>
      <c r="C3" s="76">
        <f>City!B54</f>
        <v>0.4642857142857143</v>
      </c>
      <c r="D3" s="77">
        <f>City!B55</f>
        <v>0.5357142857142857</v>
      </c>
      <c r="E3" s="75"/>
      <c r="F3" s="75"/>
      <c r="G3" s="75"/>
      <c r="H3" s="75"/>
      <c r="I3" s="73"/>
      <c r="K3" s="16">
        <f>City!H31</f>
        <v>0</v>
      </c>
      <c r="L3" s="13">
        <f>City!H32</f>
        <v>0.1</v>
      </c>
      <c r="M3" s="13">
        <f>City!H33</f>
        <v>0.3</v>
      </c>
      <c r="N3" s="13">
        <f>City!H34</f>
        <v>1</v>
      </c>
      <c r="S3" s="54"/>
      <c r="T3" s="55"/>
      <c r="X3" s="13">
        <v>0.15</v>
      </c>
      <c r="Y3" s="13">
        <v>0.1</v>
      </c>
      <c r="Z3" t="s">
        <v>231</v>
      </c>
    </row>
    <row r="4" spans="1:26" x14ac:dyDescent="0.25">
      <c r="C4" s="182" t="s">
        <v>114</v>
      </c>
      <c r="D4" s="179"/>
      <c r="E4" s="179" t="s">
        <v>191</v>
      </c>
      <c r="F4" s="179"/>
      <c r="G4" s="179" t="s">
        <v>190</v>
      </c>
      <c r="H4" s="179"/>
      <c r="I4" s="180"/>
      <c r="J4" s="182" t="s">
        <v>114</v>
      </c>
      <c r="K4" s="172"/>
      <c r="L4" s="172"/>
      <c r="M4" s="172"/>
      <c r="N4" s="172"/>
      <c r="O4" t="s">
        <v>182</v>
      </c>
      <c r="P4" s="172" t="s">
        <v>178</v>
      </c>
      <c r="Q4" s="172"/>
      <c r="R4" s="172"/>
      <c r="S4" s="172" t="s">
        <v>193</v>
      </c>
      <c r="T4" s="172"/>
      <c r="U4" s="172"/>
      <c r="V4" s="172" t="s">
        <v>192</v>
      </c>
      <c r="W4" s="172"/>
      <c r="X4" s="172" t="s">
        <v>194</v>
      </c>
      <c r="Y4" s="172"/>
      <c r="Z4" s="172"/>
    </row>
    <row r="5" spans="1:26" x14ac:dyDescent="0.25">
      <c r="B5" s="94" t="s">
        <v>97</v>
      </c>
      <c r="C5" s="78" t="s">
        <v>128</v>
      </c>
      <c r="D5" s="79" t="s">
        <v>129</v>
      </c>
      <c r="E5" s="79" t="s">
        <v>128</v>
      </c>
      <c r="F5" s="79" t="s">
        <v>129</v>
      </c>
      <c r="G5" s="79" t="s">
        <v>128</v>
      </c>
      <c r="H5" s="79" t="s">
        <v>129</v>
      </c>
      <c r="I5" s="74" t="s">
        <v>115</v>
      </c>
      <c r="J5" s="94" t="s">
        <v>115</v>
      </c>
      <c r="K5" s="94" t="s">
        <v>99</v>
      </c>
      <c r="L5" s="94" t="s">
        <v>100</v>
      </c>
      <c r="M5" s="94" t="s">
        <v>101</v>
      </c>
      <c r="N5" s="94" t="s">
        <v>102</v>
      </c>
      <c r="O5" s="94" t="s">
        <v>180</v>
      </c>
      <c r="P5" s="94" t="s">
        <v>128</v>
      </c>
      <c r="Q5" s="94" t="s">
        <v>129</v>
      </c>
      <c r="R5" s="94" t="s">
        <v>181</v>
      </c>
      <c r="S5" s="94" t="s">
        <v>128</v>
      </c>
      <c r="T5" s="94" t="s">
        <v>129</v>
      </c>
      <c r="U5" s="94" t="s">
        <v>115</v>
      </c>
      <c r="V5" s="94" t="s">
        <v>128</v>
      </c>
      <c r="W5" s="94" t="s">
        <v>129</v>
      </c>
      <c r="X5" s="94" t="s">
        <v>128</v>
      </c>
      <c r="Y5" s="94" t="s">
        <v>129</v>
      </c>
      <c r="Z5" s="94" t="s">
        <v>115</v>
      </c>
    </row>
    <row r="6" spans="1:26" x14ac:dyDescent="0.25">
      <c r="A6">
        <v>1</v>
      </c>
      <c r="B6">
        <f>City!B3</f>
        <v>2018</v>
      </c>
      <c r="C6" s="80">
        <f>Miles!C4*Delay!C$3</f>
        <v>39000000</v>
      </c>
      <c r="D6" s="81">
        <f>Miles!C4*Delay!D$3</f>
        <v>45000000</v>
      </c>
      <c r="E6" s="82">
        <f>City!I$16*(1+($A6-1)*City!I$18)</f>
        <v>1.4858113136480986</v>
      </c>
      <c r="F6" s="82">
        <f>City!J$16*(1+($A6-1)*City!J$18)</f>
        <v>1.2873459145159647</v>
      </c>
      <c r="G6" s="83">
        <f>C6*City!$B$16/City!$B$28*(E6-1)</f>
        <v>110522.07385494243</v>
      </c>
      <c r="H6" s="83">
        <f>D6*City!$B$16/City!$B$29*(F6-1)</f>
        <v>181027.92614505772</v>
      </c>
      <c r="I6" s="84">
        <f>G6+H6</f>
        <v>291550.00000000012</v>
      </c>
      <c r="J6" s="22">
        <f>SUM(K6:N6)</f>
        <v>83999986.643081784</v>
      </c>
      <c r="K6" s="19">
        <f>Miles!H4+Miles!N4</f>
        <v>83979744.734928295</v>
      </c>
      <c r="L6" s="19">
        <f>Miles!I4+Miles!O4</f>
        <v>14912.497779347528</v>
      </c>
      <c r="M6" s="19">
        <f>Miles!J4+Miles!P4</f>
        <v>5329.4103741324998</v>
      </c>
      <c r="N6" s="19">
        <f>Miles!K4+Miles!Q4</f>
        <v>0</v>
      </c>
      <c r="O6" s="14">
        <f>SUMPRODUCT(K6:N6,K$3:N$3)/J6</f>
        <v>3.6786587875356532E-5</v>
      </c>
      <c r="P6" s="52">
        <f>(Capacity!$B$1+Capacity!$C$1*$O6+Capacity!$D$1*$O6*$O6)</f>
        <v>0.99999264430632862</v>
      </c>
      <c r="Q6" s="52">
        <f>(Capacity!$B$2+Capacity!$C$2*$O6+Capacity!$D$2*$O6*$O6)</f>
        <v>0.99998528658277763</v>
      </c>
      <c r="R6" s="53">
        <f>(P6*S6+Q6*T6)/U6</f>
        <v>0.99998807578142523</v>
      </c>
      <c r="S6" s="18">
        <f>$J6*C$3/C6*G6</f>
        <v>110522.05628072456</v>
      </c>
      <c r="T6" s="18">
        <f>$J6*D$3/D6*H6</f>
        <v>181027.89735963862</v>
      </c>
      <c r="U6" s="63">
        <f>S6+T6</f>
        <v>291549.95364036318</v>
      </c>
      <c r="V6" s="64">
        <f>(S6*City!B$28/(City!$B$16*C$3*$J6)/P6+1)</f>
        <v>1.4858148871535894</v>
      </c>
      <c r="W6" s="64">
        <f>(T6*City!B$29/(City!$B$16*D$3*$J6)/Q6+1)</f>
        <v>1.287350142418499</v>
      </c>
      <c r="X6" s="18">
        <f>$J6*C$3*City!$B$16/City!$B$28*(V6-1)/((1+Dedicate!C5*X$1)*(1+Connect!C5*X$2)*(1+Pricing!J6*X$3))</f>
        <v>110522.86925309445</v>
      </c>
      <c r="Y6" s="18">
        <f>$J6*D$3*City!$B$16/City!$B$29*(W6-1)/((1+Dedicate!D5*Y$1)*(1+Connect!D5*Y$2)*(1+Pricing!K6*Y$3))</f>
        <v>181030.56093781171</v>
      </c>
      <c r="Z6" s="20">
        <f>SUM(X6:Y6)</f>
        <v>291553.43019090616</v>
      </c>
    </row>
    <row r="7" spans="1:26" x14ac:dyDescent="0.25">
      <c r="A7">
        <f>A6+1</f>
        <v>2</v>
      </c>
      <c r="B7">
        <f>B6+1</f>
        <v>2019</v>
      </c>
      <c r="C7" s="80">
        <f>Miles!C5*Delay!C$3</f>
        <v>39584999.999999993</v>
      </c>
      <c r="D7" s="81">
        <f>Miles!C5*Delay!D$3</f>
        <v>45674999.999999993</v>
      </c>
      <c r="E7" s="82">
        <f>City!I$16*(1+($A7-1)*City!I$18)</f>
        <v>1.4966386728398473</v>
      </c>
      <c r="F7" s="82">
        <f>City!J$16*(1+($A7-1)*City!J$18)</f>
        <v>1.2928946183525394</v>
      </c>
      <c r="G7" s="83">
        <f>C7*City!$B$16/City!$B$28*(E7-1)</f>
        <v>114680.07754213121</v>
      </c>
      <c r="H7" s="83">
        <f>D7*City!$B$16/City!$B$29*(F7-1)</f>
        <v>187291.46370553126</v>
      </c>
      <c r="I7" s="84">
        <f t="shared" ref="I7:I58" si="0">G7+H7</f>
        <v>301971.54124766251</v>
      </c>
      <c r="J7" s="22">
        <f t="shared" ref="J7:J58" si="1">SUM(K7:N7)</f>
        <v>85259976.07847923</v>
      </c>
      <c r="K7" s="19">
        <f>Miles!H5+Miles!N5</f>
        <v>84755986.890077904</v>
      </c>
      <c r="L7" s="19">
        <f>Miles!I5+Miles!O5</f>
        <v>494444.50162032759</v>
      </c>
      <c r="M7" s="19">
        <f>Miles!J5+Miles!P5</f>
        <v>9544.6867810011991</v>
      </c>
      <c r="N7" s="19">
        <f>Miles!K5+Miles!Q5</f>
        <v>0</v>
      </c>
      <c r="O7" s="14">
        <f t="shared" ref="O7:O58" si="2">SUMPRODUCT(K7:N7,K$3:N$3)/J7</f>
        <v>6.1351009702589312E-4</v>
      </c>
      <c r="P7" s="52">
        <f>(Capacity!$B$1+Capacity!$C$1*$O7+Capacity!$D$1*$O7*$O7)</f>
        <v>0.99987774965416176</v>
      </c>
      <c r="Q7" s="52">
        <f>(Capacity!$B$2+Capacity!$C$2*$O7+Capacity!$D$2*$O7*$O7)</f>
        <v>0.9997549347163649</v>
      </c>
      <c r="R7" s="53">
        <f t="shared" ref="R7:R58" si="3">(P7*S7+Q7*T7)/U7</f>
        <v>0.99980157628573829</v>
      </c>
      <c r="S7" s="18">
        <f t="shared" ref="S7:S58" si="4">$J7*C$3/C7*G7</f>
        <v>114680.04536617703</v>
      </c>
      <c r="T7" s="18">
        <f t="shared" ref="T7:T58" si="5">$J7*D$3/D7*H7</f>
        <v>187291.41115689607</v>
      </c>
      <c r="U7" s="63">
        <f t="shared" ref="U7:U58" si="6">S7+T7</f>
        <v>301971.45652307308</v>
      </c>
      <c r="V7" s="64">
        <f>(S7*City!B$28/(City!$B$16*C$3*$J7)/P7+1)</f>
        <v>1.4966993945126041</v>
      </c>
      <c r="W7" s="64">
        <f>(T7*City!B$29/(City!$B$16*D$3*$J7)/Q7+1)</f>
        <v>1.2929664142499431</v>
      </c>
      <c r="X7" s="18">
        <f>$J7*C$3*City!$B$16/City!$B$28*(V7-1)/((1+Dedicate!C6*X$1)*(1+Connect!C6*X$2)*(1+Pricing!J7*X$3))</f>
        <v>114694.06675550349</v>
      </c>
      <c r="Y7" s="18">
        <f>$J7*D$3*City!$B$16/City!$B$29*(W7-1)/((1+Dedicate!D6*Y$1)*(1+Connect!D6*Y$2)*(1+Pricing!K7*Y$3))</f>
        <v>187337.32103060986</v>
      </c>
      <c r="Z7" s="20">
        <f t="shared" ref="Z7:Z58" si="7">SUM(X7:Y7)</f>
        <v>302031.38778611337</v>
      </c>
    </row>
    <row r="8" spans="1:26" x14ac:dyDescent="0.25">
      <c r="A8">
        <f t="shared" ref="A8:A58" si="8">A7+1</f>
        <v>3</v>
      </c>
      <c r="B8">
        <f t="shared" ref="B8:B58" si="9">B7+1</f>
        <v>2020</v>
      </c>
      <c r="C8" s="80">
        <f>Miles!C6*Delay!C$3</f>
        <v>40178774.999999985</v>
      </c>
      <c r="D8" s="81">
        <f>Miles!C6*Delay!D$3</f>
        <v>46360124.999999985</v>
      </c>
      <c r="E8" s="82">
        <f>City!I$16*(1+($A8-1)*City!I$18)</f>
        <v>1.5074660320315962</v>
      </c>
      <c r="F8" s="82">
        <f>City!J$16*(1+($A8-1)*City!J$18)</f>
        <v>1.2984433221891141</v>
      </c>
      <c r="G8" s="83">
        <f>C8*City!$B$16/City!$B$28*(E8-1)</f>
        <v>118937.95387331836</v>
      </c>
      <c r="H8" s="83">
        <f>D8*City!$B$16/City!$B$29*(F8-1)</f>
        <v>193702.17610943635</v>
      </c>
      <c r="I8" s="84">
        <f t="shared" si="0"/>
        <v>312640.1299827547</v>
      </c>
      <c r="J8" s="22">
        <f t="shared" si="1"/>
        <v>86538667.029283673</v>
      </c>
      <c r="K8" s="19">
        <f>Miles!H6+Miles!N6</f>
        <v>83834203.133651525</v>
      </c>
      <c r="L8" s="19">
        <f>Miles!I6+Miles!O6</f>
        <v>2611508.5798378284</v>
      </c>
      <c r="M8" s="19">
        <f>Miles!J6+Miles!P6</f>
        <v>92955.315794321825</v>
      </c>
      <c r="N8" s="19">
        <f>Miles!K6+Miles!Q6</f>
        <v>0</v>
      </c>
      <c r="O8" s="14">
        <f t="shared" si="2"/>
        <v>3.339980411580323E-3</v>
      </c>
      <c r="P8" s="52">
        <f>(Capacity!$B$1+Capacity!$C$1*$O8+Capacity!$D$1*$O8*$O8)</f>
        <v>0.99934539048066362</v>
      </c>
      <c r="Q8" s="52">
        <f>(Capacity!$B$2+Capacity!$C$2*$O8+Capacity!$D$2*$O8*$O8)</f>
        <v>0.99867404775760271</v>
      </c>
      <c r="R8" s="53">
        <f t="shared" si="3"/>
        <v>0.9989294472478506</v>
      </c>
      <c r="S8" s="18">
        <f t="shared" si="4"/>
        <v>118937.63368135488</v>
      </c>
      <c r="T8" s="18">
        <f t="shared" si="5"/>
        <v>193701.65464527725</v>
      </c>
      <c r="U8" s="63">
        <f t="shared" si="6"/>
        <v>312639.28832663212</v>
      </c>
      <c r="V8" s="64">
        <f>(S8*City!B$28/(City!$B$16*C$3*$J8)/P8+1)</f>
        <v>1.5077984417254537</v>
      </c>
      <c r="W8" s="64">
        <f>(T8*City!B$29/(City!$B$16*D$3*$J8)/Q8+1)</f>
        <v>1.2988395691859933</v>
      </c>
      <c r="X8" s="18">
        <f>$J8*C$3*City!$B$16/City!$B$28*(V8-1)/((1+Dedicate!C7*X$1)*(1+Connect!C7*X$2)*(1+Pricing!J8*X$3))</f>
        <v>119015.54238835124</v>
      </c>
      <c r="Y8" s="18">
        <f>$J8*D$3*City!$B$16/City!$B$29*(W8-1)/((1+Dedicate!D7*Y$1)*(1+Connect!D7*Y$2)*(1+Pricing!K8*Y$3))</f>
        <v>193958.83479720939</v>
      </c>
      <c r="Z8" s="20">
        <f t="shared" si="7"/>
        <v>312974.37718556065</v>
      </c>
    </row>
    <row r="9" spans="1:26" x14ac:dyDescent="0.25">
      <c r="A9">
        <f t="shared" si="8"/>
        <v>4</v>
      </c>
      <c r="B9">
        <f t="shared" si="9"/>
        <v>2021</v>
      </c>
      <c r="C9" s="80">
        <f>Miles!C7*Delay!C$3</f>
        <v>40781456.624999978</v>
      </c>
      <c r="D9" s="81">
        <f>Miles!C7*Delay!D$3</f>
        <v>47055526.874999978</v>
      </c>
      <c r="E9" s="82">
        <f>City!I$16*(1+($A9-1)*City!I$18)</f>
        <v>1.5182933912233452</v>
      </c>
      <c r="F9" s="82">
        <f>City!J$16*(1+($A9-1)*City!J$18)</f>
        <v>1.3039920260256888</v>
      </c>
      <c r="G9" s="83">
        <f>C9*City!$B$16/City!$B$28*(E9-1)</f>
        <v>123297.76347699414</v>
      </c>
      <c r="H9" s="83">
        <f>D9*City!$B$16/City!$B$29*(F9-1)</f>
        <v>200263.06930612485</v>
      </c>
      <c r="I9" s="84">
        <f t="shared" si="0"/>
        <v>323560.832783119</v>
      </c>
      <c r="J9" s="22">
        <f t="shared" si="1"/>
        <v>87835938.35466367</v>
      </c>
      <c r="K9" s="19">
        <f>Miles!H7+Miles!N7</f>
        <v>80659343.333801493</v>
      </c>
      <c r="L9" s="19">
        <f>Miles!I7+Miles!O7</f>
        <v>6759582.0316825025</v>
      </c>
      <c r="M9" s="19">
        <f>Miles!J7+Miles!P7</f>
        <v>417012.98917966732</v>
      </c>
      <c r="N9" s="19">
        <f>Miles!K7+Miles!Q7</f>
        <v>0</v>
      </c>
      <c r="O9" s="14">
        <f t="shared" si="2"/>
        <v>9.11998112535241E-3</v>
      </c>
      <c r="P9" s="52">
        <f>(Capacity!$B$1+Capacity!$C$1*$O9+Capacity!$D$1*$O9*$O9)</f>
        <v>0.99827581264180165</v>
      </c>
      <c r="Q9" s="52">
        <f>(Capacity!$B$2+Capacity!$C$2*$O9+Capacity!$D$2*$O9*$O9)</f>
        <v>0.99642686420001314</v>
      </c>
      <c r="R9" s="53">
        <f t="shared" si="3"/>
        <v>0.99713143405074534</v>
      </c>
      <c r="S9" s="18">
        <f t="shared" si="4"/>
        <v>123296.29639470902</v>
      </c>
      <c r="T9" s="18">
        <f t="shared" si="5"/>
        <v>200260.68643726283</v>
      </c>
      <c r="U9" s="63">
        <f t="shared" si="6"/>
        <v>323556.98283197184</v>
      </c>
      <c r="V9" s="64">
        <f>(S9*City!B$28/(City!$B$16*C$3*$J9)/P9+1)</f>
        <v>1.5191885695915559</v>
      </c>
      <c r="W9" s="64">
        <f>(T9*City!B$29/(City!$B$16*D$3*$J9)/Q9+1)</f>
        <v>1.3050821258916483</v>
      </c>
      <c r="X9" s="18">
        <f>$J9*C$3*City!$B$16/City!$B$28*(V9-1)/((1+Dedicate!C8*X$1)*(1+Connect!C8*X$2)*(1+Pricing!J9*X$3))</f>
        <v>123509.24948128517</v>
      </c>
      <c r="Y9" s="18">
        <f>$J9*D$3*City!$B$16/City!$B$29*(W9-1)/((1+Dedicate!D8*Y$1)*(1+Connect!D8*Y$2)*(1+Pricing!K9*Y$3))</f>
        <v>200978.81102196418</v>
      </c>
      <c r="Z9" s="20">
        <f t="shared" si="7"/>
        <v>324488.06050324935</v>
      </c>
    </row>
    <row r="10" spans="1:26" x14ac:dyDescent="0.25">
      <c r="A10">
        <f t="shared" si="8"/>
        <v>5</v>
      </c>
      <c r="B10">
        <f t="shared" si="9"/>
        <v>2022</v>
      </c>
      <c r="C10" s="80">
        <f>Miles!C8*Delay!C$3</f>
        <v>41393178.47437498</v>
      </c>
      <c r="D10" s="81">
        <f>Miles!C8*Delay!D$3</f>
        <v>47761359.778124973</v>
      </c>
      <c r="E10" s="82">
        <f>City!I$16*(1+($A10-1)*City!I$18)</f>
        <v>1.5291207504150941</v>
      </c>
      <c r="F10" s="82">
        <f>City!J$16*(1+($A10-1)*City!J$18)</f>
        <v>1.3095407298622634</v>
      </c>
      <c r="G10" s="83">
        <f>C10*City!$B$16/City!$B$28*(E10-1)</f>
        <v>127761.60632915871</v>
      </c>
      <c r="H10" s="83">
        <f>D10*City!$B$16/City!$B$29*(F10-1)</f>
        <v>206977.20630908938</v>
      </c>
      <c r="I10" s="84">
        <f t="shared" si="0"/>
        <v>334738.81263824808</v>
      </c>
      <c r="J10" s="22">
        <f t="shared" si="1"/>
        <v>89151493.454270422</v>
      </c>
      <c r="K10" s="19">
        <f>Miles!H8+Miles!N8</f>
        <v>75948438.436488003</v>
      </c>
      <c r="L10" s="19">
        <f>Miles!I8+Miles!O8</f>
        <v>11988180.524208494</v>
      </c>
      <c r="M10" s="19">
        <f>Miles!J8+Miles!P8</f>
        <v>1214874.4935739413</v>
      </c>
      <c r="N10" s="19">
        <f>Miles!K8+Miles!Q8</f>
        <v>0</v>
      </c>
      <c r="O10" s="14">
        <f t="shared" si="2"/>
        <v>1.7535100534181232E-2</v>
      </c>
      <c r="P10" s="52">
        <f>(Capacity!$B$1+Capacity!$C$1*$O10+Capacity!$D$1*$O10*$O10)</f>
        <v>0.99686195559405633</v>
      </c>
      <c r="Q10" s="52">
        <f>(Capacity!$B$2+Capacity!$C$2*$O10+Capacity!$D$2*$O10*$O10)</f>
        <v>0.99326269156199698</v>
      </c>
      <c r="R10" s="53">
        <f t="shared" si="3"/>
        <v>0.99463644248951677</v>
      </c>
      <c r="S10" s="18">
        <f t="shared" si="4"/>
        <v>127757.24302561434</v>
      </c>
      <c r="T10" s="18">
        <f t="shared" si="5"/>
        <v>206970.1376410925</v>
      </c>
      <c r="U10" s="63">
        <f t="shared" si="6"/>
        <v>334727.38066670683</v>
      </c>
      <c r="V10" s="64">
        <f>(S10*City!B$28/(City!$B$16*C$3*$J10)/P10+1)</f>
        <v>1.5307863816507843</v>
      </c>
      <c r="W10" s="64">
        <f>(T10*City!B$29/(City!$B$16*D$3*$J10)/Q10+1)</f>
        <v>1.3116403470017404</v>
      </c>
      <c r="X10" s="18">
        <f>$J10*C$3*City!$B$16/City!$B$28*(V10-1)/((1+Dedicate!C9*X$1)*(1+Connect!C9*X$2)*(1+Pricing!J10*X$3))</f>
        <v>128159.41295450523</v>
      </c>
      <c r="Y10" s="18">
        <f>$J10*D$3*City!$B$16/City!$B$29*(W10-1)/((1+Dedicate!D9*Y$1)*(1+Connect!D9*Y$2)*(1+Pricing!K10*Y$3))</f>
        <v>208374.01766859161</v>
      </c>
      <c r="Z10" s="20">
        <f t="shared" si="7"/>
        <v>336533.43062309682</v>
      </c>
    </row>
    <row r="11" spans="1:26" x14ac:dyDescent="0.25">
      <c r="A11">
        <f t="shared" si="8"/>
        <v>6</v>
      </c>
      <c r="B11">
        <f t="shared" si="9"/>
        <v>2023</v>
      </c>
      <c r="C11" s="80">
        <f>Miles!C9*Delay!C$3</f>
        <v>42014076.151490599</v>
      </c>
      <c r="D11" s="81">
        <f>Miles!C9*Delay!D$3</f>
        <v>48477780.174796849</v>
      </c>
      <c r="E11" s="82">
        <f>City!I$16*(1+($A11-1)*City!I$18)</f>
        <v>1.5399481096068428</v>
      </c>
      <c r="F11" s="82">
        <f>City!J$16*(1+($A11-1)*City!J$18)</f>
        <v>1.3150894336988384</v>
      </c>
      <c r="G11" s="83">
        <f>C11*City!$B$16/City!$B$28*(E11-1)</f>
        <v>132331.62247010582</v>
      </c>
      <c r="H11" s="83">
        <f>D11*City!$B$16/City!$B$29*(F11-1)</f>
        <v>213847.70823154916</v>
      </c>
      <c r="I11" s="84">
        <f t="shared" si="0"/>
        <v>346179.33070165501</v>
      </c>
      <c r="J11" s="22">
        <f t="shared" si="1"/>
        <v>90552183.784604579</v>
      </c>
      <c r="K11" s="19">
        <f>Miles!H9+Miles!N9</f>
        <v>70951922.598214999</v>
      </c>
      <c r="L11" s="19">
        <f>Miles!I9+Miles!O9</f>
        <v>16820364.551870555</v>
      </c>
      <c r="M11" s="19">
        <f>Miles!J9+Miles!P9</f>
        <v>2779896.6345190252</v>
      </c>
      <c r="N11" s="19">
        <f>Miles!K9+Miles!Q9</f>
        <v>0</v>
      </c>
      <c r="O11" s="14">
        <f t="shared" si="2"/>
        <v>2.7785143774418028E-2</v>
      </c>
      <c r="P11" s="52">
        <f>(Capacity!$B$1+Capacity!$C$1*$O11+Capacity!$D$1*$O11*$O11)</f>
        <v>0.99536938830259447</v>
      </c>
      <c r="Q11" s="52">
        <f>(Capacity!$B$2+Capacity!$C$2*$O11+Capacity!$D$2*$O11*$O11)</f>
        <v>0.98958075528334133</v>
      </c>
      <c r="R11" s="53">
        <f t="shared" si="3"/>
        <v>0.99179353672748227</v>
      </c>
      <c r="S11" s="18">
        <f t="shared" si="4"/>
        <v>132419.8428996859</v>
      </c>
      <c r="T11" s="18">
        <f t="shared" si="5"/>
        <v>213990.27231663142</v>
      </c>
      <c r="U11" s="63">
        <f t="shared" si="6"/>
        <v>346410.11521631735</v>
      </c>
      <c r="V11" s="64">
        <f>(S11*City!B$28/(City!$B$16*C$3*$J11)/P11+1)</f>
        <v>1.5424600313734957</v>
      </c>
      <c r="W11" s="64">
        <f>(T11*City!B$29/(City!$B$16*D$3*$J11)/Q11+1)</f>
        <v>1.3184069940897551</v>
      </c>
      <c r="X11" s="18">
        <f>$J11*C$3*City!$B$16/City!$B$28*(V11-1)/((1+Dedicate!C10*X$1)*(1+Connect!C10*X$2)*(1+Pricing!J11*X$3))</f>
        <v>133035.88040365768</v>
      </c>
      <c r="Y11" s="18">
        <f>$J11*D$3*City!$B$16/City!$B$29*(W11-1)/((1+Dedicate!D10*Y$1)*(1+Connect!D10*Y$2)*(1+Pricing!K11*Y$3))</f>
        <v>216243.36485339256</v>
      </c>
      <c r="Z11" s="20">
        <f t="shared" si="7"/>
        <v>349279.24525705026</v>
      </c>
    </row>
    <row r="12" spans="1:26" x14ac:dyDescent="0.25">
      <c r="A12">
        <f t="shared" si="8"/>
        <v>7</v>
      </c>
      <c r="B12">
        <f t="shared" si="9"/>
        <v>2024</v>
      </c>
      <c r="C12" s="80">
        <f>Miles!C10*Delay!C$3</f>
        <v>42644287.29376296</v>
      </c>
      <c r="D12" s="81">
        <f>Miles!C10*Delay!D$3</f>
        <v>49204946.877418794</v>
      </c>
      <c r="E12" s="82">
        <f>City!I$16*(1+($A12-1)*City!I$18)</f>
        <v>1.5507754687985915</v>
      </c>
      <c r="F12" s="82">
        <f>City!J$16*(1+($A12-1)*City!J$18)</f>
        <v>1.320638137535413</v>
      </c>
      <c r="G12" s="83">
        <f>C12*City!$B$16/City!$B$28*(E12-1)</f>
        <v>137009.99273385733</v>
      </c>
      <c r="H12" s="83">
        <f>D12*City!$B$16/City!$B$29*(F12-1)</f>
        <v>220877.75534026296</v>
      </c>
      <c r="I12" s="84">
        <f t="shared" si="0"/>
        <v>357887.74807412026</v>
      </c>
      <c r="J12" s="22">
        <f t="shared" si="1"/>
        <v>91967395.261267781</v>
      </c>
      <c r="K12" s="19">
        <f>Miles!H10+Miles!N10</f>
        <v>66629439.894763805</v>
      </c>
      <c r="L12" s="19">
        <f>Miles!I10+Miles!O10</f>
        <v>20145617.548973441</v>
      </c>
      <c r="M12" s="19">
        <f>Miles!J10+Miles!P10</f>
        <v>5158365.9611294465</v>
      </c>
      <c r="N12" s="19">
        <f>Miles!K10+Miles!Q10</f>
        <v>33971.856401103112</v>
      </c>
      <c r="O12" s="14">
        <f t="shared" si="2"/>
        <v>3.91012857265488E-2</v>
      </c>
      <c r="P12" s="52">
        <f>(Capacity!$B$1+Capacity!$C$1*$O12+Capacity!$D$1*$O12*$O12)</f>
        <v>0.99401443550925328</v>
      </c>
      <c r="Q12" s="52">
        <f>(Capacity!$B$2+Capacity!$C$2*$O12+Capacity!$D$2*$O12*$O12)</f>
        <v>0.98573550520030273</v>
      </c>
      <c r="R12" s="53">
        <f t="shared" si="3"/>
        <v>0.98890492406858577</v>
      </c>
      <c r="S12" s="18">
        <f t="shared" si="4"/>
        <v>137186.25168952745</v>
      </c>
      <c r="T12" s="18">
        <f t="shared" si="5"/>
        <v>221161.90747917048</v>
      </c>
      <c r="U12" s="63">
        <f t="shared" si="6"/>
        <v>358348.15916869789</v>
      </c>
      <c r="V12" s="64">
        <f>(S12*City!B$28/(City!$B$16*C$3*$J12)/P12+1)</f>
        <v>1.5540920223320684</v>
      </c>
      <c r="W12" s="64">
        <f>(T12*City!B$29/(City!$B$16*D$3*$J12)/Q12+1)</f>
        <v>1.3252780647991969</v>
      </c>
      <c r="X12" s="18">
        <f>$J12*C$3*City!$B$16/City!$B$28*(V12-1)/((1+Dedicate!C11*X$1)*(1+Connect!C11*X$2)*(1+Pricing!J12*X$3))</f>
        <v>138012.33341168149</v>
      </c>
      <c r="Y12" s="18">
        <f>$J12*D$3*City!$B$16/City!$B$29*(W12-1)/((1+Dedicate!D11*Y$1)*(1+Connect!D11*Y$2)*(1+Pricing!K12*Y$3))</f>
        <v>224362.32266406008</v>
      </c>
      <c r="Z12" s="20">
        <f t="shared" si="7"/>
        <v>362374.65607574157</v>
      </c>
    </row>
    <row r="13" spans="1:26" x14ac:dyDescent="0.25">
      <c r="A13">
        <f t="shared" si="8"/>
        <v>8</v>
      </c>
      <c r="B13">
        <f t="shared" si="9"/>
        <v>2025</v>
      </c>
      <c r="C13" s="80">
        <f>Miles!C11*Delay!C$3</f>
        <v>43283951.603169397</v>
      </c>
      <c r="D13" s="81">
        <f>Miles!C11*Delay!D$3</f>
        <v>49943021.080580071</v>
      </c>
      <c r="E13" s="82">
        <f>City!I$16*(1+($A13-1)*City!I$18)</f>
        <v>1.5616028279903407</v>
      </c>
      <c r="F13" s="82">
        <f>City!J$16*(1+($A13-1)*City!J$18)</f>
        <v>1.3261868413719877</v>
      </c>
      <c r="G13" s="83">
        <f>C13*City!$B$16/City!$B$28*(E13-1)</f>
        <v>141798.93949046565</v>
      </c>
      <c r="H13" s="83">
        <f>D13*City!$B$16/City!$B$29*(F13-1)</f>
        <v>228070.58812788612</v>
      </c>
      <c r="I13" s="84">
        <f t="shared" si="0"/>
        <v>369869.52761835174</v>
      </c>
      <c r="J13" s="22">
        <f t="shared" si="1"/>
        <v>93426363.235466078</v>
      </c>
      <c r="K13" s="19">
        <f>Miles!H11+Miles!N11</f>
        <v>63412063.021925502</v>
      </c>
      <c r="L13" s="19">
        <f>Miles!I11+Miles!O11</f>
        <v>21508811.88592821</v>
      </c>
      <c r="M13" s="19">
        <f>Miles!J11+Miles!P11</f>
        <v>8392326.4328353591</v>
      </c>
      <c r="N13" s="19">
        <f>Miles!K11+Miles!Q11</f>
        <v>113161.89477701964</v>
      </c>
      <c r="O13" s="14">
        <f t="shared" si="2"/>
        <v>5.1181923898384454E-2</v>
      </c>
      <c r="P13" s="52">
        <f>(Capacity!$B$1+Capacity!$C$1*$O13+Capacity!$D$1*$O13*$O13)</f>
        <v>0.99290712242105106</v>
      </c>
      <c r="Q13" s="52">
        <f>(Capacity!$B$2+Capacity!$C$2*$O13+Capacity!$D$2*$O13*$O13)</f>
        <v>0.98188486084119231</v>
      </c>
      <c r="R13" s="53">
        <f t="shared" si="3"/>
        <v>0.98611052661278076</v>
      </c>
      <c r="S13" s="18">
        <f t="shared" si="4"/>
        <v>142102.21404678686</v>
      </c>
      <c r="T13" s="18">
        <f t="shared" si="5"/>
        <v>228558.37743486508</v>
      </c>
      <c r="U13" s="63">
        <f t="shared" si="6"/>
        <v>370660.59148165194</v>
      </c>
      <c r="V13" s="64">
        <f>(S13*City!B$28/(City!$B$16*C$3*$J13)/P13+1)</f>
        <v>1.5656146635558001</v>
      </c>
      <c r="W13" s="64">
        <f>(T13*City!B$29/(City!$B$16*D$3*$J13)/Q13+1)</f>
        <v>1.332204777139083</v>
      </c>
      <c r="X13" s="18">
        <f>$J13*C$3*City!$B$16/City!$B$28*(V13-1)/((1+Dedicate!C12*X$1)*(1+Connect!C12*X$2)*(1+Pricing!J13*X$3))</f>
        <v>143117.3277318149</v>
      </c>
      <c r="Y13" s="18">
        <f>$J13*D$3*City!$B$16/City!$B$29*(W13-1)/((1+Dedicate!D12*Y$1)*(1+Connect!D12*Y$2)*(1+Pricing!K13*Y$3))</f>
        <v>232775.13133164775</v>
      </c>
      <c r="Z13" s="20">
        <f t="shared" si="7"/>
        <v>375892.45906346268</v>
      </c>
    </row>
    <row r="14" spans="1:26" x14ac:dyDescent="0.25">
      <c r="A14">
        <f t="shared" si="8"/>
        <v>9</v>
      </c>
      <c r="B14">
        <f t="shared" si="9"/>
        <v>2026</v>
      </c>
      <c r="C14" s="80">
        <f>Miles!C12*Delay!C$3</f>
        <v>43933210.877216935</v>
      </c>
      <c r="D14" s="81">
        <f>Miles!C12*Delay!D$3</f>
        <v>50692166.396788761</v>
      </c>
      <c r="E14" s="82">
        <f>City!I$16*(1+($A14-1)*City!I$18)</f>
        <v>1.5724301871820894</v>
      </c>
      <c r="F14" s="82">
        <f>City!J$16*(1+($A14-1)*City!J$18)</f>
        <v>1.3317355452085624</v>
      </c>
      <c r="G14" s="83">
        <f>C14*City!$B$16/City!$B$28*(E14-1)</f>
        <v>146700.72740140703</v>
      </c>
      <c r="H14" s="83">
        <f>D14*City!$B$16/City!$B$29*(F14-1)</f>
        <v>235429.50840418637</v>
      </c>
      <c r="I14" s="84">
        <f t="shared" si="0"/>
        <v>382130.23580559343</v>
      </c>
      <c r="J14" s="22">
        <f t="shared" si="1"/>
        <v>94957876.111604527</v>
      </c>
      <c r="K14" s="19">
        <f>Miles!H12+Miles!N12</f>
        <v>60567624.146947503</v>
      </c>
      <c r="L14" s="19">
        <f>Miles!I12+Miles!O12</f>
        <v>21125048.675801583</v>
      </c>
      <c r="M14" s="19">
        <f>Miles!J12+Miles!P12</f>
        <v>12466360.795626203</v>
      </c>
      <c r="N14" s="19">
        <f>Miles!K12+Miles!Q12</f>
        <v>798842.49322923948</v>
      </c>
      <c r="O14" s="14">
        <f t="shared" si="2"/>
        <v>7.0044275123424191E-2</v>
      </c>
      <c r="P14" s="52">
        <f>(Capacity!$B$1+Capacity!$C$1*$O14+Capacity!$D$1*$O14*$O14)</f>
        <v>0.99187858554839425</v>
      </c>
      <c r="Q14" s="52">
        <f>(Capacity!$B$2+Capacity!$C$2*$O14+Capacity!$D$2*$O14*$O14)</f>
        <v>0.97639787038043968</v>
      </c>
      <c r="R14" s="53">
        <f t="shared" si="3"/>
        <v>0.98234095460418658</v>
      </c>
      <c r="S14" s="18">
        <f t="shared" si="4"/>
        <v>147216.21090848593</v>
      </c>
      <c r="T14" s="18">
        <f t="shared" si="5"/>
        <v>236256.77102797685</v>
      </c>
      <c r="U14" s="63">
        <f t="shared" si="6"/>
        <v>383472.98193646281</v>
      </c>
      <c r="V14" s="64">
        <f>(S14*City!B$28/(City!$B$16*C$3*$J14)/P14+1)</f>
        <v>1.5771171951107317</v>
      </c>
      <c r="W14" s="64">
        <f>(T14*City!B$29/(City!$B$16*D$3*$J14)/Q14+1)</f>
        <v>1.3397544743510208</v>
      </c>
      <c r="X14" s="18">
        <f>$J14*C$3*City!$B$16/City!$B$28*(V14-1)/((1+Dedicate!C13*X$1)*(1+Connect!C13*X$2)*(1+Pricing!J14*X$3))</f>
        <v>147800.31088350757</v>
      </c>
      <c r="Y14" s="18">
        <f>$J14*D$3*City!$B$16/City!$B$29*(W14-1)/((1+Dedicate!D13*Y$1)*(1+Connect!D13*Y$2)*(1+Pricing!K14*Y$3))</f>
        <v>241388.39248643914</v>
      </c>
      <c r="Z14" s="20">
        <f t="shared" si="7"/>
        <v>389188.70336994668</v>
      </c>
    </row>
    <row r="15" spans="1:26" x14ac:dyDescent="0.25">
      <c r="A15">
        <f t="shared" si="8"/>
        <v>10</v>
      </c>
      <c r="B15">
        <f t="shared" si="9"/>
        <v>2027</v>
      </c>
      <c r="C15" s="80">
        <f>Miles!C13*Delay!C$3</f>
        <v>44592209.040375181</v>
      </c>
      <c r="D15" s="81">
        <f>Miles!C13*Delay!D$3</f>
        <v>51452548.892740585</v>
      </c>
      <c r="E15" s="82">
        <f>City!I$16*(1+($A15-1)*City!I$18)</f>
        <v>1.5832575463738383</v>
      </c>
      <c r="F15" s="82">
        <f>City!J$16*(1+($A15-1)*City!J$18)</f>
        <v>1.3372842490451371</v>
      </c>
      <c r="G15" s="83">
        <f>C15*City!$B$16/City!$B$28*(E15-1)</f>
        <v>151717.66418829135</v>
      </c>
      <c r="H15" s="83">
        <f>D15*City!$B$16/City!$B$29*(F15-1)</f>
        <v>242957.8804064469</v>
      </c>
      <c r="I15" s="84">
        <f t="shared" si="0"/>
        <v>394675.54459473828</v>
      </c>
      <c r="J15" s="22">
        <f t="shared" si="1"/>
        <v>96575934.538654849</v>
      </c>
      <c r="K15" s="19">
        <f>Miles!H13+Miles!N13</f>
        <v>58149515.835321598</v>
      </c>
      <c r="L15" s="19">
        <f>Miles!I13+Miles!O13</f>
        <v>19376484.938314579</v>
      </c>
      <c r="M15" s="19">
        <f>Miles!J13+Miles!P13</f>
        <v>17247353.743016198</v>
      </c>
      <c r="N15" s="19">
        <f>Miles!K13+Miles!Q13</f>
        <v>1802580.02200248</v>
      </c>
      <c r="O15" s="14">
        <f t="shared" si="2"/>
        <v>9.2304927530064571E-2</v>
      </c>
      <c r="P15" s="52">
        <f>(Capacity!$B$1+Capacity!$C$1*$O15+Capacity!$D$1*$O15*$O15)</f>
        <v>0.99176325406958366</v>
      </c>
      <c r="Q15" s="52">
        <f>(Capacity!$B$2+Capacity!$C$2*$O15+Capacity!$D$2*$O15*$O15)</f>
        <v>0.97074620866967154</v>
      </c>
      <c r="R15" s="53">
        <f t="shared" si="3"/>
        <v>0.9788253944208134</v>
      </c>
      <c r="S15" s="18">
        <f t="shared" si="4"/>
        <v>152556.74042314399</v>
      </c>
      <c r="T15" s="18">
        <f t="shared" si="5"/>
        <v>244301.56167526887</v>
      </c>
      <c r="U15" s="63">
        <f t="shared" si="6"/>
        <v>396858.30209841288</v>
      </c>
      <c r="V15" s="64">
        <f>(S15*City!B$28/(City!$B$16*C$3*$J15)/P15+1)</f>
        <v>1.5881015897498818</v>
      </c>
      <c r="W15" s="64">
        <f>(T15*City!B$29/(City!$B$16*D$3*$J15)/Q15+1)</f>
        <v>1.347448433002234</v>
      </c>
      <c r="X15" s="18">
        <f>$J15*C$3*City!$B$16/City!$B$28*(V15-1)/((1+Dedicate!C14*X$1)*(1+Connect!C14*X$2)*(1+Pricing!J15*X$3))</f>
        <v>152116.15246862412</v>
      </c>
      <c r="Y15" s="18">
        <f>$J15*D$3*City!$B$16/City!$B$29*(W15-1)/((1+Dedicate!D14*Y$1)*(1+Connect!D14*Y$2)*(1+Pricing!K15*Y$3))</f>
        <v>250063.27345872883</v>
      </c>
      <c r="Z15" s="20">
        <f t="shared" si="7"/>
        <v>402179.42592735298</v>
      </c>
    </row>
    <row r="16" spans="1:26" x14ac:dyDescent="0.25">
      <c r="A16">
        <f t="shared" si="8"/>
        <v>11</v>
      </c>
      <c r="B16">
        <f t="shared" si="9"/>
        <v>2028</v>
      </c>
      <c r="C16" s="80">
        <f>Miles!C14*Delay!C$3</f>
        <v>45261092.175980799</v>
      </c>
      <c r="D16" s="81">
        <f>Miles!C14*Delay!D$3</f>
        <v>52224337.126131691</v>
      </c>
      <c r="E16" s="82">
        <f>City!I$16*(1+($A16-1)*City!I$18)</f>
        <v>1.594084905565587</v>
      </c>
      <c r="F16" s="82">
        <f>City!J$16*(1+($A16-1)*City!J$18)</f>
        <v>1.3428329528817118</v>
      </c>
      <c r="G16" s="83">
        <f>C16*City!$B$16/City!$B$28*(E16-1)</f>
        <v>156852.10141511681</v>
      </c>
      <c r="H16" s="83">
        <f>D16*City!$B$16/City!$B$29*(F16-1)</f>
        <v>250659.13192938428</v>
      </c>
      <c r="I16" s="84">
        <f t="shared" si="0"/>
        <v>407511.23334450112</v>
      </c>
      <c r="J16" s="22">
        <f t="shared" si="1"/>
        <v>97762319.831468776</v>
      </c>
      <c r="K16" s="19">
        <f>Miles!H14+Miles!N14</f>
        <v>56177955.213951483</v>
      </c>
      <c r="L16" s="19">
        <f>Miles!I14+Miles!O14</f>
        <v>16534039.722325031</v>
      </c>
      <c r="M16" s="19">
        <f>Miles!J14+Miles!P14</f>
        <v>22110429.067296334</v>
      </c>
      <c r="N16" s="19">
        <f>Miles!K14+Miles!Q14</f>
        <v>2939895.8278959189</v>
      </c>
      <c r="O16" s="14">
        <f t="shared" si="2"/>
        <v>0.1148339006241916</v>
      </c>
      <c r="P16" s="52">
        <f>(Capacity!$B$1+Capacity!$C$1*$O16+Capacity!$D$1*$O16*$O16)</f>
        <v>0.99285740955424173</v>
      </c>
      <c r="Q16" s="52">
        <f>(Capacity!$B$2+Capacity!$C$2*$O16+Capacity!$D$2*$O16*$O16)</f>
        <v>0.96593458200963334</v>
      </c>
      <c r="R16" s="53">
        <f t="shared" si="3"/>
        <v>0.97629724622811564</v>
      </c>
      <c r="S16" s="18">
        <f t="shared" si="4"/>
        <v>157297.61272590855</v>
      </c>
      <c r="T16" s="18">
        <f t="shared" si="5"/>
        <v>251371.08591291576</v>
      </c>
      <c r="U16" s="63">
        <f t="shared" si="6"/>
        <v>408668.69863882428</v>
      </c>
      <c r="V16" s="64">
        <f>(S16*City!B$28/(City!$B$16*C$3*$J16)/P16+1)</f>
        <v>1.5983587369633576</v>
      </c>
      <c r="W16" s="64">
        <f>(T16*City!B$29/(City!$B$16*D$3*$J16)/Q16+1)</f>
        <v>1.3549235727417954</v>
      </c>
      <c r="X16" s="18">
        <f>$J16*C$3*City!$B$16/City!$B$28*(V16-1)/((1+Dedicate!C15*X$1)*(1+Connect!C15*X$2)*(1+Pricing!J16*X$3))</f>
        <v>151179.1882637149</v>
      </c>
      <c r="Y16" s="18">
        <f>$J16*D$3*City!$B$16/City!$B$29*(W16-1)/((1+Dedicate!D15*Y$1)*(1+Connect!D15*Y$2)*(1+Pricing!K16*Y$3))</f>
        <v>257017.8029501391</v>
      </c>
      <c r="Z16" s="20">
        <f t="shared" si="7"/>
        <v>408196.99121385399</v>
      </c>
    </row>
    <row r="17" spans="1:26" x14ac:dyDescent="0.25">
      <c r="A17">
        <f t="shared" si="8"/>
        <v>12</v>
      </c>
      <c r="B17">
        <f t="shared" si="9"/>
        <v>2029</v>
      </c>
      <c r="C17" s="80">
        <f>Miles!C15*Delay!C$3</f>
        <v>45940008.558620512</v>
      </c>
      <c r="D17" s="81">
        <f>Miles!C15*Delay!D$3</f>
        <v>53007702.183023661</v>
      </c>
      <c r="E17" s="82">
        <f>City!I$16*(1+($A17-1)*City!I$18)</f>
        <v>1.6049122647573357</v>
      </c>
      <c r="F17" s="82">
        <f>City!J$16*(1+($A17-1)*City!J$18)</f>
        <v>1.3483816567182865</v>
      </c>
      <c r="G17" s="83">
        <f>C17*City!$B$16/City!$B$28*(E17-1)</f>
        <v>162106.43528430469</v>
      </c>
      <c r="H17" s="83">
        <f>D17*City!$B$16/City!$B$29*(F17-1)</f>
        <v>258536.75547491838</v>
      </c>
      <c r="I17" s="84">
        <f t="shared" si="0"/>
        <v>420643.19075922307</v>
      </c>
      <c r="J17" s="22">
        <f t="shared" si="1"/>
        <v>99438676.473622546</v>
      </c>
      <c r="K17" s="19">
        <f>Miles!H15+Miles!N15</f>
        <v>54423745.170095809</v>
      </c>
      <c r="L17" s="19">
        <f>Miles!I15+Miles!O15</f>
        <v>13465948.603747547</v>
      </c>
      <c r="M17" s="19">
        <f>Miles!J15+Miles!P15</f>
        <v>27292766.377861008</v>
      </c>
      <c r="N17" s="19">
        <f>Miles!K15+Miles!Q15</f>
        <v>4256216.3219181839</v>
      </c>
      <c r="O17" s="14">
        <f t="shared" si="2"/>
        <v>0.138684881825729</v>
      </c>
      <c r="P17" s="52">
        <f>(Capacity!$B$1+Capacity!$C$1*$O17+Capacity!$D$1*$O17*$O17)</f>
        <v>0.9953432193712739</v>
      </c>
      <c r="Q17" s="52">
        <f>(Capacity!$B$2+Capacity!$C$2*$O17+Capacity!$D$2*$O17*$O17)</f>
        <v>0.96183619407202314</v>
      </c>
      <c r="R17" s="53">
        <f t="shared" si="3"/>
        <v>0.97474904883246449</v>
      </c>
      <c r="S17" s="18">
        <f t="shared" si="4"/>
        <v>162910.78643160482</v>
      </c>
      <c r="T17" s="18">
        <f t="shared" si="5"/>
        <v>259819.58138815736</v>
      </c>
      <c r="U17" s="63">
        <f t="shared" si="6"/>
        <v>422730.36781976221</v>
      </c>
      <c r="V17" s="64">
        <f>(S17*City!B$28/(City!$B$16*C$3*$J17)/P17+1)</f>
        <v>1.6077423877357995</v>
      </c>
      <c r="W17" s="64">
        <f>(T17*City!B$29/(City!$B$16*D$3*$J17)/Q17+1)</f>
        <v>1.36220476923766</v>
      </c>
      <c r="X17" s="18">
        <f>$J17*C$3*City!$B$16/City!$B$28*(V17-1)/((1+Dedicate!C16*X$1)*(1+Connect!C16*X$2)*(1+Pricing!J17*X$3))</f>
        <v>155107.27464611662</v>
      </c>
      <c r="Y17" s="18">
        <f>$J17*D$3*City!$B$16/City!$B$29*(W17-1)/((1+Dedicate!D16*Y$1)*(1+Connect!D16*Y$2)*(1+Pricing!K17*Y$3))</f>
        <v>265736.04095703131</v>
      </c>
      <c r="Z17" s="20">
        <f t="shared" si="7"/>
        <v>420843.31560314796</v>
      </c>
    </row>
    <row r="18" spans="1:26" x14ac:dyDescent="0.25">
      <c r="A18">
        <f t="shared" si="8"/>
        <v>13</v>
      </c>
      <c r="B18">
        <f t="shared" si="9"/>
        <v>2030</v>
      </c>
      <c r="C18" s="80">
        <f>Miles!C16*Delay!C$3</f>
        <v>46629108.686999813</v>
      </c>
      <c r="D18" s="81">
        <f>Miles!C16*Delay!D$3</f>
        <v>53802817.715769008</v>
      </c>
      <c r="E18" s="82">
        <f>City!I$16*(1+($A18-1)*City!I$18)</f>
        <v>1.6157396239490849</v>
      </c>
      <c r="F18" s="82">
        <f>City!J$16*(1+($A18-1)*City!J$18)</f>
        <v>1.3539303605548612</v>
      </c>
      <c r="G18" s="83">
        <f>C18*City!$B$16/City!$B$28*(E18-1)</f>
        <v>167483.10744674993</v>
      </c>
      <c r="H18" s="83">
        <f>D18*City!$B$16/City!$B$29*(F18-1)</f>
        <v>266594.30942213431</v>
      </c>
      <c r="I18" s="84">
        <f t="shared" si="0"/>
        <v>434077.41686888423</v>
      </c>
      <c r="J18" s="22">
        <f t="shared" si="1"/>
        <v>101269526.15674292</v>
      </c>
      <c r="K18" s="19">
        <f>Miles!H16+Miles!N16</f>
        <v>52707965.141299583</v>
      </c>
      <c r="L18" s="19">
        <f>Miles!I16+Miles!O16</f>
        <v>10411294.312402211</v>
      </c>
      <c r="M18" s="19">
        <f>Miles!J16+Miles!P16</f>
        <v>32363687.646568276</v>
      </c>
      <c r="N18" s="19">
        <f>Miles!K16+Miles!Q16</f>
        <v>5786579.0564728575</v>
      </c>
      <c r="O18" s="14">
        <f t="shared" si="2"/>
        <v>0.16329507413798119</v>
      </c>
      <c r="P18" s="52">
        <f>(Capacity!$B$1+Capacity!$C$1*$O18+Capacity!$D$1*$O18*$O18)</f>
        <v>0.99933932265767833</v>
      </c>
      <c r="Q18" s="52">
        <f>(Capacity!$B$2+Capacity!$C$2*$O18+Capacity!$D$2*$O18*$O18)</f>
        <v>0.95868072345876343</v>
      </c>
      <c r="R18" s="53">
        <f t="shared" si="3"/>
        <v>0.97436831344532826</v>
      </c>
      <c r="S18" s="18">
        <f t="shared" si="4"/>
        <v>168879.91237339869</v>
      </c>
      <c r="T18" s="18">
        <f t="shared" si="5"/>
        <v>268817.69929406967</v>
      </c>
      <c r="U18" s="63">
        <f t="shared" si="6"/>
        <v>437697.61166746833</v>
      </c>
      <c r="V18" s="64">
        <f>(S18*City!B$28/(City!$B$16*C$3*$J18)/P18+1)</f>
        <v>1.6161466981120738</v>
      </c>
      <c r="W18" s="64">
        <f>(T18*City!B$29/(City!$B$16*D$3*$J18)/Q18+1)</f>
        <v>1.3691848098060617</v>
      </c>
      <c r="X18" s="18">
        <f>$J18*C$3*City!$B$16/City!$B$28*(V18-1)/((1+Dedicate!C17*X$1)*(1+Connect!C17*X$2)*(1+Pricing!J18*X$3))</f>
        <v>159048.95753086678</v>
      </c>
      <c r="Y18" s="18">
        <f>$J18*D$3*City!$B$16/City!$B$29*(W18-1)/((1+Dedicate!D17*Y$1)*(1+Connect!D17*Y$2)*(1+Pricing!K18*Y$3))</f>
        <v>274760.57217192039</v>
      </c>
      <c r="Z18" s="20">
        <f t="shared" si="7"/>
        <v>433809.52970278717</v>
      </c>
    </row>
    <row r="19" spans="1:26" x14ac:dyDescent="0.25">
      <c r="A19">
        <f t="shared" si="8"/>
        <v>14</v>
      </c>
      <c r="B19">
        <f t="shared" si="9"/>
        <v>2031</v>
      </c>
      <c r="C19" s="80">
        <f>Miles!C17*Delay!C$3</f>
        <v>47328545.317304805</v>
      </c>
      <c r="D19" s="81">
        <f>Miles!C17*Delay!D$3</f>
        <v>54609859.981505543</v>
      </c>
      <c r="E19" s="82">
        <f>City!I$16*(1+($A19-1)*City!I$18)</f>
        <v>1.6265669831408336</v>
      </c>
      <c r="F19" s="82">
        <f>City!J$16*(1+($A19-1)*City!J$18)</f>
        <v>1.3594790643914361</v>
      </c>
      <c r="G19" s="83">
        <f>C19*City!$B$16/City!$B$28*(E19-1)</f>
        <v>172984.60582612941</v>
      </c>
      <c r="H19" s="83">
        <f>D19*City!$B$16/City!$B$29*(F19-1)</f>
        <v>274835.41921778512</v>
      </c>
      <c r="I19" s="84">
        <f t="shared" si="0"/>
        <v>447820.02504391456</v>
      </c>
      <c r="J19" s="22">
        <f t="shared" si="1"/>
        <v>103068200.55885506</v>
      </c>
      <c r="K19" s="19">
        <f>Miles!H17+Miles!N17</f>
        <v>51021447.565899424</v>
      </c>
      <c r="L19" s="19">
        <f>Miles!I17+Miles!O17</f>
        <v>7710404.1177114993</v>
      </c>
      <c r="M19" s="19">
        <f>Miles!J17+Miles!P17</f>
        <v>36822066.635315768</v>
      </c>
      <c r="N19" s="19">
        <f>Miles!K17+Miles!Q17</f>
        <v>7514282.2399283675</v>
      </c>
      <c r="O19" s="14">
        <f t="shared" si="2"/>
        <v>0.18756456926067244</v>
      </c>
      <c r="P19" s="52">
        <f>(Capacity!$B$1+Capacity!$C$1*$O19+Capacity!$D$1*$O19*$O19)</f>
        <v>1.0047036473181954</v>
      </c>
      <c r="Q19" s="52">
        <f>(Capacity!$B$2+Capacity!$C$2*$O19+Capacity!$D$2*$O19*$O19)</f>
        <v>0.95663659317347838</v>
      </c>
      <c r="R19" s="53">
        <f t="shared" si="3"/>
        <v>0.97520400854002365</v>
      </c>
      <c r="S19" s="18">
        <f t="shared" si="4"/>
        <v>174901.8144301897</v>
      </c>
      <c r="T19" s="18">
        <f t="shared" si="5"/>
        <v>277881.45229054574</v>
      </c>
      <c r="U19" s="63">
        <f t="shared" si="6"/>
        <v>452783.26672073547</v>
      </c>
      <c r="V19" s="64">
        <f>(S19*City!B$28/(City!$B$16*C$3*$J19)/P19+1)</f>
        <v>1.6236336304872556</v>
      </c>
      <c r="W19" s="64">
        <f>(T19*City!B$29/(City!$B$16*D$3*$J19)/Q19+1)</f>
        <v>1.3757739009323549</v>
      </c>
      <c r="X19" s="18">
        <f>$J19*C$3*City!$B$16/City!$B$28*(V19-1)/((1+Dedicate!C18*X$1)*(1+Connect!C18*X$2)*(1+Pricing!J19*X$3))</f>
        <v>163197.7225644071</v>
      </c>
      <c r="Y19" s="18">
        <f>$J19*D$3*City!$B$16/City!$B$29*(W19-1)/((1+Dedicate!D18*Y$1)*(1+Connect!D18*Y$2)*(1+Pricing!K19*Y$3))</f>
        <v>283518.02021271229</v>
      </c>
      <c r="Z19" s="20">
        <f t="shared" si="7"/>
        <v>446715.74277711939</v>
      </c>
    </row>
    <row r="20" spans="1:26" x14ac:dyDescent="0.25">
      <c r="A20">
        <f t="shared" si="8"/>
        <v>15</v>
      </c>
      <c r="B20">
        <f t="shared" si="9"/>
        <v>2032</v>
      </c>
      <c r="C20" s="80">
        <f>Miles!C18*Delay!C$3</f>
        <v>48038473.497064367</v>
      </c>
      <c r="D20" s="81">
        <f>Miles!C18*Delay!D$3</f>
        <v>55429007.881228119</v>
      </c>
      <c r="E20" s="82">
        <f>City!I$16*(1+($A20-1)*City!I$18)</f>
        <v>1.6373943423325825</v>
      </c>
      <c r="F20" s="82">
        <f>City!J$16*(1+($A20-1)*City!J$18)</f>
        <v>1.3650277682280108</v>
      </c>
      <c r="G20" s="83">
        <f>C20*City!$B$16/City!$B$28*(E20-1)</f>
        <v>178613.46545771483</v>
      </c>
      <c r="H20" s="83">
        <f>D20*City!$B$16/City!$B$29*(F20-1)</f>
        <v>283263.77858768526</v>
      </c>
      <c r="I20" s="84">
        <f t="shared" si="0"/>
        <v>461877.24404540006</v>
      </c>
      <c r="J20" s="22">
        <f t="shared" si="1"/>
        <v>104957245.92915843</v>
      </c>
      <c r="K20" s="19">
        <f>Miles!H18+Miles!N18</f>
        <v>49360488.696827993</v>
      </c>
      <c r="L20" s="19">
        <f>Miles!I18+Miles!O18</f>
        <v>5537027.0259716837</v>
      </c>
      <c r="M20" s="19">
        <f>Miles!J18+Miles!P18</f>
        <v>40568217.096586183</v>
      </c>
      <c r="N20" s="19">
        <f>Miles!K18+Miles!Q18</f>
        <v>9491513.1097725723</v>
      </c>
      <c r="O20" s="14">
        <f t="shared" si="2"/>
        <v>0.21166409945950956</v>
      </c>
      <c r="P20" s="52">
        <f>(Capacity!$B$1+Capacity!$C$1*$O20+Capacity!$D$1*$O20*$O20)</f>
        <v>1.0114292093081043</v>
      </c>
      <c r="Q20" s="52">
        <f>(Capacity!$B$2+Capacity!$C$2*$O20+Capacity!$D$2*$O20*$O20)</f>
        <v>0.95565588211620078</v>
      </c>
      <c r="R20" s="53">
        <f t="shared" si="3"/>
        <v>0.9772240961347155</v>
      </c>
      <c r="S20" s="18">
        <f t="shared" si="4"/>
        <v>181185.21075973249</v>
      </c>
      <c r="T20" s="18">
        <f t="shared" si="5"/>
        <v>287342.3193065938</v>
      </c>
      <c r="U20" s="63">
        <f t="shared" si="6"/>
        <v>468527.53006632626</v>
      </c>
      <c r="V20" s="64">
        <f>(S20*City!B$28/(City!$B$16*C$3*$J20)/P20+1)</f>
        <v>1.6301917489298234</v>
      </c>
      <c r="W20" s="64">
        <f>(T20*City!B$29/(City!$B$16*D$3*$J20)/Q20+1)</f>
        <v>1.3819657002682753</v>
      </c>
      <c r="X20" s="18">
        <f>$J20*C$3*City!$B$16/City!$B$28*(V20-1)/((1+Dedicate!C19*X$1)*(1+Connect!C19*X$2)*(1+Pricing!J20*X$3))</f>
        <v>167604.96959320435</v>
      </c>
      <c r="Y20" s="18">
        <f>$J20*D$3*City!$B$16/City!$B$29*(W20-1)/((1+Dedicate!D19*Y$1)*(1+Connect!D19*Y$2)*(1+Pricing!K20*Y$3))</f>
        <v>292327.95613496966</v>
      </c>
      <c r="Z20" s="20">
        <f t="shared" si="7"/>
        <v>459932.92572817404</v>
      </c>
    </row>
    <row r="21" spans="1:26" x14ac:dyDescent="0.25">
      <c r="A21">
        <f t="shared" si="8"/>
        <v>16</v>
      </c>
      <c r="B21">
        <f t="shared" si="9"/>
        <v>2033</v>
      </c>
      <c r="C21" s="80">
        <f>Miles!C19*Delay!C$3</f>
        <v>48759050.599520333</v>
      </c>
      <c r="D21" s="81">
        <f>Miles!C19*Delay!D$3</f>
        <v>56260442.999446534</v>
      </c>
      <c r="E21" s="82">
        <f>City!I$16*(1+($A21-1)*City!I$18)</f>
        <v>1.6482217015243312</v>
      </c>
      <c r="F21" s="82">
        <f>City!J$16*(1+($A21-1)*City!J$18)</f>
        <v>1.3705764720645854</v>
      </c>
      <c r="G21" s="83">
        <f>C21*City!$B$16/City!$B$28*(E21-1)</f>
        <v>184372.26934193689</v>
      </c>
      <c r="H21" s="83">
        <f>D21*City!$B$16/City!$B$29*(F21-1)</f>
        <v>291883.15076935838</v>
      </c>
      <c r="I21" s="84">
        <f t="shared" si="0"/>
        <v>476255.4201112953</v>
      </c>
      <c r="J21" s="22">
        <f t="shared" si="1"/>
        <v>108229214.68469018</v>
      </c>
      <c r="K21" s="19">
        <f>Miles!H19+Miles!N19</f>
        <v>47756665.023900725</v>
      </c>
      <c r="L21" s="19">
        <f>Miles!I19+Miles!O19</f>
        <v>3903547.7024307074</v>
      </c>
      <c r="M21" s="19">
        <f>Miles!J19+Miles!P19</f>
        <v>44351084.022291467</v>
      </c>
      <c r="N21" s="19">
        <f>Miles!K19+Miles!Q19</f>
        <v>12217917.936067287</v>
      </c>
      <c r="O21" s="14">
        <f t="shared" si="2"/>
        <v>0.23943255976210523</v>
      </c>
      <c r="P21" s="52">
        <f>(Capacity!$B$1+Capacity!$C$1*$O21+Capacity!$D$1*$O21*$O21)</f>
        <v>1.02090702885666</v>
      </c>
      <c r="Q21" s="52">
        <f>(Capacity!$B$2+Capacity!$C$2*$O21+Capacity!$D$2*$O21*$O21)</f>
        <v>0.95582213170196861</v>
      </c>
      <c r="R21" s="53">
        <f t="shared" si="3"/>
        <v>0.98101838077666215</v>
      </c>
      <c r="S21" s="18">
        <f t="shared" si="4"/>
        <v>190007.25709753673</v>
      </c>
      <c r="T21" s="18">
        <f t="shared" si="5"/>
        <v>300804.0041412983</v>
      </c>
      <c r="U21" s="63">
        <f t="shared" si="6"/>
        <v>490811.26123883505</v>
      </c>
      <c r="V21" s="64">
        <f>(S21*City!B$28/(City!$B$16*C$3*$J21)/P21+1)</f>
        <v>1.6349468494210404</v>
      </c>
      <c r="W21" s="64">
        <f>(T21*City!B$29/(City!$B$16*D$3*$J21)/Q21+1)</f>
        <v>1.3877044271874357</v>
      </c>
      <c r="X21" s="18">
        <f>$J21*C$3*City!$B$16/City!$B$28*(V21-1)/((1+Dedicate!C20*X$1)*(1+Connect!C20*X$2)*(1+Pricing!J21*X$3))</f>
        <v>173790.96888000847</v>
      </c>
      <c r="Y21" s="18">
        <f>$J21*D$3*City!$B$16/City!$B$29*(W21-1)/((1+Dedicate!D20*Y$1)*(1+Connect!D20*Y$2)*(1+Pricing!K21*Y$3))</f>
        <v>304782.21340004855</v>
      </c>
      <c r="Z21" s="20">
        <f t="shared" si="7"/>
        <v>478573.18228005699</v>
      </c>
    </row>
    <row r="22" spans="1:26" x14ac:dyDescent="0.25">
      <c r="A22">
        <f t="shared" si="8"/>
        <v>17</v>
      </c>
      <c r="B22">
        <f t="shared" si="9"/>
        <v>2034</v>
      </c>
      <c r="C22" s="80">
        <f>Miles!C20*Delay!C$3</f>
        <v>49490436.358513132</v>
      </c>
      <c r="D22" s="81">
        <f>Miles!C20*Delay!D$3</f>
        <v>57104349.644438222</v>
      </c>
      <c r="E22" s="82">
        <f>City!I$16*(1+($A22-1)*City!I$18)</f>
        <v>1.6590490607160804</v>
      </c>
      <c r="F22" s="82">
        <f>City!J$16*(1+($A22-1)*City!J$18)</f>
        <v>1.3761251759011601</v>
      </c>
      <c r="G22" s="83">
        <f>C22*City!$B$16/City!$B$28*(E22-1)</f>
        <v>190263.64931295768</v>
      </c>
      <c r="H22" s="83">
        <f>D22*City!$B$16/City!$B$29*(F22-1)</f>
        <v>300697.3697662995</v>
      </c>
      <c r="I22" s="84">
        <f t="shared" si="0"/>
        <v>490961.01907925715</v>
      </c>
      <c r="J22" s="22">
        <f t="shared" si="1"/>
        <v>110394002.41512719</v>
      </c>
      <c r="K22" s="19">
        <f>Miles!H20+Miles!N20</f>
        <v>46335643.655410632</v>
      </c>
      <c r="L22" s="19">
        <f>Miles!I20+Miles!O20</f>
        <v>2731517.7421412729</v>
      </c>
      <c r="M22" s="19">
        <f>Miles!J20+Miles!P20</f>
        <v>46425861.956440814</v>
      </c>
      <c r="N22" s="19">
        <f>Miles!K20+Miles!Q20</f>
        <v>14900979.06113445</v>
      </c>
      <c r="O22" s="14">
        <f t="shared" si="2"/>
        <v>0.26361839217356808</v>
      </c>
      <c r="P22" s="52">
        <f>(Capacity!$B$1+Capacity!$C$1*$O22+Capacity!$D$1*$O22*$O22)</f>
        <v>1.0306699095958989</v>
      </c>
      <c r="Q22" s="52">
        <f>(Capacity!$B$2+Capacity!$C$2*$O22+Capacity!$D$2*$O22*$O22)</f>
        <v>0.95709783415353222</v>
      </c>
      <c r="R22" s="53">
        <f t="shared" si="3"/>
        <v>0.98560944916411863</v>
      </c>
      <c r="S22" s="18">
        <f t="shared" si="4"/>
        <v>197044.9639176912</v>
      </c>
      <c r="T22" s="18">
        <f t="shared" si="5"/>
        <v>311414.7268261711</v>
      </c>
      <c r="U22" s="63">
        <f t="shared" si="6"/>
        <v>508459.6907438623</v>
      </c>
      <c r="V22" s="64">
        <f>(S22*City!B$28/(City!$B$16*C$3*$J22)/P22+1)</f>
        <v>1.6394375683039761</v>
      </c>
      <c r="W22" s="64">
        <f>(T22*City!B$29/(City!$B$16*D$3*$J22)/Q22+1)</f>
        <v>1.392985087291321</v>
      </c>
      <c r="X22" s="18">
        <f>$J22*C$3*City!$B$16/City!$B$28*(V22-1)/((1+Dedicate!C21*X$1)*(1+Connect!C21*X$2)*(1+Pricing!J22*X$3))</f>
        <v>178169.84816564943</v>
      </c>
      <c r="Y22" s="18">
        <f>$J22*D$3*City!$B$16/City!$B$29*(W22-1)/((1+Dedicate!D21*Y$1)*(1+Connect!D21*Y$2)*(1+Pricing!K22*Y$3))</f>
        <v>313894.16242383933</v>
      </c>
      <c r="Z22" s="20">
        <f t="shared" si="7"/>
        <v>492064.01058948878</v>
      </c>
    </row>
    <row r="23" spans="1:26" x14ac:dyDescent="0.25">
      <c r="A23">
        <f t="shared" si="8"/>
        <v>18</v>
      </c>
      <c r="B23">
        <f t="shared" si="9"/>
        <v>2035</v>
      </c>
      <c r="C23" s="80">
        <f>Miles!C21*Delay!C$3</f>
        <v>50232792.903890826</v>
      </c>
      <c r="D23" s="81">
        <f>Miles!C21*Delay!D$3</f>
        <v>57960914.889104791</v>
      </c>
      <c r="E23" s="82">
        <f>City!I$16*(1+($A23-1)*City!I$18)</f>
        <v>1.6698764199078291</v>
      </c>
      <c r="F23" s="82">
        <f>City!J$16*(1+($A23-1)*City!J$18)</f>
        <v>1.3816738797377348</v>
      </c>
      <c r="G23" s="83">
        <f>C23*City!$B$16/City!$B$28*(E23-1)</f>
        <v>196290.2869225071</v>
      </c>
      <c r="H23" s="83">
        <f>D23*City!$B$16/City!$B$29*(F23-1)</f>
        <v>309710.34162422572</v>
      </c>
      <c r="I23" s="84">
        <f t="shared" si="0"/>
        <v>506000.62854673283</v>
      </c>
      <c r="J23" s="22">
        <f t="shared" si="1"/>
        <v>112468266.96393625</v>
      </c>
      <c r="K23" s="19">
        <f>Miles!H21+Miles!N21</f>
        <v>45203927.499697924</v>
      </c>
      <c r="L23" s="19">
        <f>Miles!I21+Miles!O21</f>
        <v>1908813.4906360791</v>
      </c>
      <c r="M23" s="19">
        <f>Miles!J21+Miles!P21</f>
        <v>47592269.891328678</v>
      </c>
      <c r="N23" s="19">
        <f>Miles!K21+Miles!Q21</f>
        <v>17763256.082273569</v>
      </c>
      <c r="O23" s="14">
        <f t="shared" si="2"/>
        <v>0.28658589012553326</v>
      </c>
      <c r="P23" s="52">
        <f>(Capacity!$B$1+Capacity!$C$1*$O23+Capacity!$D$1*$O23*$O23)</f>
        <v>1.0412405888777465</v>
      </c>
      <c r="Q23" s="52">
        <f>(Capacity!$B$2+Capacity!$C$2*$O23+Capacity!$D$2*$O23*$O23)</f>
        <v>0.95928396912692648</v>
      </c>
      <c r="R23" s="53">
        <f t="shared" si="3"/>
        <v>0.99107698972512426</v>
      </c>
      <c r="S23" s="18">
        <f t="shared" si="4"/>
        <v>204045.40007323222</v>
      </c>
      <c r="T23" s="18">
        <f t="shared" si="5"/>
        <v>321946.49849628645</v>
      </c>
      <c r="U23" s="63">
        <f t="shared" si="6"/>
        <v>525991.8985695187</v>
      </c>
      <c r="V23" s="64">
        <f>(S23*City!B$28/(City!$B$16*C$3*$J23)/P23+1)</f>
        <v>1.6433445133269582</v>
      </c>
      <c r="W23" s="64">
        <f>(T23*City!B$29/(City!$B$16*D$3*$J23)/Q23+1)</f>
        <v>1.3978737183371344</v>
      </c>
      <c r="X23" s="18">
        <f>$J23*C$3*City!$B$16/City!$B$28*(V23-1)/((1+Dedicate!C22*X$1)*(1+Connect!C22*X$2)*(1+Pricing!J23*X$3))</f>
        <v>182268.2917474508</v>
      </c>
      <c r="Y23" s="18">
        <f>$J23*D$3*City!$B$16/City!$B$29*(W23-1)/((1+Dedicate!D22*Y$1)*(1+Connect!D22*Y$2)*(1+Pricing!K23*Y$3))</f>
        <v>322523.06442013086</v>
      </c>
      <c r="Z23" s="20">
        <f t="shared" si="7"/>
        <v>504791.35616758163</v>
      </c>
    </row>
    <row r="24" spans="1:26" x14ac:dyDescent="0.25">
      <c r="A24">
        <f t="shared" si="8"/>
        <v>19</v>
      </c>
      <c r="B24">
        <f t="shared" si="9"/>
        <v>2036</v>
      </c>
      <c r="C24" s="80">
        <f>Miles!C22*Delay!C$3</f>
        <v>50986284.797449186</v>
      </c>
      <c r="D24" s="81">
        <f>Miles!C22*Delay!D$3</f>
        <v>58830328.612441361</v>
      </c>
      <c r="E24" s="82">
        <f>City!I$16*(1+($A24-1)*City!I$18)</f>
        <v>1.6807037790995778</v>
      </c>
      <c r="F24" s="82">
        <f>City!J$16*(1+($A24-1)*City!J$18)</f>
        <v>1.3872225835743095</v>
      </c>
      <c r="G24" s="83">
        <f>C24*City!$B$16/City!$B$28*(E24-1)</f>
        <v>202454.91433924757</v>
      </c>
      <c r="H24" s="83">
        <f>D24*City!$B$16/City!$B$29*(F24-1)</f>
        <v>318926.04572969227</v>
      </c>
      <c r="I24" s="84">
        <f t="shared" si="0"/>
        <v>521380.96006893984</v>
      </c>
      <c r="J24" s="22">
        <f t="shared" si="1"/>
        <v>116575820.30955778</v>
      </c>
      <c r="K24" s="19">
        <f>Miles!H22+Miles!N22</f>
        <v>44416399.026009887</v>
      </c>
      <c r="L24" s="19">
        <f>Miles!I22+Miles!O22</f>
        <v>1332002.0981813963</v>
      </c>
      <c r="M24" s="19">
        <f>Miles!J22+Miles!P22</f>
        <v>47721517.125513852</v>
      </c>
      <c r="N24" s="19">
        <f>Miles!K22+Miles!Q22</f>
        <v>23105902.059852649</v>
      </c>
      <c r="O24" s="14">
        <f t="shared" si="2"/>
        <v>0.32215563491296184</v>
      </c>
      <c r="P24" s="52">
        <f>(Capacity!$B$1+Capacity!$C$1*$O24+Capacity!$D$1*$O24*$O24)</f>
        <v>1.0601099767448159</v>
      </c>
      <c r="Q24" s="52">
        <f>(Capacity!$B$2+Capacity!$C$2*$O24+Capacity!$D$2*$O24*$O24)</f>
        <v>0.96454357383037148</v>
      </c>
      <c r="R24" s="53">
        <f t="shared" si="3"/>
        <v>1.0016525006948962</v>
      </c>
      <c r="S24" s="18">
        <f t="shared" si="4"/>
        <v>214916.00389011268</v>
      </c>
      <c r="T24" s="18">
        <f t="shared" si="5"/>
        <v>338555.92741921061</v>
      </c>
      <c r="U24" s="63">
        <f t="shared" si="6"/>
        <v>553471.93130932329</v>
      </c>
      <c r="V24" s="64">
        <f>(S24*City!B$28/(City!$B$16*C$3*$J24)/P24+1)</f>
        <v>1.6421067568760683</v>
      </c>
      <c r="W24" s="64">
        <f>(T24*City!B$29/(City!$B$16*D$3*$J24)/Q24+1)</f>
        <v>1.4014568072197928</v>
      </c>
      <c r="X24" s="18">
        <f>$J24*C$3*City!$B$16/City!$B$28*(V24-1)/((1+Dedicate!C23*X$1)*(1+Connect!C23*X$2)*(1+Pricing!J24*X$3))</f>
        <v>188192.29899838121</v>
      </c>
      <c r="Y24" s="18">
        <f>$J24*D$3*City!$B$16/City!$B$29*(W24-1)/((1+Dedicate!D23*Y$1)*(1+Connect!D23*Y$2)*(1+Pricing!K24*Y$3))</f>
        <v>336018.43520565284</v>
      </c>
      <c r="Z24" s="20">
        <f t="shared" si="7"/>
        <v>524210.73420403409</v>
      </c>
    </row>
    <row r="25" spans="1:26" x14ac:dyDescent="0.25">
      <c r="A25">
        <f t="shared" si="8"/>
        <v>20</v>
      </c>
      <c r="B25">
        <f t="shared" si="9"/>
        <v>2037</v>
      </c>
      <c r="C25" s="80">
        <f>Miles!C23*Delay!C$3</f>
        <v>51751079.06941092</v>
      </c>
      <c r="D25" s="81">
        <f>Miles!C23*Delay!D$3</f>
        <v>59712783.541627973</v>
      </c>
      <c r="E25" s="82">
        <f>City!I$16*(1+($A25-1)*City!I$18)</f>
        <v>1.6915311382913267</v>
      </c>
      <c r="F25" s="82">
        <f>City!J$16*(1+($A25-1)*City!J$18)</f>
        <v>1.3927712874108842</v>
      </c>
      <c r="G25" s="83">
        <f>C25*City!$B$16/City!$B$28*(E25-1)</f>
        <v>208760.31526393272</v>
      </c>
      <c r="H25" s="83">
        <f>D25*City!$B$16/City!$B$29*(F25-1)</f>
        <v>328348.53613145748</v>
      </c>
      <c r="I25" s="84">
        <f t="shared" si="0"/>
        <v>537108.85139539023</v>
      </c>
      <c r="J25" s="22">
        <f t="shared" si="1"/>
        <v>119195525.57472974</v>
      </c>
      <c r="K25" s="19">
        <f>Miles!H23+Miles!N23</f>
        <v>43971038.346928246</v>
      </c>
      <c r="L25" s="19">
        <f>Miles!I23+Miles!O23</f>
        <v>922889.66602866759</v>
      </c>
      <c r="M25" s="19">
        <f>Miles!J23+Miles!P23</f>
        <v>46986352.864197955</v>
      </c>
      <c r="N25" s="19">
        <f>Miles!K23+Miles!Q23</f>
        <v>27315244.697574873</v>
      </c>
      <c r="O25" s="14">
        <f t="shared" si="2"/>
        <v>0.34819628776599093</v>
      </c>
      <c r="P25" s="52">
        <f>(Capacity!$B$1+Capacity!$C$1*$O25+Capacity!$D$1*$O25*$O25)</f>
        <v>1.075849528223622</v>
      </c>
      <c r="Q25" s="52">
        <f>(Capacity!$B$2+Capacity!$C$2*$O25+Capacity!$D$2*$O25*$O25)</f>
        <v>0.9698380742262187</v>
      </c>
      <c r="R25" s="53">
        <f t="shared" si="3"/>
        <v>1.0110419838259028</v>
      </c>
      <c r="S25" s="18">
        <f t="shared" si="4"/>
        <v>223240.92234146569</v>
      </c>
      <c r="T25" s="18">
        <f t="shared" si="5"/>
        <v>351124.35025202675</v>
      </c>
      <c r="U25" s="63">
        <f t="shared" si="6"/>
        <v>574365.27259349241</v>
      </c>
      <c r="V25" s="64">
        <f>(S25*City!B$28/(City!$B$16*C$3*$J25)/P25+1)</f>
        <v>1.6427768197594892</v>
      </c>
      <c r="W25" s="64">
        <f>(T25*City!B$29/(City!$B$16*D$3*$J25)/Q25+1)</f>
        <v>1.404986458924347</v>
      </c>
      <c r="X25" s="18">
        <f>$J25*C$3*City!$B$16/City!$B$28*(V25-1)/((1+Dedicate!C24*X$1)*(1+Connect!C24*X$2)*(1+Pricing!J25*X$3))</f>
        <v>192245.66773109027</v>
      </c>
      <c r="Y25" s="18">
        <f>$J25*D$3*City!$B$16/City!$B$29*(W25-1)/((1+Dedicate!D24*Y$1)*(1+Connect!D24*Y$2)*(1+Pricing!K25*Y$3))</f>
        <v>345265.29424487409</v>
      </c>
      <c r="Z25" s="20">
        <f t="shared" si="7"/>
        <v>537510.96197596437</v>
      </c>
    </row>
    <row r="26" spans="1:26" x14ac:dyDescent="0.25">
      <c r="A26">
        <f t="shared" si="8"/>
        <v>21</v>
      </c>
      <c r="B26">
        <f t="shared" si="9"/>
        <v>2038</v>
      </c>
      <c r="C26" s="80">
        <f>Miles!C24*Delay!C$3</f>
        <v>52527345.255452074</v>
      </c>
      <c r="D26" s="81">
        <f>Miles!C24*Delay!D$3</f>
        <v>60608475.294752397</v>
      </c>
      <c r="E26" s="82">
        <f>City!I$16*(1+($A26-1)*City!I$18)</f>
        <v>1.7023584974830754</v>
      </c>
      <c r="F26" s="82">
        <f>City!J$16*(1+($A26-1)*City!J$18)</f>
        <v>1.3983199912474589</v>
      </c>
      <c r="G26" s="83">
        <f>C26*City!$B$16/City!$B$28*(E26-1)</f>
        <v>215209.32586063206</v>
      </c>
      <c r="H26" s="83">
        <f>D26*City!$B$16/City!$B$29*(F26-1)</f>
        <v>337981.94288498641</v>
      </c>
      <c r="I26" s="84">
        <f t="shared" si="0"/>
        <v>553191.26874561841</v>
      </c>
      <c r="J26" s="22">
        <f t="shared" si="1"/>
        <v>126277738.59208678</v>
      </c>
      <c r="K26" s="19">
        <f>Miles!H24+Miles!N24</f>
        <v>43840422.321926184</v>
      </c>
      <c r="L26" s="19">
        <f>Miles!I24+Miles!O24</f>
        <v>628824.30738426861</v>
      </c>
      <c r="M26" s="19">
        <f>Miles!J24+Miles!P24</f>
        <v>45451193.374876827</v>
      </c>
      <c r="N26" s="19">
        <f>Miles!K24+Miles!Q24</f>
        <v>36357298.587899491</v>
      </c>
      <c r="O26" s="14">
        <f t="shared" si="2"/>
        <v>0.39639242505596872</v>
      </c>
      <c r="P26" s="52">
        <f>(Capacity!$B$1+Capacity!$C$1*$O26+Capacity!$D$1*$O26*$O26)</f>
        <v>1.1092738605589083</v>
      </c>
      <c r="Q26" s="52">
        <f>(Capacity!$B$2+Capacity!$C$2*$O26+Capacity!$D$2*$O26*$O26)</f>
        <v>0.98285728915518922</v>
      </c>
      <c r="R26" s="53">
        <f t="shared" si="3"/>
        <v>1.0320374310816833</v>
      </c>
      <c r="S26" s="18">
        <f t="shared" si="4"/>
        <v>240208.15742922545</v>
      </c>
      <c r="T26" s="18">
        <f t="shared" si="5"/>
        <v>377242.10798061668</v>
      </c>
      <c r="U26" s="63">
        <f t="shared" si="6"/>
        <v>617450.26540984213</v>
      </c>
      <c r="V26" s="64">
        <f>(S26*City!B$28/(City!$B$16*C$3*$J26)/P26+1)</f>
        <v>1.6331696098285338</v>
      </c>
      <c r="W26" s="64">
        <f>(T26*City!B$29/(City!$B$16*D$3*$J26)/Q26+1)</f>
        <v>1.4052673726313136</v>
      </c>
      <c r="X26" s="18">
        <f>$J26*C$3*City!$B$16/City!$B$28*(V26-1)/((1+Dedicate!C25*X$1)*(1+Connect!C25*X$2)*(1+Pricing!J26*X$3))</f>
        <v>200232.78778128271</v>
      </c>
      <c r="Y26" s="18">
        <f>$J26*D$3*City!$B$16/City!$B$29*(W26-1)/((1+Dedicate!D25*Y$1)*(1+Connect!D25*Y$2)*(1+Pricing!K26*Y$3))</f>
        <v>364778.58882802422</v>
      </c>
      <c r="Z26" s="20">
        <f t="shared" si="7"/>
        <v>565011.3766093069</v>
      </c>
    </row>
    <row r="27" spans="1:26" x14ac:dyDescent="0.25">
      <c r="A27">
        <f t="shared" si="8"/>
        <v>22</v>
      </c>
      <c r="B27">
        <f t="shared" si="9"/>
        <v>2039</v>
      </c>
      <c r="C27" s="80">
        <f>Miles!C25*Delay!C$3</f>
        <v>53315255.434283853</v>
      </c>
      <c r="D27" s="81">
        <f>Miles!C25*Delay!D$3</f>
        <v>61517602.424173668</v>
      </c>
      <c r="E27" s="82">
        <f>City!I$16*(1+($A27-1)*City!I$18)</f>
        <v>1.7131858566748246</v>
      </c>
      <c r="F27" s="82">
        <f>City!J$16*(1+($A27-1)*City!J$18)</f>
        <v>1.4038686950840338</v>
      </c>
      <c r="G27" s="83">
        <f>C27*City!$B$16/City!$B$28*(E27-1)</f>
        <v>221804.83570429814</v>
      </c>
      <c r="H27" s="83">
        <f>D27*City!$B$16/City!$B$29*(F27-1)</f>
        <v>347830.47342049173</v>
      </c>
      <c r="I27" s="84">
        <f t="shared" si="0"/>
        <v>569635.3091247899</v>
      </c>
      <c r="J27" s="22">
        <f t="shared" si="1"/>
        <v>129426437.25889678</v>
      </c>
      <c r="K27" s="19">
        <f>Miles!H25+Miles!N25</f>
        <v>44107562.167581484</v>
      </c>
      <c r="L27" s="19">
        <f>Miles!I25+Miles!O25</f>
        <v>416311.06521975534</v>
      </c>
      <c r="M27" s="19">
        <f>Miles!J25+Miles!P25</f>
        <v>42843157.863576427</v>
      </c>
      <c r="N27" s="19">
        <f>Miles!K25+Miles!Q25</f>
        <v>42059406.162519112</v>
      </c>
      <c r="O27" s="14">
        <f t="shared" si="2"/>
        <v>0.42459628644638808</v>
      </c>
      <c r="P27" s="52">
        <f>(Capacity!$B$1+Capacity!$C$1*$O27+Capacity!$D$1*$O27*$O27)</f>
        <v>1.1314191504675983</v>
      </c>
      <c r="Q27" s="52">
        <f>(Capacity!$B$2+Capacity!$C$2*$O27+Capacity!$D$2*$O27*$O27)</f>
        <v>0.99241529123910166</v>
      </c>
      <c r="R27" s="53">
        <f t="shared" si="3"/>
        <v>1.0465406722759814</v>
      </c>
      <c r="S27" s="18">
        <f t="shared" si="4"/>
        <v>249992.99144315367</v>
      </c>
      <c r="T27" s="18">
        <f t="shared" si="5"/>
        <v>392034.64743844653</v>
      </c>
      <c r="U27" s="63">
        <f t="shared" si="6"/>
        <v>642027.63888160023</v>
      </c>
      <c r="V27" s="64">
        <f>(S27*City!B$28/(City!$B$16*C$3*$J27)/P27+1)</f>
        <v>1.6303462835855975</v>
      </c>
      <c r="W27" s="64">
        <f>(T27*City!B$29/(City!$B$16*D$3*$J27)/Q27+1)</f>
        <v>1.4069553327617259</v>
      </c>
      <c r="X27" s="18">
        <f>$J27*C$3*City!$B$16/City!$B$28*(V27-1)/((1+Dedicate!C26*X$1)*(1+Connect!C26*X$2)*(1+Pricing!J27*X$3))</f>
        <v>203912.62531014954</v>
      </c>
      <c r="Y27" s="18">
        <f>$J27*D$3*City!$B$16/City!$B$29*(W27-1)/((1+Dedicate!D26*Y$1)*(1+Connect!D26*Y$2)*(1+Pricing!K27*Y$3))</f>
        <v>375431.4428475842</v>
      </c>
      <c r="Z27" s="20">
        <f t="shared" si="7"/>
        <v>579344.06815773377</v>
      </c>
    </row>
    <row r="28" spans="1:26" x14ac:dyDescent="0.25">
      <c r="A28">
        <f t="shared" si="8"/>
        <v>23</v>
      </c>
      <c r="B28">
        <f t="shared" si="9"/>
        <v>2040</v>
      </c>
      <c r="C28" s="80">
        <f>Miles!C26*Delay!C$3</f>
        <v>54114984.265798107</v>
      </c>
      <c r="D28" s="81">
        <f>Miles!C26*Delay!D$3</f>
        <v>62440366.460536271</v>
      </c>
      <c r="E28" s="82">
        <f>City!I$16*(1+($A28-1)*City!I$18)</f>
        <v>1.7240132158665733</v>
      </c>
      <c r="F28" s="82">
        <f>City!J$16*(1+($A28-1)*City!J$18)</f>
        <v>1.4094173989206085</v>
      </c>
      <c r="G28" s="83">
        <f>C28*City!$B$16/City!$B$28*(E28-1)</f>
        <v>228549.78874495544</v>
      </c>
      <c r="H28" s="83">
        <f>D28*City!$B$16/City!$B$29*(F28-1)</f>
        <v>357898.41393491306</v>
      </c>
      <c r="I28" s="84">
        <f t="shared" si="0"/>
        <v>586448.20267986855</v>
      </c>
      <c r="J28" s="22">
        <f t="shared" si="1"/>
        <v>132731229.08760968</v>
      </c>
      <c r="K28" s="19">
        <f>Miles!H26+Miles!N26</f>
        <v>44475741.233127207</v>
      </c>
      <c r="L28" s="19">
        <f>Miles!I26+Miles!O26</f>
        <v>264954.59087872098</v>
      </c>
      <c r="M28" s="19">
        <f>Miles!J26+Miles!P26</f>
        <v>39658956.034224853</v>
      </c>
      <c r="N28" s="19">
        <f>Miles!K26+Miles!Q26</f>
        <v>48331577.229378901</v>
      </c>
      <c r="O28" s="14">
        <f t="shared" si="2"/>
        <v>0.45396821767515028</v>
      </c>
      <c r="P28" s="52">
        <f>(Capacity!$B$1+Capacity!$C$1*$O28+Capacity!$D$1*$O28*$O28)</f>
        <v>1.1565109276559531</v>
      </c>
      <c r="Q28" s="52">
        <f>(Capacity!$B$2+Capacity!$C$2*$O28+Capacity!$D$2*$O28*$O28)</f>
        <v>1.0038911413231772</v>
      </c>
      <c r="R28" s="53">
        <f t="shared" si="3"/>
        <v>1.0633699150072995</v>
      </c>
      <c r="S28" s="18">
        <f t="shared" si="4"/>
        <v>260268.56921445022</v>
      </c>
      <c r="T28" s="18">
        <f t="shared" si="5"/>
        <v>407568.55926438427</v>
      </c>
      <c r="U28" s="63">
        <f t="shared" si="6"/>
        <v>667837.12847883452</v>
      </c>
      <c r="V28" s="64">
        <f>(S28*City!B$28/(City!$B$16*C$3*$J28)/P28+1)</f>
        <v>1.6260323171645448</v>
      </c>
      <c r="W28" s="64">
        <f>(T28*City!B$29/(City!$B$16*D$3*$J28)/Q28+1)</f>
        <v>1.4078304729145996</v>
      </c>
      <c r="X28" s="18">
        <f>$J28*C$3*City!$B$16/City!$B$28*(V28-1)/((1+Dedicate!C27*X$1)*(1+Connect!C27*X$2)*(1+Pricing!J28*X$3))</f>
        <v>207284.59395686854</v>
      </c>
      <c r="Y28" s="18">
        <f>$J28*D$3*City!$B$16/City!$B$29*(W28-1)/((1+Dedicate!D27*Y$1)*(1+Connect!D27*Y$2)*(1+Pricing!K28*Y$3))</f>
        <v>385845.723475957</v>
      </c>
      <c r="Z28" s="20">
        <f t="shared" si="7"/>
        <v>593130.31743282557</v>
      </c>
    </row>
    <row r="29" spans="1:26" x14ac:dyDescent="0.25">
      <c r="A29">
        <f t="shared" si="8"/>
        <v>24</v>
      </c>
      <c r="B29">
        <f t="shared" si="9"/>
        <v>2041</v>
      </c>
      <c r="C29" s="80">
        <f>Miles!C27*Delay!C$3</f>
        <v>54926709.029785067</v>
      </c>
      <c r="D29" s="81">
        <f>Miles!C27*Delay!D$3</f>
        <v>63376971.95744431</v>
      </c>
      <c r="E29" s="82">
        <f>City!I$16*(1+($A29-1)*City!I$18)</f>
        <v>1.734840575058322</v>
      </c>
      <c r="F29" s="82">
        <f>City!J$16*(1+($A29-1)*City!J$18)</f>
        <v>1.4149661027571832</v>
      </c>
      <c r="G29" s="83">
        <f>C29*City!$B$16/City!$B$28*(E29-1)</f>
        <v>235447.18428879889</v>
      </c>
      <c r="H29" s="83">
        <f>D29*City!$B$16/City!$B$29*(F29-1)</f>
        <v>368190.13080824725</v>
      </c>
      <c r="I29" s="84">
        <f t="shared" si="0"/>
        <v>603637.31509704608</v>
      </c>
      <c r="J29" s="22">
        <f t="shared" si="1"/>
        <v>136122302.54169616</v>
      </c>
      <c r="K29" s="19">
        <f>Miles!H27+Miles!N27</f>
        <v>44833884.62908081</v>
      </c>
      <c r="L29" s="19">
        <f>Miles!I27+Miles!O27</f>
        <v>160625.78664818563</v>
      </c>
      <c r="M29" s="19">
        <f>Miles!J27+Miles!P27</f>
        <v>36005355.304208584</v>
      </c>
      <c r="N29" s="19">
        <f>Miles!K27+Miles!Q27</f>
        <v>55122436.821758576</v>
      </c>
      <c r="O29" s="14">
        <f t="shared" si="2"/>
        <v>0.48441809138137076</v>
      </c>
      <c r="P29" s="52">
        <f>(Capacity!$B$1+Capacity!$C$1*$O29+Capacity!$D$1*$O29*$O29)</f>
        <v>1.1847094464328101</v>
      </c>
      <c r="Q29" s="52">
        <f>(Capacity!$B$2+Capacity!$C$2*$O29+Capacity!$D$2*$O29*$O29)</f>
        <v>1.0174275619792648</v>
      </c>
      <c r="R29" s="53">
        <f t="shared" si="3"/>
        <v>1.0826754313406532</v>
      </c>
      <c r="S29" s="18">
        <f t="shared" si="4"/>
        <v>270909.68416959111</v>
      </c>
      <c r="T29" s="18">
        <f t="shared" si="5"/>
        <v>423646.0603804639</v>
      </c>
      <c r="U29" s="63">
        <f t="shared" si="6"/>
        <v>694555.74455005501</v>
      </c>
      <c r="V29" s="64">
        <f>(S29*City!B$28/(City!$B$16*C$3*$J29)/P29+1)</f>
        <v>1.6202707147064161</v>
      </c>
      <c r="W29" s="64">
        <f>(T29*City!B$29/(City!$B$16*D$3*$J29)/Q29+1)</f>
        <v>1.4078581299192681</v>
      </c>
      <c r="X29" s="18">
        <f>$J29*C$3*City!$B$16/City!$B$28*(V29-1)/((1+Dedicate!C28*X$1)*(1+Connect!C28*X$2)*(1+Pricing!J29*X$3))</f>
        <v>210215.43124211518</v>
      </c>
      <c r="Y29" s="18">
        <f>$J29*D$3*City!$B$16/City!$B$29*(W29-1)/((1+Dedicate!D28*Y$1)*(1+Connect!D28*Y$2)*(1+Pricing!K29*Y$3))</f>
        <v>395730.30746119592</v>
      </c>
      <c r="Z29" s="20">
        <f t="shared" si="7"/>
        <v>605945.73870331107</v>
      </c>
    </row>
    <row r="30" spans="1:26" x14ac:dyDescent="0.25">
      <c r="A30">
        <f t="shared" si="8"/>
        <v>25</v>
      </c>
      <c r="B30">
        <f t="shared" si="9"/>
        <v>2042</v>
      </c>
      <c r="C30" s="80">
        <f>Miles!C28*Delay!C$3</f>
        <v>55750609.665231846</v>
      </c>
      <c r="D30" s="81">
        <f>Miles!C28*Delay!D$3</f>
        <v>64327626.536805965</v>
      </c>
      <c r="E30" s="82">
        <f>City!I$16*(1+($A30-1)*City!I$18)</f>
        <v>1.7456679342500709</v>
      </c>
      <c r="F30" s="82">
        <f>City!J$16*(1+($A30-1)*City!J$18)</f>
        <v>1.4205148065937578</v>
      </c>
      <c r="G30" s="83">
        <f>C30*City!$B$16/City!$B$28*(E30-1)</f>
        <v>242500.07799649023</v>
      </c>
      <c r="H30" s="83">
        <f>D30*City!$B$16/City!$B$29*(F30-1)</f>
        <v>378710.07204464619</v>
      </c>
      <c r="I30" s="84">
        <f t="shared" si="0"/>
        <v>621210.15004113642</v>
      </c>
      <c r="J30" s="22">
        <f t="shared" si="1"/>
        <v>139668987.57171446</v>
      </c>
      <c r="K30" s="19">
        <f>Miles!H28+Miles!N28</f>
        <v>45070659.260653421</v>
      </c>
      <c r="L30" s="19">
        <f>Miles!I28+Miles!O28</f>
        <v>92076.732368669967</v>
      </c>
      <c r="M30" s="19">
        <f>Miles!J28+Miles!P28</f>
        <v>32053925.194153901</v>
      </c>
      <c r="N30" s="19">
        <f>Miles!K28+Miles!Q28</f>
        <v>62452326.384538457</v>
      </c>
      <c r="O30" s="14">
        <f t="shared" si="2"/>
        <v>0.51606095862198809</v>
      </c>
      <c r="P30" s="52">
        <f>(Capacity!$B$1+Capacity!$C$1*$O30+Capacity!$D$1*$O30*$O30)</f>
        <v>1.2163705038922168</v>
      </c>
      <c r="Q30" s="52">
        <f>(Capacity!$B$2+Capacity!$C$2*$O30+Capacity!$D$2*$O30*$O30)</f>
        <v>1.0332626382636656</v>
      </c>
      <c r="R30" s="53">
        <f t="shared" si="3"/>
        <v>1.1047419463428303</v>
      </c>
      <c r="S30" s="18">
        <f t="shared" si="4"/>
        <v>282063.93973712274</v>
      </c>
      <c r="T30" s="18">
        <f t="shared" si="5"/>
        <v>440496.57971899095</v>
      </c>
      <c r="U30" s="63">
        <f t="shared" si="6"/>
        <v>722560.51945611369</v>
      </c>
      <c r="V30" s="64">
        <f>(S30*City!B$28/(City!$B$16*C$3*$J30)/P30+1)</f>
        <v>1.6130269780992199</v>
      </c>
      <c r="W30" s="64">
        <f>(T30*City!B$29/(City!$B$16*D$3*$J30)/Q30+1)</f>
        <v>1.4069776560395206</v>
      </c>
      <c r="X30" s="18">
        <f>$J30*C$3*City!$B$16/City!$B$28*(V30-1)/((1+Dedicate!C29*X$1)*(1+Connect!C29*X$2)*(1+Pricing!J30*X$3))</f>
        <v>212761.04201090007</v>
      </c>
      <c r="Y30" s="18">
        <f>$J30*D$3*City!$B$16/City!$B$29*(W30-1)/((1+Dedicate!D29*Y$1)*(1+Connect!D29*Y$2)*(1+Pricing!K30*Y$3))</f>
        <v>405164.56287046685</v>
      </c>
      <c r="Z30" s="20">
        <f t="shared" si="7"/>
        <v>617925.60488136695</v>
      </c>
    </row>
    <row r="31" spans="1:26" x14ac:dyDescent="0.25">
      <c r="A31">
        <f t="shared" si="8"/>
        <v>26</v>
      </c>
      <c r="B31">
        <f t="shared" si="9"/>
        <v>2043</v>
      </c>
      <c r="C31" s="80">
        <f>Miles!C29*Delay!C$3</f>
        <v>56586868.810210317</v>
      </c>
      <c r="D31" s="81">
        <f>Miles!C29*Delay!D$3</f>
        <v>65292540.934858054</v>
      </c>
      <c r="E31" s="82">
        <f>City!I$16*(1+($A31-1)*City!I$18)</f>
        <v>1.7564952934418196</v>
      </c>
      <c r="F31" s="82">
        <f>City!J$16*(1+($A31-1)*City!J$18)</f>
        <v>1.4260635104303325</v>
      </c>
      <c r="G31" s="83">
        <f>C31*City!$B$16/City!$B$28*(E31-1)</f>
        <v>249711.58289894718</v>
      </c>
      <c r="H31" s="83">
        <f>D31*City!$B$16/City!$B$29*(F31-1)</f>
        <v>389462.76873870526</v>
      </c>
      <c r="I31" s="84">
        <f t="shared" si="0"/>
        <v>639174.35163765238</v>
      </c>
      <c r="J31" s="22">
        <f t="shared" si="1"/>
        <v>143372656.25024182</v>
      </c>
      <c r="K31" s="19">
        <f>Miles!H29+Miles!N29</f>
        <v>45078451.91751951</v>
      </c>
      <c r="L31" s="19">
        <f>Miles!I29+Miles!O29</f>
        <v>49626.123533582038</v>
      </c>
      <c r="M31" s="19">
        <f>Miles!J29+Miles!P29</f>
        <v>27957830.291192252</v>
      </c>
      <c r="N31" s="19">
        <f>Miles!K29+Miles!Q29</f>
        <v>70286747.917996481</v>
      </c>
      <c r="O31" s="14">
        <f t="shared" si="2"/>
        <v>0.54877311807895601</v>
      </c>
      <c r="P31" s="52">
        <f>(Capacity!$B$1+Capacity!$C$1*$O31+Capacity!$D$1*$O31*$O31)</f>
        <v>1.2516276985355286</v>
      </c>
      <c r="Q31" s="52">
        <f>(Capacity!$B$2+Capacity!$C$2*$O31+Capacity!$D$2*$O31*$O31)</f>
        <v>1.0515274943819075</v>
      </c>
      <c r="R31" s="53">
        <f t="shared" si="3"/>
        <v>1.1297023125509722</v>
      </c>
      <c r="S31" s="18">
        <f t="shared" si="4"/>
        <v>293747.83658339118</v>
      </c>
      <c r="T31" s="18">
        <f t="shared" si="5"/>
        <v>458143.92916274531</v>
      </c>
      <c r="U31" s="63">
        <f t="shared" si="6"/>
        <v>751891.76574613643</v>
      </c>
      <c r="V31" s="64">
        <f>(S31*City!B$28/(City!$B$16*C$3*$J31)/P31+1)</f>
        <v>1.6044091979803259</v>
      </c>
      <c r="W31" s="64">
        <f>(T31*City!B$29/(City!$B$16*D$3*$J31)/Q31+1)</f>
        <v>1.405185325829996</v>
      </c>
      <c r="X31" s="18">
        <f>$J31*C$3*City!$B$16/City!$B$28*(V31-1)/((1+Dedicate!C30*X$1)*(1+Connect!C30*X$2)*(1+Pricing!J31*X$3))</f>
        <v>214916.65211985348</v>
      </c>
      <c r="Y31" s="18">
        <f>$J31*D$3*City!$B$16/City!$B$29*(W31-1)/((1+Dedicate!D30*Y$1)*(1+Connect!D30*Y$2)*(1+Pricing!K31*Y$3))</f>
        <v>414076.84175992018</v>
      </c>
      <c r="Z31" s="20">
        <f t="shared" si="7"/>
        <v>628993.49387977365</v>
      </c>
    </row>
    <row r="32" spans="1:26" x14ac:dyDescent="0.25">
      <c r="A32">
        <f t="shared" si="8"/>
        <v>27</v>
      </c>
      <c r="B32">
        <f t="shared" si="9"/>
        <v>2044</v>
      </c>
      <c r="C32" s="80">
        <f>Miles!C30*Delay!C$3</f>
        <v>57435671.842363462</v>
      </c>
      <c r="D32" s="81">
        <f>Miles!C30*Delay!D$3</f>
        <v>66271929.04888092</v>
      </c>
      <c r="E32" s="82">
        <f>City!I$16*(1+($A32-1)*City!I$18)</f>
        <v>1.7673226526335688</v>
      </c>
      <c r="F32" s="82">
        <f>City!J$16*(1+($A32-1)*City!J$18)</f>
        <v>1.4316122142669072</v>
      </c>
      <c r="G32" s="83">
        <f>C32*City!$B$16/City!$B$28*(E32-1)</f>
        <v>257084.87043092877</v>
      </c>
      <c r="H32" s="83">
        <f>D32*City!$B$16/City!$B$29*(F32-1)</f>
        <v>400452.83656737604</v>
      </c>
      <c r="I32" s="84">
        <f t="shared" si="0"/>
        <v>657537.70699830481</v>
      </c>
      <c r="J32" s="22">
        <f t="shared" si="1"/>
        <v>147229790.34182781</v>
      </c>
      <c r="K32" s="19">
        <f>Miles!H30+Miles!N30</f>
        <v>44758083.521729842</v>
      </c>
      <c r="L32" s="19">
        <f>Miles!I30+Miles!O30</f>
        <v>25044.490536124693</v>
      </c>
      <c r="M32" s="19">
        <f>Miles!J30+Miles!P30</f>
        <v>23873873.23855279</v>
      </c>
      <c r="N32" s="19">
        <f>Miles!K30+Miles!Q30</f>
        <v>78572789.091009051</v>
      </c>
      <c r="O32" s="14">
        <f t="shared" si="2"/>
        <v>0.58233768663644281</v>
      </c>
      <c r="P32" s="52">
        <f>(Capacity!$B$1+Capacity!$C$1*$O32+Capacity!$D$1*$O32*$O32)</f>
        <v>1.290473080205212</v>
      </c>
      <c r="Q32" s="52">
        <f>(Capacity!$B$2+Capacity!$C$2*$O32+Capacity!$D$2*$O32*$O32)</f>
        <v>1.0722703884947984</v>
      </c>
      <c r="R32" s="53">
        <f t="shared" si="3"/>
        <v>1.1575835349942374</v>
      </c>
      <c r="S32" s="18">
        <f t="shared" si="4"/>
        <v>305967.873444392</v>
      </c>
      <c r="T32" s="18">
        <f t="shared" si="5"/>
        <v>476596.31861616595</v>
      </c>
      <c r="U32" s="63">
        <f t="shared" si="6"/>
        <v>782564.19206055789</v>
      </c>
      <c r="V32" s="64">
        <f>(S32*City!B$28/(City!$B$16*C$3*$J32)/P32+1)</f>
        <v>1.5946057026711076</v>
      </c>
      <c r="W32" s="64">
        <f>(T32*City!B$29/(City!$B$16*D$3*$J32)/Q32+1)</f>
        <v>1.4025218069043048</v>
      </c>
      <c r="X32" s="18">
        <f>$J32*C$3*City!$B$16/City!$B$28*(V32-1)/((1+Dedicate!C31*X$1)*(1+Connect!C31*X$2)*(1+Pricing!J32*X$3))</f>
        <v>216700.13871367657</v>
      </c>
      <c r="Y32" s="18">
        <f>$J32*D$3*City!$B$16/City!$B$29*(W32-1)/((1+Dedicate!D31*Y$1)*(1+Connect!D31*Y$2)*(1+Pricing!K32*Y$3))</f>
        <v>422421.49513546191</v>
      </c>
      <c r="Z32" s="20">
        <f t="shared" si="7"/>
        <v>639121.63384913851</v>
      </c>
    </row>
    <row r="33" spans="1:26" x14ac:dyDescent="0.25">
      <c r="A33">
        <f t="shared" si="8"/>
        <v>28</v>
      </c>
      <c r="B33">
        <f t="shared" si="9"/>
        <v>2045</v>
      </c>
      <c r="C33" s="80">
        <f>Miles!C31*Delay!C$3</f>
        <v>58297206.919998907</v>
      </c>
      <c r="D33" s="81">
        <f>Miles!C31*Delay!D$3</f>
        <v>67266007.984614119</v>
      </c>
      <c r="E33" s="82">
        <f>City!I$16*(1+($A33-1)*City!I$18)</f>
        <v>1.7781500118253175</v>
      </c>
      <c r="F33" s="82">
        <f>City!J$16*(1+($A33-1)*City!J$18)</f>
        <v>1.4371609181034819</v>
      </c>
      <c r="G33" s="83">
        <f>C33*City!$B$16/City!$B$28*(E33-1)</f>
        <v>264623.17148271739</v>
      </c>
      <c r="H33" s="83">
        <f>D33*City!$B$16/City!$B$29*(F33-1)</f>
        <v>411684.97730794072</v>
      </c>
      <c r="I33" s="84">
        <f t="shared" si="0"/>
        <v>676308.1487906581</v>
      </c>
      <c r="J33" s="22">
        <f t="shared" si="1"/>
        <v>151231807.22243714</v>
      </c>
      <c r="K33" s="19">
        <f>Miles!H31+Miles!N31</f>
        <v>44026064.430446088</v>
      </c>
      <c r="L33" s="19">
        <f>Miles!I31+Miles!O31</f>
        <v>11805.459331850852</v>
      </c>
      <c r="M33" s="19">
        <f>Miles!J31+Miles!P31</f>
        <v>19953127.801762763</v>
      </c>
      <c r="N33" s="19">
        <f>Miles!K31+Miles!Q31</f>
        <v>87240809.53089644</v>
      </c>
      <c r="O33" s="14">
        <f t="shared" si="2"/>
        <v>0.61645714700899856</v>
      </c>
      <c r="P33" s="52">
        <f>(Capacity!$B$1+Capacity!$C$1*$O33+Capacity!$D$1*$O33*$O33)</f>
        <v>1.3327318675163693</v>
      </c>
      <c r="Q33" s="52">
        <f>(Capacity!$B$2+Capacity!$C$2*$O33+Capacity!$D$2*$O33*$O33)</f>
        <v>1.0954346138850273</v>
      </c>
      <c r="R33" s="53">
        <f t="shared" si="3"/>
        <v>1.1882833426078001</v>
      </c>
      <c r="S33" s="18">
        <f t="shared" si="4"/>
        <v>318719.46323344723</v>
      </c>
      <c r="T33" s="18">
        <f t="shared" si="5"/>
        <v>495844.76768857049</v>
      </c>
      <c r="U33" s="63">
        <f t="shared" si="6"/>
        <v>814564.23092201771</v>
      </c>
      <c r="V33" s="64">
        <f>(S33*City!B$28/(City!$B$16*C$3*$J33)/P33+1)</f>
        <v>1.5838758949130927</v>
      </c>
      <c r="W33" s="64">
        <f>(T33*City!B$29/(City!$B$16*D$3*$J33)/Q33+1)</f>
        <v>1.3990753191128984</v>
      </c>
      <c r="X33" s="18">
        <f>$J33*C$3*City!$B$16/City!$B$28*(V33-1)/((1+Dedicate!C32*X$1)*(1+Connect!C32*X$2)*(1+Pricing!J33*X$3))</f>
        <v>218153.14763012287</v>
      </c>
      <c r="Y33" s="18">
        <f>$J33*D$3*City!$B$16/City!$B$29*(W33-1)/((1+Dedicate!D32*Y$1)*(1+Connect!D32*Y$2)*(1+Pricing!K33*Y$3))</f>
        <v>430188.61624384817</v>
      </c>
      <c r="Z33" s="20">
        <f t="shared" si="7"/>
        <v>648341.76387397107</v>
      </c>
    </row>
    <row r="34" spans="1:26" x14ac:dyDescent="0.25">
      <c r="A34">
        <f t="shared" si="8"/>
        <v>29</v>
      </c>
      <c r="B34">
        <f t="shared" si="9"/>
        <v>2046</v>
      </c>
      <c r="C34" s="80">
        <f>Miles!C32*Delay!C$3</f>
        <v>59171665.02379889</v>
      </c>
      <c r="D34" s="81">
        <f>Miles!C32*Delay!D$3</f>
        <v>68274998.104383335</v>
      </c>
      <c r="E34" s="82">
        <f>City!I$16*(1+($A34-1)*City!I$18)</f>
        <v>1.7889773710170662</v>
      </c>
      <c r="F34" s="82">
        <f>City!J$16*(1+($A34-1)*City!J$18)</f>
        <v>1.4427096219400566</v>
      </c>
      <c r="G34" s="83">
        <f>C34*City!$B$16/City!$B$28*(E34-1)</f>
        <v>272329.77747021278</v>
      </c>
      <c r="H34" s="83">
        <f>D34*City!$B$16/City!$B$29*(F34-1)</f>
        <v>423163.98038249474</v>
      </c>
      <c r="I34" s="84">
        <f t="shared" si="0"/>
        <v>695493.75785270752</v>
      </c>
      <c r="J34" s="22">
        <f t="shared" si="1"/>
        <v>155365168.2541126</v>
      </c>
      <c r="K34" s="19">
        <f>Miles!H32+Miles!N32</f>
        <v>42824055.19448366</v>
      </c>
      <c r="L34" s="19">
        <f>Miles!I32+Miles!O32</f>
        <v>5195.2988426441279</v>
      </c>
      <c r="M34" s="19">
        <f>Miles!J32+Miles!P32</f>
        <v>16327873.232802765</v>
      </c>
      <c r="N34" s="19">
        <f>Miles!K32+Miles!Q32</f>
        <v>96208044.527983546</v>
      </c>
      <c r="O34" s="14">
        <f t="shared" si="2"/>
        <v>0.65076958473948221</v>
      </c>
      <c r="P34" s="52">
        <f>(Capacity!$B$1+Capacity!$C$1*$O34+Capacity!$D$1*$O34*$O34)</f>
        <v>1.3780473459585014</v>
      </c>
      <c r="Q34" s="52">
        <f>(Capacity!$B$2+Capacity!$C$2*$O34+Capacity!$D$2*$O34*$O34)</f>
        <v>1.1208431132840053</v>
      </c>
      <c r="R34" s="53">
        <f t="shared" si="3"/>
        <v>1.2215548316247997</v>
      </c>
      <c r="S34" s="18">
        <f t="shared" si="4"/>
        <v>331986.42207454186</v>
      </c>
      <c r="T34" s="18">
        <f t="shared" si="5"/>
        <v>515862.41175323597</v>
      </c>
      <c r="U34" s="63">
        <f t="shared" si="6"/>
        <v>847848.83382777777</v>
      </c>
      <c r="V34" s="64">
        <f>(S34*City!B$28/(City!$B$16*C$3*$J34)/P34+1)</f>
        <v>1.5725328475331106</v>
      </c>
      <c r="W34" s="64">
        <f>(T34*City!B$29/(City!$B$16*D$3*$J34)/Q34+1)</f>
        <v>1.3949791158933413</v>
      </c>
      <c r="X34" s="18">
        <f>$J34*C$3*City!$B$16/City!$B$28*(V34-1)/((1+Dedicate!C33*X$1)*(1+Connect!C33*X$2)*(1+Pricing!J34*X$3))</f>
        <v>219339.49648689176</v>
      </c>
      <c r="Y34" s="18">
        <f>$J34*D$3*City!$B$16/City!$B$29*(W34-1)/((1+Dedicate!D33*Y$1)*(1+Connect!D33*Y$2)*(1+Pricing!K34*Y$3))</f>
        <v>437409.98758057796</v>
      </c>
      <c r="Z34" s="20">
        <f t="shared" si="7"/>
        <v>656749.48406746972</v>
      </c>
    </row>
    <row r="35" spans="1:26" x14ac:dyDescent="0.25">
      <c r="A35">
        <f t="shared" si="8"/>
        <v>30</v>
      </c>
      <c r="B35">
        <f t="shared" si="9"/>
        <v>2047</v>
      </c>
      <c r="C35" s="80">
        <f>Miles!C33*Delay!C$3</f>
        <v>60059239.999155864</v>
      </c>
      <c r="D35" s="81">
        <f>Miles!C33*Delay!D$3</f>
        <v>69299123.075949073</v>
      </c>
      <c r="E35" s="82">
        <f>City!I$16*(1+($A35-1)*City!I$18)</f>
        <v>1.7998047302088152</v>
      </c>
      <c r="F35" s="82">
        <f>City!J$16*(1+($A35-1)*City!J$18)</f>
        <v>1.4482583257766313</v>
      </c>
      <c r="G35" s="83">
        <f>C35*City!$B$16/City!$B$28*(E35-1)</f>
        <v>280208.04142374941</v>
      </c>
      <c r="H35" s="83">
        <f>D35*City!$B$16/City!$B$29*(F35-1)</f>
        <v>434894.72442939103</v>
      </c>
      <c r="I35" s="84">
        <f t="shared" si="0"/>
        <v>715102.7658531405</v>
      </c>
      <c r="J35" s="22">
        <f t="shared" si="1"/>
        <v>159611896.51315287</v>
      </c>
      <c r="K35" s="19">
        <f>Miles!H33+Miles!N33</f>
        <v>41127851.270021155</v>
      </c>
      <c r="L35" s="19">
        <f>Miles!I33+Miles!O33</f>
        <v>2138.7904746265099</v>
      </c>
      <c r="M35" s="19">
        <f>Miles!J33+Miles!P33</f>
        <v>13098144.836075218</v>
      </c>
      <c r="N35" s="19">
        <f>Miles!K33+Miles!Q33</f>
        <v>105383761.61658187</v>
      </c>
      <c r="O35" s="14">
        <f t="shared" si="2"/>
        <v>0.68487012142884907</v>
      </c>
      <c r="P35" s="52">
        <f>(Capacity!$B$1+Capacity!$C$1*$O35+Capacity!$D$1*$O35*$O35)</f>
        <v>1.4258824755853898</v>
      </c>
      <c r="Q35" s="52">
        <f>(Capacity!$B$2+Capacity!$C$2*$O35+Capacity!$D$2*$O35*$O35)</f>
        <v>1.1481943263318302</v>
      </c>
      <c r="R35" s="53">
        <f t="shared" si="3"/>
        <v>1.2570044948061407</v>
      </c>
      <c r="S35" s="18">
        <f t="shared" si="4"/>
        <v>345741.3641197196</v>
      </c>
      <c r="T35" s="18">
        <f t="shared" si="5"/>
        <v>536605.2112876412</v>
      </c>
      <c r="U35" s="63">
        <f t="shared" si="6"/>
        <v>882346.5754073608</v>
      </c>
      <c r="V35" s="64">
        <f>(S35*City!B$28/(City!$B$16*C$3*$J35)/P35+1)</f>
        <v>1.5609191107285745</v>
      </c>
      <c r="W35" s="64">
        <f>(T35*City!B$29/(City!$B$16*D$3*$J35)/Q35+1)</f>
        <v>1.3904028399170856</v>
      </c>
      <c r="X35" s="18">
        <f>$J35*C$3*City!$B$16/City!$B$28*(V35-1)/((1+Dedicate!C34*X$1)*(1+Connect!C34*X$2)*(1+Pricing!J35*X$3))</f>
        <v>220340.76356021428</v>
      </c>
      <c r="Y35" s="18">
        <f>$J35*D$3*City!$B$16/City!$B$29*(W35-1)/((1+Dedicate!D34*Y$1)*(1+Connect!D34*Y$2)*(1+Pricing!K35*Y$3))</f>
        <v>444159.67670240242</v>
      </c>
      <c r="Z35" s="20">
        <f t="shared" si="7"/>
        <v>664500.44026261673</v>
      </c>
    </row>
    <row r="36" spans="1:26" x14ac:dyDescent="0.25">
      <c r="A36">
        <f t="shared" si="8"/>
        <v>31</v>
      </c>
      <c r="B36">
        <f t="shared" si="9"/>
        <v>2048</v>
      </c>
      <c r="C36" s="80">
        <f>Miles!C34*Delay!C$3</f>
        <v>60960128.5991432</v>
      </c>
      <c r="D36" s="81">
        <f>Miles!C34*Delay!D$3</f>
        <v>70338609.92208831</v>
      </c>
      <c r="E36" s="82">
        <f>City!I$16*(1+($A36-1)*City!I$18)</f>
        <v>1.8106320894005639</v>
      </c>
      <c r="F36" s="82">
        <f>City!J$16*(1+($A36-1)*City!J$18)</f>
        <v>1.4538070296132062</v>
      </c>
      <c r="G36" s="83">
        <f>C36*City!$B$16/City!$B$28*(E36-1)</f>
        <v>288261.37909596134</v>
      </c>
      <c r="H36" s="83">
        <f>D36*City!$B$16/City!$B$29*(F36-1)</f>
        <v>446882.1789021084</v>
      </c>
      <c r="I36" s="84">
        <f t="shared" si="0"/>
        <v>735143.55799806979</v>
      </c>
      <c r="J36" s="22">
        <f t="shared" si="1"/>
        <v>163950611.41405523</v>
      </c>
      <c r="K36" s="19">
        <f>Miles!H34+Miles!N34</f>
        <v>38952151.08303307</v>
      </c>
      <c r="L36" s="19">
        <f>Miles!I34+Miles!O34</f>
        <v>827.79353900869046</v>
      </c>
      <c r="M36" s="19">
        <f>Miles!J34+Miles!P34</f>
        <v>10322371.883978937</v>
      </c>
      <c r="N36" s="19">
        <f>Miles!K34+Miles!Q34</f>
        <v>114675260.65350422</v>
      </c>
      <c r="O36" s="14">
        <f t="shared" si="2"/>
        <v>0.71833861418558509</v>
      </c>
      <c r="P36" s="52">
        <f>(Capacity!$B$1+Capacity!$C$1*$O36+Capacity!$D$1*$O36*$O36)</f>
        <v>1.4755447147189633</v>
      </c>
      <c r="Q36" s="52">
        <f>(Capacity!$B$2+Capacity!$C$2*$O36+Capacity!$D$2*$O36*$O36)</f>
        <v>1.177073882492826</v>
      </c>
      <c r="R36" s="53">
        <f t="shared" si="3"/>
        <v>1.2941090013908572</v>
      </c>
      <c r="S36" s="18">
        <f t="shared" si="4"/>
        <v>359947.32228291285</v>
      </c>
      <c r="T36" s="18">
        <f t="shared" si="5"/>
        <v>558014.54976811062</v>
      </c>
      <c r="U36" s="63">
        <f t="shared" si="6"/>
        <v>917961.87205102341</v>
      </c>
      <c r="V36" s="64">
        <f>(S36*City!B$28/(City!$B$16*C$3*$J36)/P36+1)</f>
        <v>1.5493781932287694</v>
      </c>
      <c r="W36" s="64">
        <f>(T36*City!B$29/(City!$B$16*D$3*$J36)/Q36+1)</f>
        <v>1.385538271099964</v>
      </c>
      <c r="X36" s="18">
        <f>$J36*C$3*City!$B$16/City!$B$28*(V36-1)/((1+Dedicate!C35*X$1)*(1+Connect!C35*X$2)*(1+Pricing!J36*X$3))</f>
        <v>221249.34313159215</v>
      </c>
      <c r="Y36" s="18">
        <f>$J36*D$3*City!$B$16/City!$B$29*(W36-1)/((1+Dedicate!D35*Y$1)*(1+Connect!D35*Y$2)*(1+Pricing!K36*Y$3))</f>
        <v>450548.38603473321</v>
      </c>
      <c r="Z36" s="20">
        <f t="shared" si="7"/>
        <v>671797.72916632541</v>
      </c>
    </row>
    <row r="37" spans="1:26" x14ac:dyDescent="0.25">
      <c r="A37">
        <f t="shared" si="8"/>
        <v>32</v>
      </c>
      <c r="B37">
        <f t="shared" si="9"/>
        <v>2049</v>
      </c>
      <c r="C37" s="80">
        <f>Miles!C35*Delay!C$3</f>
        <v>61874530.528130338</v>
      </c>
      <c r="D37" s="81">
        <f>Miles!C35*Delay!D$3</f>
        <v>71393689.070919618</v>
      </c>
      <c r="E37" s="82">
        <f>City!I$16*(1+($A37-1)*City!I$18)</f>
        <v>1.821459448592313</v>
      </c>
      <c r="F37" s="82">
        <f>City!J$16*(1+($A37-1)*City!J$18)</f>
        <v>1.4593557334497809</v>
      </c>
      <c r="G37" s="83">
        <f>C37*City!$B$16/City!$B$28*(E37-1)</f>
        <v>296493.27008901938</v>
      </c>
      <c r="H37" s="83">
        <f>D37*City!$B$16/City!$B$29*(F37-1)</f>
        <v>459131.40569601033</v>
      </c>
      <c r="I37" s="84">
        <f t="shared" si="0"/>
        <v>755624.67578502977</v>
      </c>
      <c r="J37" s="22">
        <f t="shared" si="1"/>
        <v>168358061.58707052</v>
      </c>
      <c r="K37" s="19">
        <f>Miles!H35+Miles!N35</f>
        <v>36348467.614728607</v>
      </c>
      <c r="L37" s="19">
        <f>Miles!I35+Miles!O35</f>
        <v>303.69225578621706</v>
      </c>
      <c r="M37" s="19">
        <f>Miles!J35+Miles!P35</f>
        <v>8015458.6453490723</v>
      </c>
      <c r="N37" s="19">
        <f>Miles!K35+Miles!Q35</f>
        <v>123993831.63473704</v>
      </c>
      <c r="O37" s="14">
        <f t="shared" si="2"/>
        <v>0.7507718870485881</v>
      </c>
      <c r="P37" s="52">
        <f>(Capacity!$B$1+Capacity!$C$1*$O37+Capacity!$D$1*$O37*$O37)</f>
        <v>1.5262357342492798</v>
      </c>
      <c r="Q37" s="52">
        <f>(Capacity!$B$2+Capacity!$C$2*$O37+Capacity!$D$2*$O37*$O37)</f>
        <v>1.2069838289248129</v>
      </c>
      <c r="R37" s="53">
        <f t="shared" si="3"/>
        <v>1.3322524238042239</v>
      </c>
      <c r="S37" s="18">
        <f t="shared" si="4"/>
        <v>374560.65951791935</v>
      </c>
      <c r="T37" s="18">
        <f t="shared" si="5"/>
        <v>580021.80646884115</v>
      </c>
      <c r="U37" s="63">
        <f t="shared" si="6"/>
        <v>954582.46598676057</v>
      </c>
      <c r="V37" s="64">
        <f>(S37*City!B$28/(City!$B$16*C$3*$J37)/P37+1)</f>
        <v>1.5382257996969058</v>
      </c>
      <c r="W37" s="64">
        <f>(T37*City!B$29/(City!$B$16*D$3*$J37)/Q37+1)</f>
        <v>1.380581514384478</v>
      </c>
      <c r="X37" s="18">
        <f>$J37*C$3*City!$B$16/City!$B$28*(V37-1)/((1+Dedicate!C36*X$1)*(1+Connect!C36*X$2)*(1+Pricing!J37*X$3))</f>
        <v>222159.92936909702</v>
      </c>
      <c r="Y37" s="18">
        <f>$J37*D$3*City!$B$16/City!$B$29*(W37-1)/((1+Dedicate!D36*Y$1)*(1+Connect!D36*Y$2)*(1+Pricing!K37*Y$3))</f>
        <v>456712.0905929156</v>
      </c>
      <c r="Z37" s="20">
        <f t="shared" si="7"/>
        <v>678872.01996201265</v>
      </c>
    </row>
    <row r="38" spans="1:26" x14ac:dyDescent="0.25">
      <c r="A38">
        <f t="shared" si="8"/>
        <v>33</v>
      </c>
      <c r="B38">
        <f t="shared" si="9"/>
        <v>2050</v>
      </c>
      <c r="C38" s="80">
        <f>Miles!C36*Delay!C$3</f>
        <v>62802648.486052282</v>
      </c>
      <c r="D38" s="81">
        <f>Miles!C36*Delay!D$3</f>
        <v>72464594.40698339</v>
      </c>
      <c r="E38" s="82">
        <f>City!I$16*(1+($A38-1)*City!I$18)</f>
        <v>1.8322868077840617</v>
      </c>
      <c r="F38" s="82">
        <f>City!J$16*(1+($A38-1)*City!J$18)</f>
        <v>1.4649044372863556</v>
      </c>
      <c r="G38" s="83">
        <f>C38*City!$B$16/City!$B$28*(E38-1)</f>
        <v>304907.25900157244</v>
      </c>
      <c r="H38" s="83">
        <f>D38*City!$B$16/City!$B$29*(F38-1)</f>
        <v>471647.56080347637</v>
      </c>
      <c r="I38" s="84">
        <f t="shared" si="0"/>
        <v>776554.81980504887</v>
      </c>
      <c r="J38" s="22">
        <f t="shared" si="1"/>
        <v>172810953.37454578</v>
      </c>
      <c r="K38" s="19">
        <f>Miles!H36+Miles!N36</f>
        <v>33396249.625260599</v>
      </c>
      <c r="L38" s="19">
        <f>Miles!I36+Miles!O36</f>
        <v>106.81180647958648</v>
      </c>
      <c r="M38" s="19">
        <f>Miles!J36+Miles!P36</f>
        <v>6154760.9171961788</v>
      </c>
      <c r="N38" s="19">
        <f>Miles!K36+Miles!Q36</f>
        <v>133259836.02028252</v>
      </c>
      <c r="O38" s="14">
        <f t="shared" si="2"/>
        <v>0.78181545983255085</v>
      </c>
      <c r="P38" s="52">
        <f>(Capacity!$B$1+Capacity!$C$1*$O38+Capacity!$D$1*$O38*$O38)</f>
        <v>1.5771194039133092</v>
      </c>
      <c r="Q38" s="52">
        <f>(Capacity!$B$2+Capacity!$C$2*$O38+Capacity!$D$2*$O38*$O38)</f>
        <v>1.2373856879768441</v>
      </c>
      <c r="R38" s="53">
        <f t="shared" si="3"/>
        <v>1.3707790730602198</v>
      </c>
      <c r="S38" s="18">
        <f t="shared" si="4"/>
        <v>389534.916155182</v>
      </c>
      <c r="T38" s="18">
        <f t="shared" si="5"/>
        <v>602554.34276633873</v>
      </c>
      <c r="U38" s="63">
        <f t="shared" si="6"/>
        <v>992089.25892152078</v>
      </c>
      <c r="V38" s="64">
        <f>(S38*City!B$28/(City!$B$16*C$3*$J38)/P38+1)</f>
        <v>1.5277259323034813</v>
      </c>
      <c r="W38" s="64">
        <f>(T38*City!B$29/(City!$B$16*D$3*$J38)/Q38+1)</f>
        <v>1.3757150594221643</v>
      </c>
      <c r="X38" s="18">
        <f>$J38*C$3*City!$B$16/City!$B$28*(V38-1)/((1+Dedicate!C37*X$1)*(1+Connect!C37*X$2)*(1+Pricing!J38*X$3))</f>
        <v>223161.02821033177</v>
      </c>
      <c r="Y38" s="18">
        <f>$J38*D$3*City!$B$16/City!$B$29*(W38-1)/((1+Dedicate!D37*Y$1)*(1+Connect!D37*Y$2)*(1+Pricing!K38*Y$3))</f>
        <v>462797.25159962889</v>
      </c>
      <c r="Z38" s="20">
        <f t="shared" si="7"/>
        <v>685958.27980996063</v>
      </c>
    </row>
    <row r="39" spans="1:26" x14ac:dyDescent="0.25">
      <c r="A39">
        <f t="shared" si="8"/>
        <v>34</v>
      </c>
      <c r="B39">
        <f t="shared" si="9"/>
        <v>2051</v>
      </c>
      <c r="C39" s="80">
        <f>Miles!C37*Delay!C$3</f>
        <v>63744688.213343054</v>
      </c>
      <c r="D39" s="81">
        <f>Miles!C37*Delay!D$3</f>
        <v>73551563.323088139</v>
      </c>
      <c r="E39" s="82">
        <f>City!I$16*(1+($A39-1)*City!I$18)</f>
        <v>1.8431141669758104</v>
      </c>
      <c r="F39" s="82">
        <f>City!J$16*(1+($A39-1)*City!J$18)</f>
        <v>1.4704531411229302</v>
      </c>
      <c r="G39" s="83">
        <f>C39*City!$B$16/City!$B$28*(E39-1)</f>
        <v>313506.95659573202</v>
      </c>
      <c r="H39" s="83">
        <f>D39*City!$B$16/City!$B$29*(F39-1)</f>
        <v>484435.89599788492</v>
      </c>
      <c r="I39" s="84">
        <f t="shared" si="0"/>
        <v>797942.85259361693</v>
      </c>
      <c r="J39" s="22">
        <f t="shared" si="1"/>
        <v>177246850.80629033</v>
      </c>
      <c r="K39" s="19">
        <f>Miles!H37+Miles!N37</f>
        <v>30292992.346731786</v>
      </c>
      <c r="L39" s="19">
        <f>Miles!I37+Miles!O37</f>
        <v>36.909243574282065</v>
      </c>
      <c r="M39" s="19">
        <f>Miles!J37+Miles!P37</f>
        <v>4695196.817790811</v>
      </c>
      <c r="N39" s="19">
        <f>Miles!K37+Miles!Q37</f>
        <v>142258624.73252416</v>
      </c>
      <c r="O39" s="14">
        <f t="shared" si="2"/>
        <v>0.81054860391170991</v>
      </c>
      <c r="P39" s="52">
        <f>(Capacity!$B$1+Capacity!$C$1*$O39+Capacity!$D$1*$O39*$O39)</f>
        <v>1.6262771263815243</v>
      </c>
      <c r="Q39" s="52">
        <f>(Capacity!$B$2+Capacity!$C$2*$O39+Capacity!$D$2*$O39*$O39)</f>
        <v>1.2670706938082159</v>
      </c>
      <c r="R39" s="53">
        <f t="shared" si="3"/>
        <v>1.4082007447882212</v>
      </c>
      <c r="S39" s="18">
        <f t="shared" si="4"/>
        <v>404731.52136795956</v>
      </c>
      <c r="T39" s="18">
        <f t="shared" si="5"/>
        <v>625397.53286975005</v>
      </c>
      <c r="U39" s="63">
        <f t="shared" si="6"/>
        <v>1030129.0542377096</v>
      </c>
      <c r="V39" s="64">
        <f>(S39*City!B$28/(City!$B$16*C$3*$J39)/P39+1)</f>
        <v>1.518432039225531</v>
      </c>
      <c r="W39" s="64">
        <f>(T39*City!B$29/(City!$B$16*D$3*$J39)/Q39+1)</f>
        <v>1.3712919440263986</v>
      </c>
      <c r="X39" s="18">
        <f>$J39*C$3*City!$B$16/City!$B$28*(V39-1)/((1+Dedicate!C38*X$1)*(1+Connect!C38*X$2)*(1+Pricing!J39*X$3))</f>
        <v>224687.02581934919</v>
      </c>
      <c r="Y39" s="18">
        <f>$J39*D$3*City!$B$16/City!$B$29*(W39-1)/((1+Dedicate!D38*Y$1)*(1+Connect!D38*Y$2)*(1+Pricing!K39*Y$3))</f>
        <v>469088.68382414483</v>
      </c>
      <c r="Z39" s="20">
        <f t="shared" si="7"/>
        <v>693775.70964349399</v>
      </c>
    </row>
    <row r="40" spans="1:26" x14ac:dyDescent="0.25">
      <c r="A40">
        <f t="shared" si="8"/>
        <v>35</v>
      </c>
      <c r="B40">
        <f t="shared" si="9"/>
        <v>2052</v>
      </c>
      <c r="C40" s="80">
        <f>Miles!C38*Delay!C$3</f>
        <v>64700858.536543198</v>
      </c>
      <c r="D40" s="81">
        <f>Miles!C38*Delay!D$3</f>
        <v>74654836.772934452</v>
      </c>
      <c r="E40" s="82">
        <f>City!I$16*(1+($A40-1)*City!I$18)</f>
        <v>1.8539415261675596</v>
      </c>
      <c r="F40" s="82">
        <f>City!J$16*(1+($A40-1)*City!J$18)</f>
        <v>1.4760018449595049</v>
      </c>
      <c r="G40" s="83">
        <f>C40*City!$B$16/City!$B$28*(E40-1)</f>
        <v>322296.04098444129</v>
      </c>
      <c r="H40" s="83">
        <f>D40*City!$B$16/City!$B$29*(F40-1)</f>
        <v>497501.7605469448</v>
      </c>
      <c r="I40" s="84">
        <f t="shared" si="0"/>
        <v>819797.8015313861</v>
      </c>
      <c r="J40" s="22">
        <f t="shared" si="1"/>
        <v>181654283.43604118</v>
      </c>
      <c r="K40" s="19">
        <f>Miles!H38+Miles!N38</f>
        <v>27117981.533896219</v>
      </c>
      <c r="L40" s="19">
        <f>Miles!I38+Miles!O38</f>
        <v>12.733231673748294</v>
      </c>
      <c r="M40" s="19">
        <f>Miles!J38+Miles!P38</f>
        <v>3573285.0582390884</v>
      </c>
      <c r="N40" s="19">
        <f>Miles!K38+Miles!Q38</f>
        <v>150963004.1106742</v>
      </c>
      <c r="O40" s="14">
        <f t="shared" si="2"/>
        <v>0.83694690830122498</v>
      </c>
      <c r="P40" s="52">
        <f>(Capacity!$B$1+Capacity!$C$1*$O40+Capacity!$D$1*$O40*$O40)</f>
        <v>1.67318677111773</v>
      </c>
      <c r="Q40" s="52">
        <f>(Capacity!$B$2+Capacity!$C$2*$O40+Capacity!$D$2*$O40*$O40)</f>
        <v>1.2956533512629913</v>
      </c>
      <c r="R40" s="53">
        <f t="shared" si="3"/>
        <v>1.4440771776396963</v>
      </c>
      <c r="S40" s="18">
        <f t="shared" si="4"/>
        <v>420122.45175400353</v>
      </c>
      <c r="T40" s="18">
        <f t="shared" si="5"/>
        <v>648508.30545264308</v>
      </c>
      <c r="U40" s="63">
        <f t="shared" si="6"/>
        <v>1068630.7572066467</v>
      </c>
      <c r="V40" s="64">
        <f>(S40*City!B$28/(City!$B$16*C$3*$J40)/P40+1)</f>
        <v>1.510368322836491</v>
      </c>
      <c r="W40" s="64">
        <f>(T40*City!B$29/(City!$B$16*D$3*$J40)/Q40+1)</f>
        <v>1.3673836404586941</v>
      </c>
      <c r="X40" s="18">
        <f>$J40*C$3*City!$B$16/City!$B$28*(V40-1)/((1+Dedicate!C39*X$1)*(1+Connect!C39*X$2)*(1+Pricing!J40*X$3))</f>
        <v>226692.41481540477</v>
      </c>
      <c r="Y40" s="18">
        <f>$J40*D$3*City!$B$16/City!$B$29*(W40-1)/((1+Dedicate!D39*Y$1)*(1+Connect!D39*Y$2)*(1+Pricing!K40*Y$3))</f>
        <v>475692.55957951338</v>
      </c>
      <c r="Z40" s="20">
        <f t="shared" si="7"/>
        <v>702384.97439491819</v>
      </c>
    </row>
    <row r="41" spans="1:26" x14ac:dyDescent="0.25">
      <c r="A41">
        <f t="shared" si="8"/>
        <v>36</v>
      </c>
      <c r="B41">
        <f t="shared" si="9"/>
        <v>2053</v>
      </c>
      <c r="C41" s="80">
        <f>Miles!C39*Delay!C$3</f>
        <v>65671371.414591335</v>
      </c>
      <c r="D41" s="81">
        <f>Miles!C39*Delay!D$3</f>
        <v>75774659.324528456</v>
      </c>
      <c r="E41" s="82">
        <f>City!I$16*(1+($A41-1)*City!I$18)</f>
        <v>1.8647688853593083</v>
      </c>
      <c r="F41" s="82">
        <f>City!J$16*(1+($A41-1)*City!J$18)</f>
        <v>1.4815505487960796</v>
      </c>
      <c r="G41" s="83">
        <f>C41*City!$B$16/City!$B$28*(E41-1)</f>
        <v>331278.25883957749</v>
      </c>
      <c r="H41" s="83">
        <f>D41*City!$B$16/City!$B$29*(F41-1)</f>
        <v>510850.60295587702</v>
      </c>
      <c r="I41" s="84">
        <f t="shared" si="0"/>
        <v>842128.86179545452</v>
      </c>
      <c r="J41" s="22">
        <f t="shared" si="1"/>
        <v>186044664.93338528</v>
      </c>
      <c r="K41" s="19">
        <f>Miles!H39+Miles!N39</f>
        <v>23894903.539471772</v>
      </c>
      <c r="L41" s="19">
        <f>Miles!I39+Miles!O39</f>
        <v>4.4275080351342062</v>
      </c>
      <c r="M41" s="19">
        <f>Miles!J39+Miles!P39</f>
        <v>2720647.1436618785</v>
      </c>
      <c r="N41" s="19">
        <f>Miles!K39+Miles!Q39</f>
        <v>159429109.82274359</v>
      </c>
      <c r="O41" s="14">
        <f t="shared" si="2"/>
        <v>0.8613270607139959</v>
      </c>
      <c r="P41" s="52">
        <f>(Capacity!$B$1+Capacity!$C$1*$O41+Capacity!$D$1*$O41*$O41)</f>
        <v>1.7179957544790547</v>
      </c>
      <c r="Q41" s="52">
        <f>(Capacity!$B$2+Capacity!$C$2*$O41+Capacity!$D$2*$O41*$O41)</f>
        <v>1.3231650506807919</v>
      </c>
      <c r="R41" s="53">
        <f t="shared" si="3"/>
        <v>1.4784843064676374</v>
      </c>
      <c r="S41" s="18">
        <f t="shared" si="4"/>
        <v>435731.93495403422</v>
      </c>
      <c r="T41" s="18">
        <f t="shared" si="5"/>
        <v>671924.32874440809</v>
      </c>
      <c r="U41" s="63">
        <f t="shared" si="6"/>
        <v>1107656.2636984424</v>
      </c>
      <c r="V41" s="64">
        <f>(S41*City!B$28/(City!$B$16*C$3*$J41)/P41+1)</f>
        <v>1.5033591515606106</v>
      </c>
      <c r="W41" s="64">
        <f>(T41*City!B$29/(City!$B$16*D$3*$J41)/Q41+1)</f>
        <v>1.3639383828557996</v>
      </c>
      <c r="X41" s="18">
        <f>$J41*C$3*City!$B$16/City!$B$28*(V41-1)/((1+Dedicate!C40*X$1)*(1+Connect!C40*X$2)*(1+Pricing!J41*X$3))</f>
        <v>228982.78024292845</v>
      </c>
      <c r="Y41" s="18">
        <f>$J41*D$3*City!$B$16/City!$B$29*(W41-1)/((1+Dedicate!D40*Y$1)*(1+Connect!D40*Y$2)*(1+Pricing!K41*Y$3))</f>
        <v>482620.74283152045</v>
      </c>
      <c r="Z41" s="20">
        <f t="shared" si="7"/>
        <v>711603.52307444892</v>
      </c>
    </row>
    <row r="42" spans="1:26" x14ac:dyDescent="0.25">
      <c r="A42">
        <f t="shared" si="8"/>
        <v>37</v>
      </c>
      <c r="B42">
        <f t="shared" si="9"/>
        <v>2054</v>
      </c>
      <c r="C42" s="80">
        <f>Miles!C40*Delay!C$3</f>
        <v>66656441.985810198</v>
      </c>
      <c r="D42" s="81">
        <f>Miles!C40*Delay!D$3</f>
        <v>76911279.214396372</v>
      </c>
      <c r="E42" s="82">
        <f>City!I$16*(1+($A42-1)*City!I$18)</f>
        <v>1.8755962445510572</v>
      </c>
      <c r="F42" s="82">
        <f>City!J$16*(1+($A42-1)*City!J$18)</f>
        <v>1.4870992526326543</v>
      </c>
      <c r="G42" s="83">
        <f>C42*City!$B$16/City!$B$28*(E42-1)</f>
        <v>340457.42662114644</v>
      </c>
      <c r="H42" s="83">
        <f>D42*City!$B$16/City!$B$29*(F42-1)</f>
        <v>524487.97274095425</v>
      </c>
      <c r="I42" s="84">
        <f t="shared" si="0"/>
        <v>864945.39936210075</v>
      </c>
      <c r="J42" s="22">
        <f t="shared" si="1"/>
        <v>190408238.46626985</v>
      </c>
      <c r="K42" s="19">
        <f>Miles!H40+Miles!N40</f>
        <v>20695798.172598485</v>
      </c>
      <c r="L42" s="19">
        <f>Miles!I40+Miles!O40</f>
        <v>1.5737024214065816</v>
      </c>
      <c r="M42" s="19">
        <f>Miles!J40+Miles!P40</f>
        <v>2077491.9920697482</v>
      </c>
      <c r="N42" s="19">
        <f>Miles!K40+Miles!Q40</f>
        <v>167634946.72789919</v>
      </c>
      <c r="O42" s="14">
        <f t="shared" si="2"/>
        <v>0.88367076886064844</v>
      </c>
      <c r="P42" s="52">
        <f>(Capacity!$B$1+Capacity!$C$1*$O42+Capacity!$D$1*$O42*$O42)</f>
        <v>1.7603146795143938</v>
      </c>
      <c r="Q42" s="52">
        <f>(Capacity!$B$2+Capacity!$C$2*$O42+Capacity!$D$2*$O42*$O42)</f>
        <v>1.3493183174206331</v>
      </c>
      <c r="R42" s="53">
        <f t="shared" si="3"/>
        <v>1.5110935738614339</v>
      </c>
      <c r="S42" s="18">
        <f t="shared" si="4"/>
        <v>451535.33352592168</v>
      </c>
      <c r="T42" s="18">
        <f t="shared" si="5"/>
        <v>695607.82989015197</v>
      </c>
      <c r="U42" s="63">
        <f t="shared" si="6"/>
        <v>1147143.1634160737</v>
      </c>
      <c r="V42" s="64">
        <f>(S42*City!B$28/(City!$B$16*C$3*$J42)/P42+1)</f>
        <v>1.4974089319033581</v>
      </c>
      <c r="W42" s="64">
        <f>(T42*City!B$29/(City!$B$16*D$3*$J42)/Q42+1)</f>
        <v>1.36099654643672</v>
      </c>
      <c r="X42" s="18">
        <f>$J42*C$3*City!$B$16/City!$B$28*(V42-1)/((1+Dedicate!C41*X$1)*(1+Connect!C41*X$2)*(1+Pricing!J42*X$3))</f>
        <v>231583.14601559032</v>
      </c>
      <c r="Y42" s="18">
        <f>$J42*D$3*City!$B$16/City!$B$29*(W42-1)/((1+Dedicate!D41*Y$1)*(1+Connect!D41*Y$2)*(1+Pricing!K42*Y$3))</f>
        <v>489947.65634612198</v>
      </c>
      <c r="Z42" s="20">
        <f t="shared" si="7"/>
        <v>721530.80236171233</v>
      </c>
    </row>
    <row r="43" spans="1:26" x14ac:dyDescent="0.25">
      <c r="A43">
        <f t="shared" si="8"/>
        <v>38</v>
      </c>
      <c r="B43">
        <f t="shared" si="9"/>
        <v>2055</v>
      </c>
      <c r="C43" s="80">
        <f>Miles!C41*Delay!C$3</f>
        <v>67656288.615597352</v>
      </c>
      <c r="D43" s="81">
        <f>Miles!C41*Delay!D$3</f>
        <v>78064948.402612314</v>
      </c>
      <c r="E43" s="82">
        <f>City!I$16*(1+($A43-1)*City!I$18)</f>
        <v>1.8864236037428059</v>
      </c>
      <c r="F43" s="82">
        <f>City!J$16*(1+($A43-1)*City!J$18)</f>
        <v>1.492647956469229</v>
      </c>
      <c r="G43" s="83">
        <f>C43*City!$B$16/City!$B$28*(E43-1)</f>
        <v>349837.43182792357</v>
      </c>
      <c r="H43" s="83">
        <f>D43*City!$B$16/City!$B$29*(F43-1)</f>
        <v>538419.52223391854</v>
      </c>
      <c r="I43" s="84">
        <f t="shared" si="0"/>
        <v>888256.95406184206</v>
      </c>
      <c r="J43" s="22">
        <f t="shared" si="1"/>
        <v>194739340.29994366</v>
      </c>
      <c r="K43" s="19">
        <f>Miles!H41+Miles!N41</f>
        <v>17574825.491338823</v>
      </c>
      <c r="L43" s="19">
        <f>Miles!I41+Miles!O41</f>
        <v>0.578093899239009</v>
      </c>
      <c r="M43" s="19">
        <f>Miles!J41+Miles!P41</f>
        <v>1593703.647677209</v>
      </c>
      <c r="N43" s="19">
        <f>Miles!K41+Miles!Q41</f>
        <v>175570810.58283374</v>
      </c>
      <c r="O43" s="14">
        <f t="shared" si="2"/>
        <v>0.90402340617869092</v>
      </c>
      <c r="P43" s="52">
        <f>(Capacity!$B$1+Capacity!$C$1*$O43+Capacity!$D$1*$O43*$O43)</f>
        <v>1.7999053014669686</v>
      </c>
      <c r="Q43" s="52">
        <f>(Capacity!$B$2+Capacity!$C$2*$O43+Capacity!$D$2*$O43*$O43)</f>
        <v>1.3739231245555537</v>
      </c>
      <c r="R43" s="53">
        <f t="shared" si="3"/>
        <v>1.5416949726606486</v>
      </c>
      <c r="S43" s="18">
        <f t="shared" si="4"/>
        <v>467516.69201025937</v>
      </c>
      <c r="T43" s="18">
        <f t="shared" si="5"/>
        <v>719534.53532199748</v>
      </c>
      <c r="U43" s="63">
        <f t="shared" si="6"/>
        <v>1187051.2273322567</v>
      </c>
      <c r="V43" s="64">
        <f>(S43*City!B$28/(City!$B$16*C$3*$J43)/P43+1)</f>
        <v>1.4924834673359473</v>
      </c>
      <c r="W43" s="64">
        <f>(T43*City!B$29/(City!$B$16*D$3*$J43)/Q43+1)</f>
        <v>1.3585702487019382</v>
      </c>
      <c r="X43" s="18">
        <f>$J43*C$3*City!$B$16/City!$B$28*(V43-1)/((1+Dedicate!C42*X$1)*(1+Connect!C42*X$2)*(1+Pricing!J43*X$3))</f>
        <v>234505.47406321226</v>
      </c>
      <c r="Y43" s="18">
        <f>$J43*D$3*City!$B$16/City!$B$29*(W43-1)/((1+Dedicate!D42*Y$1)*(1+Connect!D42*Y$2)*(1+Pricing!K43*Y$3))</f>
        <v>497724.30526895064</v>
      </c>
      <c r="Z43" s="20">
        <f t="shared" si="7"/>
        <v>732229.77933216293</v>
      </c>
    </row>
    <row r="44" spans="1:26" x14ac:dyDescent="0.25">
      <c r="A44">
        <f t="shared" si="8"/>
        <v>39</v>
      </c>
      <c r="B44">
        <f t="shared" si="9"/>
        <v>2056</v>
      </c>
      <c r="C44" s="80">
        <f>Miles!C42*Delay!C$3</f>
        <v>68671132.944831312</v>
      </c>
      <c r="D44" s="81">
        <f>Miles!C42*Delay!D$3</f>
        <v>79235922.6286515</v>
      </c>
      <c r="E44" s="82">
        <f>City!I$16*(1+($A44-1)*City!I$18)</f>
        <v>1.8972509629345546</v>
      </c>
      <c r="F44" s="82">
        <f>City!J$16*(1+($A44-1)*City!J$18)</f>
        <v>1.4981966603058039</v>
      </c>
      <c r="G44" s="83">
        <f>C44*City!$B$16/City!$B$28*(E44-1)</f>
        <v>359422.2342699141</v>
      </c>
      <c r="H44" s="83">
        <f>D44*City!$B$16/City!$B$29*(F44-1)</f>
        <v>552651.00841780542</v>
      </c>
      <c r="I44" s="84">
        <f t="shared" si="0"/>
        <v>912073.24268771952</v>
      </c>
      <c r="J44" s="22">
        <f t="shared" si="1"/>
        <v>199035804.29660025</v>
      </c>
      <c r="K44" s="19">
        <f>Miles!H42+Miles!N42</f>
        <v>14569387.807501752</v>
      </c>
      <c r="L44" s="19">
        <f>Miles!I42+Miles!O42</f>
        <v>0.22090193264468094</v>
      </c>
      <c r="M44" s="19">
        <f>Miles!J42+Miles!P42</f>
        <v>1229404.9937823105</v>
      </c>
      <c r="N44" s="19">
        <f>Miles!K42+Miles!Q42</f>
        <v>183237011.27441427</v>
      </c>
      <c r="O44" s="14">
        <f t="shared" si="2"/>
        <v>0.92247640289398602</v>
      </c>
      <c r="P44" s="52">
        <f>(Capacity!$B$1+Capacity!$C$1*$O44+Capacity!$D$1*$O44*$O44)</f>
        <v>1.836659976096676</v>
      </c>
      <c r="Q44" s="52">
        <f>(Capacity!$B$2+Capacity!$C$2*$O44+Capacity!$D$2*$O44*$O44)</f>
        <v>1.3968758813490103</v>
      </c>
      <c r="R44" s="53">
        <f t="shared" si="3"/>
        <v>1.5701823380374866</v>
      </c>
      <c r="S44" s="18">
        <f t="shared" si="4"/>
        <v>483667.88996385742</v>
      </c>
      <c r="T44" s="18">
        <f t="shared" si="5"/>
        <v>743692.29736384342</v>
      </c>
      <c r="U44" s="63">
        <f t="shared" si="6"/>
        <v>1227360.1873277009</v>
      </c>
      <c r="V44" s="64">
        <f>(S44*City!B$28/(City!$B$16*C$3*$J44)/P44+1)</f>
        <v>1.4885231750089196</v>
      </c>
      <c r="W44" s="64">
        <f>(T44*City!B$29/(City!$B$16*D$3*$J44)/Q44+1)</f>
        <v>1.3566506279889938</v>
      </c>
      <c r="X44" s="18">
        <f>$J44*C$3*City!$B$16/City!$B$28*(V44-1)/((1+Dedicate!C43*X$1)*(1+Connect!C43*X$2)*(1+Pricing!J44*X$3))</f>
        <v>237751.90955723487</v>
      </c>
      <c r="Y44" s="18">
        <f>$J44*D$3*City!$B$16/City!$B$29*(W44-1)/((1+Dedicate!D43*Y$1)*(1+Connect!D43*Y$2)*(1+Pricing!K44*Y$3))</f>
        <v>505982.04195957736</v>
      </c>
      <c r="Z44" s="20">
        <f t="shared" si="7"/>
        <v>743733.9515168122</v>
      </c>
    </row>
    <row r="45" spans="1:26" x14ac:dyDescent="0.25">
      <c r="A45">
        <f t="shared" si="8"/>
        <v>40</v>
      </c>
      <c r="B45">
        <f t="shared" si="9"/>
        <v>2057</v>
      </c>
      <c r="C45" s="80">
        <f>Miles!C43*Delay!C$3</f>
        <v>69701199.939003766</v>
      </c>
      <c r="D45" s="81">
        <f>Miles!C43*Delay!D$3</f>
        <v>80424461.468081266</v>
      </c>
      <c r="E45" s="82">
        <f>City!I$16*(1+($A45-1)*City!I$18)</f>
        <v>1.9080783221263038</v>
      </c>
      <c r="F45" s="82">
        <f>City!J$16*(1+($A45-1)*City!J$18)</f>
        <v>1.5037453641423786</v>
      </c>
      <c r="G45" s="83">
        <f>C45*City!$B$16/City!$B$28*(E45-1)</f>
        <v>369215.86736300326</v>
      </c>
      <c r="H45" s="83">
        <f>D45*City!$B$16/City!$B$29*(F45-1)</f>
        <v>567188.29479470605</v>
      </c>
      <c r="I45" s="84">
        <f t="shared" si="0"/>
        <v>936404.16215770924</v>
      </c>
      <c r="J45" s="22">
        <f t="shared" si="1"/>
        <v>203298246.64713657</v>
      </c>
      <c r="K45" s="19">
        <f>Miles!H43+Miles!N43</f>
        <v>11702707.99024358</v>
      </c>
      <c r="L45" s="19">
        <f>Miles!I43+Miles!O43</f>
        <v>8.7940903536396595E-2</v>
      </c>
      <c r="M45" s="19">
        <f>Miles!J43+Miles!P43</f>
        <v>953997.95726843784</v>
      </c>
      <c r="N45" s="19">
        <f>Miles!K43+Miles!Q43</f>
        <v>190641540.61168364</v>
      </c>
      <c r="O45" s="14">
        <f t="shared" si="2"/>
        <v>0.93915094279711275</v>
      </c>
      <c r="P45" s="52">
        <f>(Capacity!$B$1+Capacity!$C$1*$O45+Capacity!$D$1*$O45*$O45)</f>
        <v>1.8705752034686243</v>
      </c>
      <c r="Q45" s="52">
        <f>(Capacity!$B$2+Capacity!$C$2*$O45+Capacity!$D$2*$O45*$O45)</f>
        <v>1.4181436669021901</v>
      </c>
      <c r="R45" s="53">
        <f t="shared" si="3"/>
        <v>1.5965334145629</v>
      </c>
      <c r="S45" s="18">
        <f t="shared" si="4"/>
        <v>499987.3956635762</v>
      </c>
      <c r="T45" s="18">
        <f t="shared" si="5"/>
        <v>768079.11965076672</v>
      </c>
      <c r="U45" s="63">
        <f t="shared" si="6"/>
        <v>1268066.5153143429</v>
      </c>
      <c r="V45" s="64">
        <f>(S45*City!B$28/(City!$B$16*C$3*$J45)/P45+1)</f>
        <v>1.4854540573629147</v>
      </c>
      <c r="W45" s="64">
        <f>(T45*City!B$29/(City!$B$16*D$3*$J45)/Q45+1)</f>
        <v>1.3552146202808677</v>
      </c>
      <c r="X45" s="18">
        <f>$J45*C$3*City!$B$16/City!$B$28*(V45-1)/((1+Dedicate!C44*X$1)*(1+Connect!C44*X$2)*(1+Pricing!J45*X$3))</f>
        <v>241317.82531008986</v>
      </c>
      <c r="Y45" s="18">
        <f>$J45*D$3*City!$B$16/City!$B$29*(W45-1)/((1+Dedicate!D44*Y$1)*(1+Connect!D44*Y$2)*(1+Pricing!K45*Y$3))</f>
        <v>514736.97725154884</v>
      </c>
      <c r="Z45" s="20">
        <f t="shared" si="7"/>
        <v>756054.80256163864</v>
      </c>
    </row>
    <row r="46" spans="1:26" x14ac:dyDescent="0.25">
      <c r="A46">
        <f t="shared" si="8"/>
        <v>41</v>
      </c>
      <c r="B46">
        <f t="shared" si="9"/>
        <v>2058</v>
      </c>
      <c r="C46" s="80">
        <f>Miles!C44*Delay!C$3</f>
        <v>70746717.938088804</v>
      </c>
      <c r="D46" s="81">
        <f>Miles!C44*Delay!D$3</f>
        <v>81630828.390102476</v>
      </c>
      <c r="E46" s="82">
        <f>City!I$16*(1+($A46-1)*City!I$18)</f>
        <v>1.9189056813180525</v>
      </c>
      <c r="F46" s="82">
        <f>City!J$16*(1+($A46-1)*City!J$18)</f>
        <v>1.5092940679789533</v>
      </c>
      <c r="G46" s="83">
        <f>C46*City!$B$16/City!$B$28*(E46-1)</f>
        <v>379222.43944617413</v>
      </c>
      <c r="H46" s="83">
        <f>D46*City!$B$16/City!$B$29*(F46-1)</f>
        <v>582037.35328601964</v>
      </c>
      <c r="I46" s="84">
        <f t="shared" si="0"/>
        <v>961259.79273219383</v>
      </c>
      <c r="J46" s="22">
        <f t="shared" si="1"/>
        <v>207529355.66037935</v>
      </c>
      <c r="K46" s="19">
        <f>Miles!H44+Miles!N44</f>
        <v>8986873.2538608983</v>
      </c>
      <c r="L46" s="19">
        <f>Miles!I44+Miles!O44</f>
        <v>3.6376778036096541E-2</v>
      </c>
      <c r="M46" s="19">
        <f>Miles!J44+Miles!P44</f>
        <v>744567.79012674</v>
      </c>
      <c r="N46" s="19">
        <f>Miles!K44+Miles!Q44</f>
        <v>197797914.58001494</v>
      </c>
      <c r="O46" s="14">
        <f t="shared" si="2"/>
        <v>0.95418445400443208</v>
      </c>
      <c r="P46" s="52">
        <f>(Capacity!$B$1+Capacity!$C$1*$O46+Capacity!$D$1*$O46*$O46)</f>
        <v>1.9017246759155968</v>
      </c>
      <c r="Q46" s="52">
        <f>(Capacity!$B$2+Capacity!$C$2*$O46+Capacity!$D$2*$O46*$O46)</f>
        <v>1.4377473934355898</v>
      </c>
      <c r="R46" s="53">
        <f t="shared" si="3"/>
        <v>1.6207890625452168</v>
      </c>
      <c r="S46" s="18">
        <f t="shared" si="4"/>
        <v>516478.9065491177</v>
      </c>
      <c r="T46" s="18">
        <f t="shared" si="5"/>
        <v>792701.02326994203</v>
      </c>
      <c r="U46" s="63">
        <f t="shared" si="6"/>
        <v>1309179.9298190598</v>
      </c>
      <c r="V46" s="64">
        <f>(S46*City!B$28/(City!$B$16*C$3*$J46)/P46+1)</f>
        <v>1.4831959604644873</v>
      </c>
      <c r="W46" s="64">
        <f>(T46*City!B$29/(City!$B$16*D$3*$J46)/Q46+1)</f>
        <v>1.3542305625482391</v>
      </c>
      <c r="X46" s="18">
        <f>$J46*C$3*City!$B$16/City!$B$28*(V46-1)/((1+Dedicate!C45*X$1)*(1+Connect!C45*X$2)*(1+Pricing!J46*X$3))</f>
        <v>245194.35490204586</v>
      </c>
      <c r="Y46" s="18">
        <f>$J46*D$3*City!$B$16/City!$B$29*(W46-1)/((1+Dedicate!D45*Y$1)*(1+Connect!D45*Y$2)*(1+Pricing!K46*Y$3))</f>
        <v>523994.18650013371</v>
      </c>
      <c r="Z46" s="20">
        <f t="shared" si="7"/>
        <v>769188.54140217951</v>
      </c>
    </row>
    <row r="47" spans="1:26" x14ac:dyDescent="0.25">
      <c r="A47">
        <f t="shared" si="8"/>
        <v>42</v>
      </c>
      <c r="B47">
        <f t="shared" si="9"/>
        <v>2059</v>
      </c>
      <c r="C47" s="80">
        <f>Miles!C45*Delay!C$3</f>
        <v>71807918.707160145</v>
      </c>
      <c r="D47" s="81">
        <f>Miles!C45*Delay!D$3</f>
        <v>82855290.815954</v>
      </c>
      <c r="E47" s="82">
        <f>City!I$16*(1+($A47-1)*City!I$18)</f>
        <v>1.9297330405098014</v>
      </c>
      <c r="F47" s="82">
        <f>City!J$16*(1+($A47-1)*City!J$18)</f>
        <v>1.514842771815528</v>
      </c>
      <c r="G47" s="83">
        <f>C47*City!$B$16/City!$B$28*(E47-1)</f>
        <v>389446.13512168376</v>
      </c>
      <c r="H47" s="83">
        <f>D47*City!$B$16/City!$B$29*(F47-1)</f>
        <v>597204.26616574381</v>
      </c>
      <c r="I47" s="84">
        <f t="shared" si="0"/>
        <v>986650.40128742764</v>
      </c>
      <c r="J47" s="22">
        <f t="shared" si="1"/>
        <v>211733260.0233717</v>
      </c>
      <c r="K47" s="19">
        <f>Miles!H45+Miles!N45</f>
        <v>6425737.0003379593</v>
      </c>
      <c r="L47" s="19">
        <f>Miles!I45+Miles!O45</f>
        <v>1.5553440689492536E-2</v>
      </c>
      <c r="M47" s="19">
        <f>Miles!J45+Miles!P45</f>
        <v>584205.63136157836</v>
      </c>
      <c r="N47" s="19">
        <f>Miles!K45+Miles!Q45</f>
        <v>204723317.37611872</v>
      </c>
      <c r="O47" s="14">
        <f t="shared" si="2"/>
        <v>0.96772032435747346</v>
      </c>
      <c r="P47" s="52">
        <f>(Capacity!$B$1+Capacity!$C$1*$O47+Capacity!$D$1*$O47*$O47)</f>
        <v>1.9302350865379454</v>
      </c>
      <c r="Q47" s="52">
        <f>(Capacity!$B$2+Capacity!$C$2*$O47+Capacity!$D$2*$O47*$O47)</f>
        <v>1.455746233814091</v>
      </c>
      <c r="R47" s="53">
        <f t="shared" si="3"/>
        <v>1.6430343042496853</v>
      </c>
      <c r="S47" s="18">
        <f t="shared" si="4"/>
        <v>533150.0623003256</v>
      </c>
      <c r="T47" s="18">
        <f t="shared" si="5"/>
        <v>817570.03856977948</v>
      </c>
      <c r="U47" s="63">
        <f t="shared" si="6"/>
        <v>1350720.100870105</v>
      </c>
      <c r="V47" s="64">
        <f>(S47*City!B$28/(City!$B$16*C$3*$J47)/P47+1)</f>
        <v>1.4816682936674637</v>
      </c>
      <c r="W47" s="64">
        <f>(T47*City!B$29/(City!$B$16*D$3*$J47)/Q47+1)</f>
        <v>1.3536624446326935</v>
      </c>
      <c r="X47" s="18">
        <f>$J47*C$3*City!$B$16/City!$B$28*(V47-1)/((1+Dedicate!C46*X$1)*(1+Connect!C46*X$2)*(1+Pricing!J47*X$3))</f>
        <v>249370.32903576401</v>
      </c>
      <c r="Y47" s="18">
        <f>$J47*D$3*City!$B$16/City!$B$29*(W47-1)/((1+Dedicate!D46*Y$1)*(1+Connect!D46*Y$2)*(1+Pricing!K47*Y$3))</f>
        <v>533751.28195015725</v>
      </c>
      <c r="Z47" s="20">
        <f t="shared" si="7"/>
        <v>783121.61098592123</v>
      </c>
    </row>
    <row r="48" spans="1:26" x14ac:dyDescent="0.25">
      <c r="A48">
        <f t="shared" si="8"/>
        <v>43</v>
      </c>
      <c r="B48">
        <f t="shared" si="9"/>
        <v>2060</v>
      </c>
      <c r="C48" s="80">
        <f>Miles!C46*Delay!C$3</f>
        <v>72885037.487767532</v>
      </c>
      <c r="D48" s="81">
        <f>Miles!C46*Delay!D$3</f>
        <v>84098120.178193316</v>
      </c>
      <c r="E48" s="82">
        <f>City!I$16*(1+($A48-1)*City!I$18)</f>
        <v>1.9405603997015501</v>
      </c>
      <c r="F48" s="82">
        <f>City!J$16*(1+($A48-1)*City!J$18)</f>
        <v>1.5203914756521026</v>
      </c>
      <c r="G48" s="83">
        <f>C48*City!$B$16/City!$B$28*(E48-1)</f>
        <v>399891.21661858307</v>
      </c>
      <c r="H48" s="83">
        <f>D48*City!$B$16/City!$B$29*(F48-1)</f>
        <v>612695.22802737053</v>
      </c>
      <c r="I48" s="84">
        <f t="shared" si="0"/>
        <v>1012586.4446459536</v>
      </c>
      <c r="J48" s="22">
        <f t="shared" si="1"/>
        <v>215915007.56565291</v>
      </c>
      <c r="K48" s="19">
        <f>Miles!H46+Miles!N46</f>
        <v>4017388.4891327247</v>
      </c>
      <c r="L48" s="19">
        <f>Miles!I46+Miles!O46</f>
        <v>6.8315950548632608E-3</v>
      </c>
      <c r="M48" s="19">
        <f>Miles!J46+Miles!P46</f>
        <v>460524.47485814389</v>
      </c>
      <c r="N48" s="19">
        <f>Miles!K46+Miles!Q46</f>
        <v>211437094.59483045</v>
      </c>
      <c r="O48" s="14">
        <f t="shared" si="2"/>
        <v>0.97990062999042682</v>
      </c>
      <c r="P48" s="52">
        <f>(Capacity!$B$1+Capacity!$C$1*$O48+Capacity!$D$1*$O48*$O48)</f>
        <v>1.956266167588677</v>
      </c>
      <c r="Q48" s="52">
        <f>(Capacity!$B$2+Capacity!$C$2*$O48+Capacity!$D$2*$O48*$O48)</f>
        <v>1.4722244681939012</v>
      </c>
      <c r="R48" s="53">
        <f t="shared" si="3"/>
        <v>1.6633824923690936</v>
      </c>
      <c r="S48" s="18">
        <f t="shared" si="4"/>
        <v>550011.3282557663</v>
      </c>
      <c r="T48" s="18">
        <f t="shared" si="5"/>
        <v>842702.4705189378</v>
      </c>
      <c r="U48" s="63">
        <f t="shared" si="6"/>
        <v>1392713.7987747041</v>
      </c>
      <c r="V48" s="64">
        <f>(S48*City!B$28/(City!$B$16*C$3*$J48)/P48+1)</f>
        <v>1.4807936748509529</v>
      </c>
      <c r="W48" s="64">
        <f>(T48*City!B$29/(City!$B$16*D$3*$J48)/Q48+1)</f>
        <v>1.3534729159137735</v>
      </c>
      <c r="X48" s="18">
        <f>$J48*C$3*City!$B$16/City!$B$28*(V48-1)/((1+Dedicate!C47*X$1)*(1+Connect!C47*X$2)*(1+Pricing!J48*X$3))</f>
        <v>253833.65894704356</v>
      </c>
      <c r="Y48" s="18">
        <f>$J48*D$3*City!$B$16/City!$B$29*(W48-1)/((1+Dedicate!D47*Y$1)*(1+Connect!D47*Y$2)*(1+Pricing!K48*Y$3))</f>
        <v>544001.2211055056</v>
      </c>
      <c r="Z48" s="20">
        <f t="shared" si="7"/>
        <v>797834.88005254918</v>
      </c>
    </row>
    <row r="49" spans="1:26" x14ac:dyDescent="0.25">
      <c r="A49">
        <f t="shared" si="8"/>
        <v>44</v>
      </c>
      <c r="B49">
        <f t="shared" si="9"/>
        <v>2061</v>
      </c>
      <c r="C49" s="80">
        <f>Miles!C47*Delay!C$3</f>
        <v>73978313.05008404</v>
      </c>
      <c r="D49" s="81">
        <f>Miles!C47*Delay!D$3</f>
        <v>85359591.980866209</v>
      </c>
      <c r="E49" s="82">
        <f>City!I$16*(1+($A49-1)*City!I$18)</f>
        <v>1.9513877588932989</v>
      </c>
      <c r="F49" s="82">
        <f>City!J$16*(1+($A49-1)*City!J$18)</f>
        <v>1.5259401794886773</v>
      </c>
      <c r="G49" s="83">
        <f>C49*City!$B$16/City!$B$28*(E49-1)</f>
        <v>410562.02517998696</v>
      </c>
      <c r="H49" s="83">
        <f>D49*City!$B$16/City!$B$29*(F49-1)</f>
        <v>628516.5477849585</v>
      </c>
      <c r="I49" s="84">
        <f t="shared" si="0"/>
        <v>1039078.5729649455</v>
      </c>
      <c r="J49" s="22">
        <f t="shared" si="1"/>
        <v>220080159.19988137</v>
      </c>
      <c r="K49" s="19">
        <f>Miles!H47+Miles!N47</f>
        <v>1756107.7370752161</v>
      </c>
      <c r="L49" s="19">
        <f>Miles!I47+Miles!O47</f>
        <v>3.0644545168081469E-3</v>
      </c>
      <c r="M49" s="19">
        <f>Miles!J47+Miles!P47</f>
        <v>364462.11791204859</v>
      </c>
      <c r="N49" s="19">
        <f>Miles!K47+Miles!Q47</f>
        <v>217959589.34182966</v>
      </c>
      <c r="O49" s="14">
        <f t="shared" si="2"/>
        <v>0.9908613696496601</v>
      </c>
      <c r="P49" s="52">
        <f>(Capacity!$B$1+Capacity!$C$1*$O49+Capacity!$D$1*$O49*$O49)</f>
        <v>1.9799952307068682</v>
      </c>
      <c r="Q49" s="52">
        <f>(Capacity!$B$2+Capacity!$C$2*$O49+Capacity!$D$2*$O49*$O49)</f>
        <v>1.4872810806177363</v>
      </c>
      <c r="R49" s="53">
        <f t="shared" si="3"/>
        <v>1.6819629117695511</v>
      </c>
      <c r="S49" s="18">
        <f t="shared" si="4"/>
        <v>567075.08389473392</v>
      </c>
      <c r="T49" s="18">
        <f t="shared" si="5"/>
        <v>868117.48823611706</v>
      </c>
      <c r="U49" s="63">
        <f t="shared" si="6"/>
        <v>1435192.572130851</v>
      </c>
      <c r="V49" s="64">
        <f>(S49*City!B$28/(City!$B$16*C$3*$J49)/P49+1)</f>
        <v>1.4805000255246317</v>
      </c>
      <c r="W49" s="64">
        <f>(T49*City!B$29/(City!$B$16*D$3*$J49)/Q49+1)</f>
        <v>1.3536252738925652</v>
      </c>
      <c r="X49" s="18">
        <f>$J49*C$3*City!$B$16/City!$B$28*(V49-1)/((1+Dedicate!C48*X$1)*(1+Connect!C48*X$2)*(1+Pricing!J49*X$3))</f>
        <v>258572.26591604034</v>
      </c>
      <c r="Y49" s="18">
        <f>$J49*D$3*City!$B$16/City!$B$29*(W49-1)/((1+Dedicate!D48*Y$1)*(1+Connect!D48*Y$2)*(1+Pricing!K49*Y$3))</f>
        <v>554734.39046129829</v>
      </c>
      <c r="Z49" s="20">
        <f t="shared" si="7"/>
        <v>813306.65637733857</v>
      </c>
    </row>
    <row r="50" spans="1:26" x14ac:dyDescent="0.25">
      <c r="A50">
        <f t="shared" si="8"/>
        <v>45</v>
      </c>
      <c r="B50">
        <f t="shared" si="9"/>
        <v>2062</v>
      </c>
      <c r="C50" s="80">
        <f>Miles!C48*Delay!C$3</f>
        <v>75087987.745835304</v>
      </c>
      <c r="D50" s="81">
        <f>Miles!C48*Delay!D$3</f>
        <v>86639985.860579193</v>
      </c>
      <c r="E50" s="82">
        <f>City!I$16*(1+($A50-1)*City!I$18)</f>
        <v>1.962215118085048</v>
      </c>
      <c r="F50" s="82">
        <f>City!J$16*(1+($A50-1)*City!J$18)</f>
        <v>1.531488883325252</v>
      </c>
      <c r="G50" s="83">
        <f>C50*City!$B$16/City!$B$28*(E50-1)</f>
        <v>421462.98247449409</v>
      </c>
      <c r="H50" s="83">
        <f>D50*City!$B$16/City!$B$29*(F50-1)</f>
        <v>644674.65070896794</v>
      </c>
      <c r="I50" s="84">
        <f t="shared" si="0"/>
        <v>1066137.6331834621</v>
      </c>
      <c r="J50" s="22">
        <f t="shared" si="1"/>
        <v>223968234.1301688</v>
      </c>
      <c r="K50" s="19">
        <f>Miles!H48+Miles!N48</f>
        <v>650501.69198358082</v>
      </c>
      <c r="L50" s="19">
        <f>Miles!I48+Miles!O48</f>
        <v>1.4651729190474912E-3</v>
      </c>
      <c r="M50" s="19">
        <f>Miles!J48+Miles!P48</f>
        <v>294674.65716032783</v>
      </c>
      <c r="N50" s="19">
        <f>Miles!K48+Miles!Q48</f>
        <v>223023057.7795597</v>
      </c>
      <c r="O50" s="14">
        <f t="shared" si="2"/>
        <v>0.99617457378881447</v>
      </c>
      <c r="P50" s="52">
        <f>(Capacity!$B$1+Capacity!$C$1*$O50+Capacity!$D$1*$O50*$O50)</f>
        <v>1.9916016229982283</v>
      </c>
      <c r="Q50" s="52">
        <f>(Capacity!$B$2+Capacity!$C$2*$O50+Capacity!$D$2*$O50*$O50)</f>
        <v>1.4946575738014678</v>
      </c>
      <c r="R50" s="53">
        <f t="shared" si="3"/>
        <v>1.6911083082831171</v>
      </c>
      <c r="S50" s="18">
        <f t="shared" si="4"/>
        <v>583661.05647107936</v>
      </c>
      <c r="T50" s="18">
        <f t="shared" si="5"/>
        <v>892774.69993628992</v>
      </c>
      <c r="U50" s="63">
        <f t="shared" si="6"/>
        <v>1476435.7564073694</v>
      </c>
      <c r="V50" s="64">
        <f>(S50*City!B$28/(City!$B$16*C$3*$J50)/P50+1)</f>
        <v>1.4831363396041499</v>
      </c>
      <c r="W50" s="64">
        <f>(T50*City!B$29/(City!$B$16*D$3*$J50)/Q50+1)</f>
        <v>1.3555924063419282</v>
      </c>
      <c r="X50" s="18">
        <f>$J50*C$3*City!$B$16/City!$B$28*(V50-1)/((1+Dedicate!C49*X$1)*(1+Connect!C49*X$2)*(1+Pricing!J50*X$3))</f>
        <v>264584.1140677121</v>
      </c>
      <c r="Y50" s="18">
        <f>$J50*D$3*City!$B$16/City!$B$29*(W50-1)/((1+Dedicate!D49*Y$1)*(1+Connect!D49*Y$2)*(1+Pricing!K50*Y$3))</f>
        <v>567675.04895789619</v>
      </c>
      <c r="Z50" s="20">
        <f t="shared" si="7"/>
        <v>832259.16302560829</v>
      </c>
    </row>
    <row r="51" spans="1:26" x14ac:dyDescent="0.25">
      <c r="A51">
        <f t="shared" si="8"/>
        <v>46</v>
      </c>
      <c r="B51">
        <f t="shared" si="9"/>
        <v>2063</v>
      </c>
      <c r="C51" s="80">
        <f>Miles!C49*Delay!C$3</f>
        <v>76214307.562022835</v>
      </c>
      <c r="D51" s="81">
        <f>Miles!C49*Delay!D$3</f>
        <v>87939585.648487866</v>
      </c>
      <c r="E51" s="82">
        <f>City!I$16*(1+($A51-1)*City!I$18)</f>
        <v>1.9730424772767967</v>
      </c>
      <c r="F51" s="82">
        <f>City!J$16*(1+($A51-1)*City!J$18)</f>
        <v>1.5370375871618267</v>
      </c>
      <c r="G51" s="83">
        <f>C51*City!$B$16/City!$B$28*(E51-1)</f>
        <v>432598.59203217062</v>
      </c>
      <c r="H51" s="83">
        <f>D51*City!$B$16/City!$B$29*(F51-1)</f>
        <v>661176.08049744612</v>
      </c>
      <c r="I51" s="84">
        <f t="shared" si="0"/>
        <v>1093774.6725296169</v>
      </c>
      <c r="J51" s="22">
        <f t="shared" si="1"/>
        <v>227396257.44533804</v>
      </c>
      <c r="K51" s="19">
        <f>Miles!H49+Miles!N49</f>
        <v>462704.52131449402</v>
      </c>
      <c r="L51" s="19">
        <f>Miles!I49+Miles!O49</f>
        <v>7.4378474498741913E-4</v>
      </c>
      <c r="M51" s="19">
        <f>Miles!J49+Miles!P49</f>
        <v>242621.61079627904</v>
      </c>
      <c r="N51" s="19">
        <f>Miles!K49+Miles!Q49</f>
        <v>226690931.31248349</v>
      </c>
      <c r="O51" s="14">
        <f t="shared" si="2"/>
        <v>0.99721833746673105</v>
      </c>
      <c r="P51" s="52">
        <f>(Capacity!$B$1+Capacity!$C$1*$O51+Capacity!$D$1*$O51*$O51)</f>
        <v>1.9938896276025471</v>
      </c>
      <c r="Q51" s="52">
        <f>(Capacity!$B$2+Capacity!$C$2*$O51+Capacity!$D$2*$O51*$O51)</f>
        <v>1.4961126363352277</v>
      </c>
      <c r="R51" s="53">
        <f t="shared" si="3"/>
        <v>1.6929883100699581</v>
      </c>
      <c r="S51" s="18">
        <f t="shared" si="4"/>
        <v>599262.67285106063</v>
      </c>
      <c r="T51" s="18">
        <f t="shared" si="5"/>
        <v>915902.53071055422</v>
      </c>
      <c r="U51" s="63">
        <f t="shared" si="6"/>
        <v>1515165.2035616147</v>
      </c>
      <c r="V51" s="64">
        <f>(S51*City!B$28/(City!$B$16*C$3*$J51)/P51+1)</f>
        <v>1.4880122067974157</v>
      </c>
      <c r="W51" s="64">
        <f>(T51*City!B$29/(City!$B$16*D$3*$J51)/Q51+1)</f>
        <v>1.358955318014903</v>
      </c>
      <c r="X51" s="18">
        <f>$J51*C$3*City!$B$16/City!$B$28*(V51-1)/((1+Dedicate!C50*X$1)*(1+Connect!C50*X$2)*(1+Pricing!J51*X$3))</f>
        <v>271344.88079866522</v>
      </c>
      <c r="Y51" s="18">
        <f>$J51*D$3*City!$B$16/City!$B$29*(W51-1)/((1+Dedicate!D50*Y$1)*(1+Connect!D50*Y$2)*(1+Pricing!K51*Y$3))</f>
        <v>581814.58869723615</v>
      </c>
      <c r="Z51" s="20">
        <f t="shared" si="7"/>
        <v>853159.46949590137</v>
      </c>
    </row>
    <row r="52" spans="1:26" x14ac:dyDescent="0.25">
      <c r="A52">
        <f t="shared" si="8"/>
        <v>47</v>
      </c>
      <c r="B52">
        <f t="shared" si="9"/>
        <v>2064</v>
      </c>
      <c r="C52" s="80">
        <f>Miles!C50*Delay!C$3</f>
        <v>77357522.175453171</v>
      </c>
      <c r="D52" s="81">
        <f>Miles!C50*Delay!D$3</f>
        <v>89258679.433215186</v>
      </c>
      <c r="E52" s="82">
        <f>City!I$16*(1+($A52-1)*City!I$18)</f>
        <v>1.9838698364685456</v>
      </c>
      <c r="F52" s="82">
        <f>City!J$16*(1+($A52-1)*City!J$18)</f>
        <v>1.5425862909984016</v>
      </c>
      <c r="G52" s="83">
        <f>C52*City!$B$16/City!$B$28*(E52-1)</f>
        <v>443973.44070552086</v>
      </c>
      <c r="H52" s="83">
        <f>D52*City!$B$16/City!$B$29*(F52-1)</f>
        <v>678027.50138316944</v>
      </c>
      <c r="I52" s="84">
        <f t="shared" si="0"/>
        <v>1122000.9420886904</v>
      </c>
      <c r="J52" s="22">
        <f t="shared" si="1"/>
        <v>230872875.27554253</v>
      </c>
      <c r="K52" s="19">
        <f>Miles!H50+Miles!N50</f>
        <v>282601.08767823444</v>
      </c>
      <c r="L52" s="19">
        <f>Miles!I50+Miles!O50</f>
        <v>3.8045353630570026E-4</v>
      </c>
      <c r="M52" s="19">
        <f>Miles!J50+Miles!P50</f>
        <v>199250.94267915207</v>
      </c>
      <c r="N52" s="19">
        <f>Miles!K50+Miles!Q50</f>
        <v>230391023.24480468</v>
      </c>
      <c r="O52" s="14">
        <f t="shared" si="2"/>
        <v>0.9981718218418153</v>
      </c>
      <c r="P52" s="52">
        <f>(Capacity!$B$1+Capacity!$C$1*$O52+Capacity!$D$1*$O52*$O52)</f>
        <v>1.9959820187344472</v>
      </c>
      <c r="Q52" s="52">
        <f>(Capacity!$B$2+Capacity!$C$2*$O52+Capacity!$D$2*$O52*$O52)</f>
        <v>1.4974435585903816</v>
      </c>
      <c r="R52" s="53">
        <f t="shared" si="3"/>
        <v>1.6947141910571919</v>
      </c>
      <c r="S52" s="18">
        <f t="shared" si="4"/>
        <v>615194.82386475476</v>
      </c>
      <c r="T52" s="18">
        <f t="shared" si="5"/>
        <v>939513.42815919884</v>
      </c>
      <c r="U52" s="63">
        <f t="shared" si="6"/>
        <v>1554708.2520239535</v>
      </c>
      <c r="V52" s="64">
        <f>(S52*City!B$28/(City!$B$16*C$3*$J52)/P52+1)</f>
        <v>1.4929252003444242</v>
      </c>
      <c r="W52" s="64">
        <f>(T52*City!B$29/(City!$B$16*D$3*$J52)/Q52+1)</f>
        <v>1.3623417309358659</v>
      </c>
      <c r="X52" s="18">
        <f>$J52*C$3*City!$B$16/City!$B$28*(V52-1)/((1+Dedicate!C51*X$1)*(1+Connect!C51*X$2)*(1+Pricing!J52*X$3))</f>
        <v>278266.91158081894</v>
      </c>
      <c r="Y52" s="18">
        <f>$J52*D$3*City!$B$16/City!$B$29*(W52-1)/((1+Dedicate!D51*Y$1)*(1+Connect!D51*Y$2)*(1+Pricing!K52*Y$3))</f>
        <v>596282.64397251722</v>
      </c>
      <c r="Z52" s="20">
        <f t="shared" si="7"/>
        <v>874549.55555333616</v>
      </c>
    </row>
    <row r="53" spans="1:26" x14ac:dyDescent="0.25">
      <c r="A53">
        <f t="shared" si="8"/>
        <v>48</v>
      </c>
      <c r="B53">
        <f t="shared" si="9"/>
        <v>2065</v>
      </c>
      <c r="C53" s="80">
        <f>Miles!C51*Delay!C$3</f>
        <v>78517885.008084968</v>
      </c>
      <c r="D53" s="81">
        <f>Miles!C51*Delay!D$3</f>
        <v>90597559.624713406</v>
      </c>
      <c r="E53" s="82">
        <f>City!I$16*(1+($A53-1)*City!I$18)</f>
        <v>1.9946971956602944</v>
      </c>
      <c r="F53" s="82">
        <f>City!J$16*(1+($A53-1)*City!J$18)</f>
        <v>1.5481349948349763</v>
      </c>
      <c r="G53" s="83">
        <f>C53*City!$B$16/City!$B$28*(E53-1)</f>
        <v>455592.20015586424</v>
      </c>
      <c r="H53" s="83">
        <f>D53*City!$B$16/City!$B$29*(F53-1)</f>
        <v>695235.70027735224</v>
      </c>
      <c r="I53" s="84">
        <f t="shared" si="0"/>
        <v>1150827.9004332165</v>
      </c>
      <c r="J53" s="22">
        <f t="shared" si="1"/>
        <v>234398739.68907604</v>
      </c>
      <c r="K53" s="19">
        <f>Miles!H51+Miles!N51</f>
        <v>110057.23088685055</v>
      </c>
      <c r="L53" s="19">
        <f>Miles!I51+Miles!O51</f>
        <v>1.9616569436260522E-4</v>
      </c>
      <c r="M53" s="19">
        <f>Miles!J51+Miles!P51</f>
        <v>163231.43603832478</v>
      </c>
      <c r="N53" s="19">
        <f>Miles!K51+Miles!Q51</f>
        <v>234125451.02195469</v>
      </c>
      <c r="O53" s="14">
        <f t="shared" si="2"/>
        <v>0.99904300152557224</v>
      </c>
      <c r="P53" s="52">
        <f>(Capacity!$B$1+Capacity!$C$1*$O53+Capacity!$D$1*$O53*$O53)</f>
        <v>1.9978957023715549</v>
      </c>
      <c r="Q53" s="52">
        <f>(Capacity!$B$2+Capacity!$C$2*$O53+Capacity!$D$2*$O53*$O53)</f>
        <v>1.4986610263972731</v>
      </c>
      <c r="R53" s="53">
        <f t="shared" si="3"/>
        <v>1.6962991131482137</v>
      </c>
      <c r="S53" s="18">
        <f t="shared" si="4"/>
        <v>631463.54113654292</v>
      </c>
      <c r="T53" s="18">
        <f t="shared" si="5"/>
        <v>963616.13976597472</v>
      </c>
      <c r="U53" s="63">
        <f t="shared" si="6"/>
        <v>1595079.6809025176</v>
      </c>
      <c r="V53" s="64">
        <f>(S53*City!B$28/(City!$B$16*C$3*$J53)/P53+1)</f>
        <v>1.4978724337209206</v>
      </c>
      <c r="W53" s="64">
        <f>(T53*City!B$29/(City!$B$16*D$3*$J53)/Q53+1)</f>
        <v>1.3657498161226445</v>
      </c>
      <c r="X53" s="18">
        <f>$J53*C$3*City!$B$16/City!$B$28*(V53-1)/((1+Dedicate!C52*X$1)*(1+Connect!C52*X$2)*(1+Pricing!J53*X$3))</f>
        <v>285352.04397078714</v>
      </c>
      <c r="Y53" s="18">
        <f>$J53*D$3*City!$B$16/City!$B$29*(W53-1)/((1+Dedicate!D52*Y$1)*(1+Connect!D52*Y$2)*(1+Pricing!K53*Y$3))</f>
        <v>611083.12501360825</v>
      </c>
      <c r="Z53" s="20">
        <f t="shared" si="7"/>
        <v>896435.16898439545</v>
      </c>
    </row>
    <row r="54" spans="1:26" x14ac:dyDescent="0.25">
      <c r="A54">
        <f t="shared" si="8"/>
        <v>49</v>
      </c>
      <c r="B54">
        <f t="shared" si="9"/>
        <v>2066</v>
      </c>
      <c r="C54" s="80">
        <f>Miles!C52*Delay!C$3</f>
        <v>79695653.283206224</v>
      </c>
      <c r="D54" s="81">
        <f>Miles!C52*Delay!D$3</f>
        <v>91956523.019084096</v>
      </c>
      <c r="E54" s="82">
        <f>City!I$16*(1+($A54-1)*City!I$18)</f>
        <v>2.0055245548520433</v>
      </c>
      <c r="F54" s="82">
        <f>City!J$16*(1+($A54-1)*City!J$18)</f>
        <v>1.553683698671551</v>
      </c>
      <c r="G54" s="83">
        <f>C54*City!$B$16/City!$B$28*(E54-1)</f>
        <v>467459.62836555921</v>
      </c>
      <c r="H54" s="83">
        <f>D54*City!$B$16/City!$B$29*(F54-1)</f>
        <v>712807.58895054937</v>
      </c>
      <c r="I54" s="84">
        <f t="shared" si="0"/>
        <v>1180267.2173161085</v>
      </c>
      <c r="J54" s="22">
        <f t="shared" si="1"/>
        <v>238029722.66922104</v>
      </c>
      <c r="K54" s="19">
        <f>Miles!H52+Miles!N52</f>
        <v>0</v>
      </c>
      <c r="L54" s="19">
        <f>Miles!I52+Miles!O52</f>
        <v>1.0197789444524655E-4</v>
      </c>
      <c r="M54" s="19">
        <f>Miles!J52+Miles!P52</f>
        <v>133408.71918478934</v>
      </c>
      <c r="N54" s="19">
        <f>Miles!K52+Miles!Q52</f>
        <v>237896313.94993427</v>
      </c>
      <c r="O54" s="14">
        <f t="shared" si="2"/>
        <v>0.99960767040992227</v>
      </c>
      <c r="P54" s="52">
        <f>(Capacity!$B$1+Capacity!$C$1*$O54+Capacity!$D$1*$O54*$O54)</f>
        <v>1.9991370596088376</v>
      </c>
      <c r="Q54" s="52">
        <f>(Capacity!$B$2+Capacity!$C$2*$O54+Capacity!$D$2*$O54*$O54)</f>
        <v>1.4994508771041477</v>
      </c>
      <c r="R54" s="53">
        <f t="shared" si="3"/>
        <v>1.6973578542243022</v>
      </c>
      <c r="S54" s="18">
        <f t="shared" si="4"/>
        <v>648225.31293141865</v>
      </c>
      <c r="T54" s="18">
        <f t="shared" si="5"/>
        <v>988448.82930943358</v>
      </c>
      <c r="U54" s="63">
        <f t="shared" si="6"/>
        <v>1636674.1422408521</v>
      </c>
      <c r="V54" s="64">
        <f>(S54*City!B$28/(City!$B$16*C$3*$J54)/P54+1)</f>
        <v>1.5029792980021039</v>
      </c>
      <c r="W54" s="64">
        <f>(T54*City!B$29/(City!$B$16*D$3*$J54)/Q54+1)</f>
        <v>1.3692576443323483</v>
      </c>
      <c r="X54" s="18">
        <f>$J54*C$3*City!$B$16/City!$B$28*(V54-1)/((1+Dedicate!C53*X$1)*(1+Connect!C53*X$2)*(1+Pricing!J54*X$3))</f>
        <v>292744.62890316732</v>
      </c>
      <c r="Y54" s="18">
        <f>$J54*D$3*City!$B$16/City!$B$29*(W54-1)/((1+Dedicate!D53*Y$1)*(1+Connect!D53*Y$2)*(1+Pricing!K54*Y$3))</f>
        <v>626500.73897614086</v>
      </c>
      <c r="Z54" s="20">
        <f t="shared" si="7"/>
        <v>919245.36787930818</v>
      </c>
    </row>
    <row r="55" spans="1:26" x14ac:dyDescent="0.25">
      <c r="A55">
        <f t="shared" si="8"/>
        <v>50</v>
      </c>
      <c r="B55">
        <f t="shared" si="9"/>
        <v>2067</v>
      </c>
      <c r="C55" s="80">
        <f>Miles!C53*Delay!C$3</f>
        <v>80891088.082454309</v>
      </c>
      <c r="D55" s="81">
        <f>Miles!C53*Delay!D$3</f>
        <v>93335870.864370361</v>
      </c>
      <c r="E55" s="82">
        <f>City!I$16*(1+($A55-1)*City!I$18)</f>
        <v>2.016351914043792</v>
      </c>
      <c r="F55" s="82">
        <f>City!J$16*(1+($A55-1)*City!J$18)</f>
        <v>1.5592324025081257</v>
      </c>
      <c r="G55" s="83">
        <f>C55*City!$B$16/City!$B$28*(E55-1)</f>
        <v>479580.57117650984</v>
      </c>
      <c r="H55" s="83">
        <f>D55*City!$B$16/City!$B$29*(F55-1)</f>
        <v>730750.20625138003</v>
      </c>
      <c r="I55" s="84">
        <f t="shared" si="0"/>
        <v>1210330.7774278899</v>
      </c>
      <c r="J55" s="22">
        <f t="shared" si="1"/>
        <v>241611671.46723285</v>
      </c>
      <c r="K55" s="19">
        <f>Miles!H53+Miles!N53</f>
        <v>0</v>
      </c>
      <c r="L55" s="19">
        <f>Miles!I53+Miles!O53</f>
        <v>5.4148961012732497E-5</v>
      </c>
      <c r="M55" s="19">
        <f>Miles!J53+Miles!P53</f>
        <v>108971.28206364946</v>
      </c>
      <c r="N55" s="19">
        <f>Miles!K53+Miles!Q53</f>
        <v>241502700.18511507</v>
      </c>
      <c r="O55" s="14">
        <f t="shared" si="2"/>
        <v>0.99968428719924807</v>
      </c>
      <c r="P55" s="52">
        <f>(Capacity!$B$1+Capacity!$C$1*$O55+Capacity!$D$1*$O55*$O55)</f>
        <v>1.9993055514478326</v>
      </c>
      <c r="Q55" s="52">
        <f>(Capacity!$B$2+Capacity!$C$2*$O55+Capacity!$D$2*$O55*$O55)</f>
        <v>1.4995580917860627</v>
      </c>
      <c r="R55" s="53">
        <f t="shared" si="3"/>
        <v>1.6975776552131199</v>
      </c>
      <c r="S55" s="18">
        <f t="shared" si="4"/>
        <v>665065.06286740524</v>
      </c>
      <c r="T55" s="18">
        <f t="shared" si="5"/>
        <v>1013378.0663146843</v>
      </c>
      <c r="U55" s="63">
        <f t="shared" si="6"/>
        <v>1678443.1291820896</v>
      </c>
      <c r="V55" s="64">
        <f>(S55*City!B$28/(City!$B$16*C$3*$J55)/P55+1)</f>
        <v>1.5083524693400578</v>
      </c>
      <c r="W55" s="64">
        <f>(T55*City!B$29/(City!$B$16*D$3*$J55)/Q55+1)</f>
        <v>1.372931469325104</v>
      </c>
      <c r="X55" s="18">
        <f>$J55*C$3*City!$B$16/City!$B$28*(V55-1)/((1+Dedicate!C54*X$1)*(1+Connect!C54*X$2)*(1+Pricing!J55*X$3))</f>
        <v>300324.3058404763</v>
      </c>
      <c r="Y55" s="18">
        <f>$J55*D$3*City!$B$16/City!$B$29*(W55-1)/((1+Dedicate!D54*Y$1)*(1+Connect!D54*Y$2)*(1+Pricing!K55*Y$3))</f>
        <v>642255.51802906347</v>
      </c>
      <c r="Z55" s="20">
        <f t="shared" si="7"/>
        <v>942579.82386953977</v>
      </c>
    </row>
    <row r="56" spans="1:26" x14ac:dyDescent="0.25">
      <c r="A56">
        <f t="shared" si="8"/>
        <v>51</v>
      </c>
      <c r="B56">
        <f t="shared" si="9"/>
        <v>2068</v>
      </c>
      <c r="C56" s="80">
        <f>Miles!C54*Delay!C$3</f>
        <v>82104454.403691128</v>
      </c>
      <c r="D56" s="81">
        <f>Miles!C54*Delay!D$3</f>
        <v>94735908.927335903</v>
      </c>
      <c r="E56" s="82">
        <f>City!I$16*(1+($A56-1)*City!I$18)</f>
        <v>2.0271792732355411</v>
      </c>
      <c r="F56" s="82">
        <f>City!J$16*(1+($A56-1)*City!J$18)</f>
        <v>1.5647811063447004</v>
      </c>
      <c r="G56" s="83">
        <f>C56*City!$B$16/City!$B$28*(E56-1)</f>
        <v>491959.96385540708</v>
      </c>
      <c r="H56" s="83">
        <f>D56*City!$B$16/City!$B$29*(F56-1)</f>
        <v>749070.7203637216</v>
      </c>
      <c r="I56" s="84">
        <f t="shared" si="0"/>
        <v>1241030.6842191287</v>
      </c>
      <c r="J56" s="22">
        <f t="shared" si="1"/>
        <v>245214073.65627828</v>
      </c>
      <c r="K56" s="19">
        <f>Miles!H54+Miles!N54</f>
        <v>0</v>
      </c>
      <c r="L56" s="19">
        <f>Miles!I54+Miles!O54</f>
        <v>2.8957749335078241E-5</v>
      </c>
      <c r="M56" s="19">
        <f>Miles!J54+Miles!P54</f>
        <v>88832.96835754771</v>
      </c>
      <c r="N56" s="19">
        <f>Miles!K54+Miles!Q54</f>
        <v>245125240.68789178</v>
      </c>
      <c r="O56" s="14">
        <f t="shared" si="2"/>
        <v>0.99974641309550816</v>
      </c>
      <c r="P56" s="52">
        <f>(Capacity!$B$1+Capacity!$C$1*$O56+Capacity!$D$1*$O56*$O56)</f>
        <v>1.9994421859776996</v>
      </c>
      <c r="Q56" s="52">
        <f>(Capacity!$B$2+Capacity!$C$2*$O56+Capacity!$D$2*$O56*$O56)</f>
        <v>1.4996450362093978</v>
      </c>
      <c r="R56" s="53">
        <f t="shared" si="3"/>
        <v>1.6977708286347157</v>
      </c>
      <c r="S56" s="18">
        <f t="shared" si="4"/>
        <v>682171.78782291058</v>
      </c>
      <c r="T56" s="18">
        <f t="shared" si="5"/>
        <v>1038692.0685816276</v>
      </c>
      <c r="U56" s="63">
        <f t="shared" si="6"/>
        <v>1720863.8564045383</v>
      </c>
      <c r="V56" s="64">
        <f>(S56*City!B$28/(City!$B$16*C$3*$J56)/P56+1)</f>
        <v>1.5137329203311096</v>
      </c>
      <c r="W56" s="64">
        <f>(T56*City!B$29/(City!$B$16*D$3*$J56)/Q56+1)</f>
        <v>1.3766098594719978</v>
      </c>
      <c r="X56" s="18">
        <f>$J56*C$3*City!$B$16/City!$B$28*(V56-1)/((1+Dedicate!C55*X$1)*(1+Connect!C55*X$2)*(1+Pricing!J56*X$3))</f>
        <v>308028.16119470994</v>
      </c>
      <c r="Y56" s="18">
        <f>$J56*D$3*City!$B$16/City!$B$29*(W56-1)/((1+Dedicate!D55*Y$1)*(1+Connect!D55*Y$2)*(1+Pricing!K56*Y$3))</f>
        <v>658260.77965021355</v>
      </c>
      <c r="Z56" s="20">
        <f t="shared" si="7"/>
        <v>966288.94084492349</v>
      </c>
    </row>
    <row r="57" spans="1:26" x14ac:dyDescent="0.25">
      <c r="A57">
        <f t="shared" si="8"/>
        <v>52</v>
      </c>
      <c r="B57">
        <f t="shared" si="9"/>
        <v>2069</v>
      </c>
      <c r="C57" s="80">
        <f>Miles!C55*Delay!C$3</f>
        <v>83336021.219746485</v>
      </c>
      <c r="D57" s="81">
        <f>Miles!C55*Delay!D$3</f>
        <v>96156947.561245933</v>
      </c>
      <c r="E57" s="82">
        <f>City!I$16*(1+($A57-1)*City!I$18)</f>
        <v>2.0380066324272899</v>
      </c>
      <c r="F57" s="82">
        <f>City!J$16*(1+($A57-1)*City!J$18)</f>
        <v>1.570329810181275</v>
      </c>
      <c r="G57" s="83">
        <f>C57*City!$B$16/City!$B$28*(E57-1)</f>
        <v>504602.83268615627</v>
      </c>
      <c r="H57" s="83">
        <f>D57*City!$B$16/City!$B$29*(F57-1)</f>
        <v>767776.43110302696</v>
      </c>
      <c r="I57" s="84">
        <f t="shared" si="0"/>
        <v>1272379.2637891832</v>
      </c>
      <c r="J57" s="22">
        <f t="shared" si="1"/>
        <v>248874375.37385312</v>
      </c>
      <c r="K57" s="19">
        <f>Miles!H55+Miles!N55</f>
        <v>0</v>
      </c>
      <c r="L57" s="19">
        <f>Miles!I55+Miles!O55</f>
        <v>1.5557152818574124E-5</v>
      </c>
      <c r="M57" s="19">
        <f>Miles!J55+Miles!P55</f>
        <v>72256.075627418468</v>
      </c>
      <c r="N57" s="19">
        <f>Miles!K55+Miles!Q55</f>
        <v>248802119.29821014</v>
      </c>
      <c r="O57" s="14">
        <f t="shared" si="2"/>
        <v>0.99979676793612349</v>
      </c>
      <c r="P57" s="52">
        <f>(Capacity!$B$1+Capacity!$C$1*$O57+Capacity!$D$1*$O57*$O57)</f>
        <v>1.9995529390233977</v>
      </c>
      <c r="Q57" s="52">
        <f>(Capacity!$B$2+Capacity!$C$2*$O57+Capacity!$D$2*$O57*$O57)</f>
        <v>1.4997155122835175</v>
      </c>
      <c r="R57" s="53">
        <f t="shared" si="3"/>
        <v>1.6979420855965612</v>
      </c>
      <c r="S57" s="18">
        <f t="shared" si="4"/>
        <v>699652.5582563252</v>
      </c>
      <c r="T57" s="18">
        <f t="shared" si="5"/>
        <v>1064553.5644946478</v>
      </c>
      <c r="U57" s="63">
        <f t="shared" si="6"/>
        <v>1764206.1227509729</v>
      </c>
      <c r="V57" s="64">
        <f>(S57*City!B$28/(City!$B$16*C$3*$J57)/P57+1)</f>
        <v>1.5191193552166031</v>
      </c>
      <c r="W57" s="64">
        <f>(T57*City!B$29/(City!$B$16*D$3*$J57)/Q57+1)</f>
        <v>1.3802919990557887</v>
      </c>
      <c r="X57" s="18">
        <f>$J57*C$3*City!$B$16/City!$B$28*(V57-1)/((1+Dedicate!C56*X$1)*(1+Connect!C56*X$2)*(1+Pricing!J57*X$3))</f>
        <v>315903.93773228052</v>
      </c>
      <c r="Y57" s="18">
        <f>$J57*D$3*City!$B$16/City!$B$29*(W57-1)/((1+Dedicate!D56*Y$1)*(1+Connect!D56*Y$2)*(1+Pricing!K57*Y$3))</f>
        <v>674618.54195249511</v>
      </c>
      <c r="Z57" s="20">
        <f t="shared" si="7"/>
        <v>990522.4796847757</v>
      </c>
    </row>
    <row r="58" spans="1:26" x14ac:dyDescent="0.25">
      <c r="A58">
        <f t="shared" si="8"/>
        <v>53</v>
      </c>
      <c r="B58">
        <f t="shared" si="9"/>
        <v>2070</v>
      </c>
      <c r="C58" s="85">
        <f>Miles!C56*Delay!C$3</f>
        <v>84586061.538042665</v>
      </c>
      <c r="D58" s="86">
        <f>Miles!C56*Delay!D$3</f>
        <v>97599301.774664611</v>
      </c>
      <c r="E58" s="87">
        <f>City!I$16*(1+($A58-1)*City!I$18)</f>
        <v>2.048833991619039</v>
      </c>
      <c r="F58" s="87">
        <f>City!J$16*(1+($A58-1)*City!J$18)</f>
        <v>1.5758785140178497</v>
      </c>
      <c r="G58" s="88">
        <f>C58*City!$B$16/City!$B$28*(E58-1)</f>
        <v>517514.29658996058</v>
      </c>
      <c r="H58" s="88">
        <f>D58*City!$B$16/City!$B$29*(F58-1)</f>
        <v>786874.77225242951</v>
      </c>
      <c r="I58" s="89">
        <f t="shared" si="0"/>
        <v>1304389.0688423901</v>
      </c>
      <c r="J58" s="22">
        <f t="shared" si="1"/>
        <v>252592798.55777335</v>
      </c>
      <c r="K58" s="19">
        <f>Miles!H56+Miles!N56</f>
        <v>0</v>
      </c>
      <c r="L58" s="19">
        <f>Miles!I56+Miles!O56</f>
        <v>8.3960933922415151E-6</v>
      </c>
      <c r="M58" s="19">
        <f>Miles!J56+Miles!P56</f>
        <v>58647.470081720654</v>
      </c>
      <c r="N58" s="19">
        <f>Miles!K56+Miles!Q56</f>
        <v>252534151.08768323</v>
      </c>
      <c r="O58" s="14">
        <f t="shared" si="2"/>
        <v>0.99983747268608147</v>
      </c>
      <c r="P58" s="52">
        <f>(Capacity!$B$1+Capacity!$C$1*$O58+Capacity!$D$1*$O58*$O58)</f>
        <v>1.9996424716075325</v>
      </c>
      <c r="Q58" s="52">
        <f>(Capacity!$B$2+Capacity!$C$2*$O58+Capacity!$D$2*$O58*$O58)</f>
        <v>1.499772485534129</v>
      </c>
      <c r="R58" s="53">
        <f t="shared" si="3"/>
        <v>1.6980951105916904</v>
      </c>
      <c r="S58" s="18">
        <f t="shared" si="4"/>
        <v>717513.09815676091</v>
      </c>
      <c r="T58" s="18">
        <f t="shared" si="5"/>
        <v>1090970.7411379542</v>
      </c>
      <c r="U58" s="63">
        <f t="shared" si="6"/>
        <v>1808483.8392947151</v>
      </c>
      <c r="V58" s="64">
        <f>(S58*City!B$28/(City!$B$16*C$3*$J58)/P58+1)</f>
        <v>1.5245107595538669</v>
      </c>
      <c r="W58" s="64">
        <f>(T58*City!B$29/(City!$B$16*D$3*$J58)/Q58+1)</f>
        <v>1.3839772495977991</v>
      </c>
      <c r="X58" s="18">
        <f>$J58*C$3*City!$B$16/City!$B$28*(V58-1)/((1+Dedicate!C57*X$1)*(1+Connect!C57*X$2)*(1+Pricing!J58*X$3))</f>
        <v>323953.74194258789</v>
      </c>
      <c r="Y58" s="18">
        <f>$J58*D$3*City!$B$16/City!$B$29*(W58-1)/((1+Dedicate!D57*Y$1)*(1+Connect!D57*Y$2)*(1+Pricing!K58*Y$3))</f>
        <v>691333.11516119516</v>
      </c>
      <c r="Z58" s="20">
        <f t="shared" si="7"/>
        <v>1015286.8571037831</v>
      </c>
    </row>
  </sheetData>
  <mergeCells count="13">
    <mergeCell ref="X4:Z4"/>
    <mergeCell ref="S4:U4"/>
    <mergeCell ref="P4:R4"/>
    <mergeCell ref="C2:D2"/>
    <mergeCell ref="C1:I1"/>
    <mergeCell ref="S2:T2"/>
    <mergeCell ref="K2:N2"/>
    <mergeCell ref="V4:W4"/>
    <mergeCell ref="C4:D4"/>
    <mergeCell ref="E4:F4"/>
    <mergeCell ref="G4:I4"/>
    <mergeCell ref="J4:N4"/>
    <mergeCell ref="J1:W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1:AT29"/>
  <sheetViews>
    <sheetView topLeftCell="A2" workbookViewId="0">
      <selection activeCell="I34" sqref="I34"/>
    </sheetView>
  </sheetViews>
  <sheetFormatPr defaultRowHeight="15" x14ac:dyDescent="0.25"/>
  <sheetData>
    <row r="1" spans="16:46" x14ac:dyDescent="0.25"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10</v>
      </c>
      <c r="AF1">
        <v>11</v>
      </c>
      <c r="AG1">
        <v>12</v>
      </c>
      <c r="AH1">
        <v>13</v>
      </c>
      <c r="AI1">
        <v>14</v>
      </c>
      <c r="AJ1">
        <v>15</v>
      </c>
      <c r="AK1">
        <v>16</v>
      </c>
      <c r="AL1">
        <v>17</v>
      </c>
      <c r="AM1">
        <v>18</v>
      </c>
      <c r="AN1">
        <v>19</v>
      </c>
      <c r="AO1">
        <v>20</v>
      </c>
      <c r="AP1">
        <v>21</v>
      </c>
      <c r="AQ1">
        <v>22</v>
      </c>
      <c r="AR1">
        <v>23</v>
      </c>
      <c r="AS1">
        <v>24</v>
      </c>
      <c r="AT1">
        <v>25</v>
      </c>
    </row>
    <row r="2" spans="16:46" ht="23.25" x14ac:dyDescent="0.35">
      <c r="P2" s="181">
        <f>E28</f>
        <v>2060</v>
      </c>
      <c r="Q2" s="181"/>
      <c r="W2" s="182" t="s">
        <v>114</v>
      </c>
      <c r="X2" s="179"/>
      <c r="Y2" s="179" t="s">
        <v>191</v>
      </c>
      <c r="Z2" s="179"/>
      <c r="AA2" s="179" t="s">
        <v>190</v>
      </c>
      <c r="AB2" s="179"/>
      <c r="AC2" s="180"/>
      <c r="AD2" s="178" t="s">
        <v>114</v>
      </c>
      <c r="AE2" s="178"/>
      <c r="AF2" s="178"/>
      <c r="AG2" s="178"/>
      <c r="AH2" s="178"/>
      <c r="AI2" s="48" t="s">
        <v>182</v>
      </c>
      <c r="AJ2" s="172" t="s">
        <v>178</v>
      </c>
      <c r="AK2" s="172"/>
      <c r="AL2" s="172"/>
      <c r="AM2" s="178" t="s">
        <v>193</v>
      </c>
      <c r="AN2" s="178"/>
      <c r="AO2" s="178"/>
      <c r="AP2" s="172" t="s">
        <v>192</v>
      </c>
      <c r="AQ2" s="172"/>
      <c r="AR2" s="178" t="s">
        <v>194</v>
      </c>
      <c r="AS2" s="178"/>
      <c r="AT2" s="178"/>
    </row>
    <row r="3" spans="16:46" x14ac:dyDescent="0.25">
      <c r="V3" s="48" t="s">
        <v>97</v>
      </c>
      <c r="W3" s="78" t="s">
        <v>128</v>
      </c>
      <c r="X3" s="79" t="s">
        <v>129</v>
      </c>
      <c r="Y3" s="79" t="s">
        <v>128</v>
      </c>
      <c r="Z3" s="79" t="s">
        <v>129</v>
      </c>
      <c r="AA3" s="79" t="s">
        <v>128</v>
      </c>
      <c r="AB3" s="79" t="s">
        <v>129</v>
      </c>
      <c r="AC3" s="74" t="s">
        <v>115</v>
      </c>
      <c r="AD3" s="48" t="s">
        <v>115</v>
      </c>
      <c r="AE3" s="48" t="s">
        <v>99</v>
      </c>
      <c r="AF3" s="48" t="s">
        <v>100</v>
      </c>
      <c r="AG3" s="48" t="s">
        <v>101</v>
      </c>
      <c r="AH3" s="48" t="s">
        <v>102</v>
      </c>
      <c r="AI3" s="48" t="s">
        <v>180</v>
      </c>
      <c r="AJ3" s="48" t="s">
        <v>128</v>
      </c>
      <c r="AK3" s="48" t="s">
        <v>129</v>
      </c>
      <c r="AL3" s="48" t="s">
        <v>181</v>
      </c>
      <c r="AM3" s="57" t="s">
        <v>128</v>
      </c>
      <c r="AN3" s="57" t="s">
        <v>129</v>
      </c>
      <c r="AO3" s="57" t="s">
        <v>115</v>
      </c>
      <c r="AP3" s="57" t="s">
        <v>128</v>
      </c>
      <c r="AQ3" s="57" t="s">
        <v>129</v>
      </c>
      <c r="AR3" s="48" t="s">
        <v>128</v>
      </c>
      <c r="AS3" s="48" t="s">
        <v>129</v>
      </c>
      <c r="AT3" s="57" t="s">
        <v>115</v>
      </c>
    </row>
    <row r="4" spans="16:46" x14ac:dyDescent="0.25">
      <c r="V4">
        <f>VLOOKUP($E28,Delay!$B6:$Z58,V1)</f>
        <v>2060</v>
      </c>
      <c r="W4">
        <f>VLOOKUP($E28,Delay!$B6:$Z58,W1)</f>
        <v>72885037.487767532</v>
      </c>
      <c r="X4">
        <f>VLOOKUP($E28,Delay!$B6:$Z58,X1)</f>
        <v>84098120.178193316</v>
      </c>
      <c r="Y4">
        <f>VLOOKUP($E28,Delay!$B6:$Z58,Y1)</f>
        <v>1.9405603997015501</v>
      </c>
      <c r="Z4">
        <f>VLOOKUP($E28,Delay!$B6:$Z58,Z1)</f>
        <v>1.5203914756521026</v>
      </c>
      <c r="AA4">
        <f>VLOOKUP($E28,Delay!$B6:$Z58,AA1)</f>
        <v>399891.21661858307</v>
      </c>
      <c r="AB4">
        <f>VLOOKUP($E28,Delay!$B6:$Z58,AB1)</f>
        <v>612695.22802737053</v>
      </c>
      <c r="AC4">
        <f>VLOOKUP($E28,Delay!$B6:$Z58,AC1)</f>
        <v>1012586.4446459536</v>
      </c>
      <c r="AD4">
        <f>VLOOKUP($E28,Delay!$B6:$Z58,AD1)</f>
        <v>215915007.56565291</v>
      </c>
      <c r="AE4">
        <f>VLOOKUP($E28,Delay!$B6:$Z58,AE1)</f>
        <v>4017388.4891327247</v>
      </c>
      <c r="AF4">
        <f>VLOOKUP($E28,Delay!$B6:$Z58,AF1)</f>
        <v>6.8315950548632608E-3</v>
      </c>
      <c r="AG4">
        <f>VLOOKUP($E28,Delay!$B6:$Z58,AG1)</f>
        <v>460524.47485814389</v>
      </c>
      <c r="AH4">
        <f>VLOOKUP($E28,Delay!$B6:$Z58,AH1)</f>
        <v>211437094.59483045</v>
      </c>
      <c r="AI4">
        <f>VLOOKUP($E28,Delay!$B6:$Z58,AI1)</f>
        <v>0.97990062999042682</v>
      </c>
      <c r="AJ4">
        <f>VLOOKUP($E28,Delay!$B6:$Z58,AJ1)</f>
        <v>1.956266167588677</v>
      </c>
      <c r="AK4">
        <f>VLOOKUP($E28,Delay!$B6:$Z58,AK1)</f>
        <v>1.4722244681939012</v>
      </c>
      <c r="AL4">
        <f>VLOOKUP($E28,Delay!$B6:$Z58,AL1)</f>
        <v>1.6633824923690936</v>
      </c>
      <c r="AM4">
        <f>VLOOKUP($E28,Delay!$B6:$Z58,AM1)</f>
        <v>550011.3282557663</v>
      </c>
      <c r="AN4">
        <f>VLOOKUP($E28,Delay!$B6:$Z58,AN1)</f>
        <v>842702.4705189378</v>
      </c>
      <c r="AO4">
        <f>VLOOKUP($E28,Delay!$B6:$Z58,AO1)</f>
        <v>1392713.7987747041</v>
      </c>
      <c r="AP4">
        <f>VLOOKUP($E28,Delay!$B6:$Z58,AP1)</f>
        <v>1.4807936748509529</v>
      </c>
      <c r="AQ4">
        <f>VLOOKUP($E28,Delay!$B6:$Z58,AQ1)</f>
        <v>1.3534729159137735</v>
      </c>
      <c r="AR4">
        <f>VLOOKUP($E28,Delay!$B6:$Z58,AR1)</f>
        <v>253833.65894704356</v>
      </c>
      <c r="AS4">
        <f>VLOOKUP($E28,Delay!$B6:$Z58,AS1)</f>
        <v>544001.2211055056</v>
      </c>
      <c r="AT4">
        <f>VLOOKUP($E28,Delay!$B6:$Z58,AT1)</f>
        <v>797834.88005254918</v>
      </c>
    </row>
    <row r="5" spans="16:46" x14ac:dyDescent="0.25"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8"/>
      <c r="AH5" s="178"/>
    </row>
    <row r="6" spans="16:46" x14ac:dyDescent="0.25">
      <c r="V6" s="56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</row>
    <row r="27" spans="4:25" ht="18" customHeight="1" x14ac:dyDescent="0.25">
      <c r="J27" s="24"/>
    </row>
    <row r="28" spans="4:25" ht="18" customHeight="1" x14ac:dyDescent="0.25">
      <c r="D28" s="12" t="s">
        <v>118</v>
      </c>
      <c r="E28" s="25">
        <v>2060</v>
      </c>
      <c r="G28" t="s">
        <v>196</v>
      </c>
      <c r="J28" s="24">
        <f>(AT4-AO4)/AH4</f>
        <v>-2.8135030887654821E-3</v>
      </c>
      <c r="Y28" s="41" t="s">
        <v>152</v>
      </c>
    </row>
    <row r="29" spans="4:25" ht="18" customHeight="1" x14ac:dyDescent="0.3">
      <c r="G29" t="s">
        <v>195</v>
      </c>
      <c r="J29" s="24">
        <f>(AT4-AC4)/AC4</f>
        <v>-0.21208220367643907</v>
      </c>
      <c r="K29" s="42" t="str">
        <f>IF(J29&gt;=0,Y28,Y29)</f>
        <v>↓↓</v>
      </c>
      <c r="Y29" s="41" t="s">
        <v>153</v>
      </c>
    </row>
  </sheetData>
  <mergeCells count="13">
    <mergeCell ref="P2:Q2"/>
    <mergeCell ref="AR2:AT2"/>
    <mergeCell ref="AP2:AQ2"/>
    <mergeCell ref="AM2:AO2"/>
    <mergeCell ref="W5:AA5"/>
    <mergeCell ref="AB5:AC5"/>
    <mergeCell ref="AD5:AF5"/>
    <mergeCell ref="AG5:AH5"/>
    <mergeCell ref="W2:X2"/>
    <mergeCell ref="Y2:Z2"/>
    <mergeCell ref="AA2:AC2"/>
    <mergeCell ref="AD2:AH2"/>
    <mergeCell ref="AJ2:AL2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56"/>
  <sheetViews>
    <sheetView workbookViewId="0">
      <selection activeCell="C4" sqref="C4"/>
    </sheetView>
  </sheetViews>
  <sheetFormatPr defaultRowHeight="15" x14ac:dyDescent="0.25"/>
  <cols>
    <col min="1" max="1" width="7.28515625" style="104" customWidth="1"/>
    <col min="2" max="2" width="8.85546875" style="104" customWidth="1"/>
    <col min="3" max="7" width="13.7109375" customWidth="1"/>
    <col min="9" max="9" width="11.28515625" customWidth="1"/>
    <col min="10" max="10" width="10" customWidth="1"/>
    <col min="11" max="11" width="10.42578125" customWidth="1"/>
    <col min="12" max="12" width="11.5703125" customWidth="1"/>
  </cols>
  <sheetData>
    <row r="1" spans="1:16" ht="15.75" x14ac:dyDescent="0.25">
      <c r="A1" s="33" t="s">
        <v>232</v>
      </c>
    </row>
    <row r="2" spans="1:16" ht="20.25" customHeight="1" x14ac:dyDescent="0.25">
      <c r="C2" s="121"/>
      <c r="D2" s="121"/>
      <c r="E2" s="121"/>
      <c r="F2" s="121"/>
      <c r="G2" s="121"/>
      <c r="J2" s="6" t="s">
        <v>137</v>
      </c>
    </row>
    <row r="3" spans="1:16" ht="35.25" customHeight="1" x14ac:dyDescent="0.25">
      <c r="B3" s="104" t="s">
        <v>97</v>
      </c>
      <c r="C3" s="104" t="str">
        <f>City!$A$10</f>
        <v>Downtown</v>
      </c>
      <c r="D3" s="104" t="str">
        <f>City!$A$11</f>
        <v>Urban</v>
      </c>
      <c r="E3" s="103" t="str">
        <f>City!$A$12</f>
        <v>Suburban Business</v>
      </c>
      <c r="F3" s="103" t="str">
        <f>City!$A$13</f>
        <v>Suburban Residential</v>
      </c>
      <c r="G3" s="79" t="str">
        <f>City!$A$14</f>
        <v>Rural</v>
      </c>
      <c r="I3" s="116" t="str">
        <f>City!$A$10</f>
        <v>Downtown</v>
      </c>
      <c r="J3" s="116" t="str">
        <f>City!$A$11</f>
        <v>Urban</v>
      </c>
      <c r="K3" s="115" t="str">
        <f>City!$A$12</f>
        <v>Suburban Business</v>
      </c>
      <c r="L3" s="115" t="str">
        <f>City!$A$13</f>
        <v>Suburban Residential</v>
      </c>
      <c r="M3" s="79" t="str">
        <f>City!$A$14</f>
        <v>Rural</v>
      </c>
    </row>
    <row r="4" spans="1:16" x14ac:dyDescent="0.25">
      <c r="A4" s="104">
        <v>1</v>
      </c>
      <c r="B4" s="104">
        <f>City!B3</f>
        <v>2018</v>
      </c>
      <c r="C4" s="17">
        <f>(1+RideSource!C7*I$4)*(1+Curb!J5*I$5)*(1+VMT_fee!L5*I$6)*(1+NOVMT!L5*I$7)*(1+Satellite!C5*I$8)*(1+ShareRide!C5*I$9)*(1+Pricing!N6*I$10)</f>
        <v>1</v>
      </c>
      <c r="D4" s="17">
        <f>(1+RideSource!D7*J$4)*(1+Curb!K5*J$5)*(1+VMT_fee!M5*J$6)*(1+NOVMT!M5*J$7)*(1+Satellite!D5*J$8)*(1+ShareRide!D5*J$9)*(1+Pricing!O6*J$10)</f>
        <v>1</v>
      </c>
      <c r="E4" s="17">
        <f>(1+RideSource!E7*K$4)*(1+Curb!L5*K$5)*(1+VMT_fee!N5*K$6)*(1+NOVMT!N5*K$7)*(1+Satellite!E5*K$8)*(1+ShareRide!E5*K$9)*(1+Pricing!P6*K$10)</f>
        <v>1</v>
      </c>
      <c r="F4" s="17">
        <f>(1+RideSource!F7*L$4)*(1+Curb!M5*L$5)*(1+VMT_fee!O5*L$6)*(1+NOVMT!O5*L$7)*(1+Satellite!F5*L$8)*(1+ShareRide!F5*L$9)*(1+Pricing!Q6*L$10)</f>
        <v>1</v>
      </c>
      <c r="G4" s="17">
        <f>(1+RideSource!G7*M$4)*(1+Curb!N5*M$5)*(1+VMT_fee!P5*M$6)*(1+NOVMT!P5*M$7)*(1+Satellite!G5*M$8)*(1+ShareRide!G5*M$9)*(1+Pricing!R6*M$10)</f>
        <v>1</v>
      </c>
      <c r="I4" s="16">
        <v>-0.05</v>
      </c>
      <c r="J4" s="16">
        <v>-0.05</v>
      </c>
      <c r="K4" s="16">
        <v>-0.05</v>
      </c>
      <c r="L4" s="16">
        <v>-0.05</v>
      </c>
      <c r="M4" s="16">
        <v>-0.05</v>
      </c>
      <c r="N4" s="2" t="s">
        <v>164</v>
      </c>
      <c r="P4" s="16"/>
    </row>
    <row r="5" spans="1:16" x14ac:dyDescent="0.25">
      <c r="A5" s="104">
        <f>A4+1</f>
        <v>2</v>
      </c>
      <c r="B5" s="104">
        <f>B4+1</f>
        <v>2019</v>
      </c>
      <c r="C5" s="17">
        <f>(1+RideSource!C8*I$4)*(1+Curb!J6*I$5)*(1+VMT_fee!L6*I$6)*(1+NOVMT!L6*I$7)*(1+Satellite!C6*I$8)*(1+ShareRide!C6*I$9)*(1+Pricing!N7*I$10)</f>
        <v>1</v>
      </c>
      <c r="D5" s="17">
        <f>(1+RideSource!D8*J$4)*(1+Curb!K6*J$5)*(1+VMT_fee!M6*J$6)*(1+NOVMT!M6*J$7)*(1+Satellite!D6*J$8)*(1+ShareRide!D6*J$9)*(1+Pricing!O7*J$10)</f>
        <v>1</v>
      </c>
      <c r="E5" s="17">
        <f>(1+RideSource!E8*K$4)*(1+Curb!L6*K$5)*(1+VMT_fee!N6*K$6)*(1+NOVMT!N6*K$7)*(1+Satellite!E6*K$8)*(1+ShareRide!E6*K$9)*(1+Pricing!P7*K$10)</f>
        <v>1</v>
      </c>
      <c r="F5" s="17">
        <f>(1+RideSource!F8*L$4)*(1+Curb!M6*L$5)*(1+VMT_fee!O6*L$6)*(1+NOVMT!O6*L$7)*(1+Satellite!F6*L$8)*(1+ShareRide!F6*L$9)*(1+Pricing!Q7*L$10)</f>
        <v>1</v>
      </c>
      <c r="G5" s="17">
        <f>(1+RideSource!G8*M$4)*(1+Curb!N6*M$5)*(1+VMT_fee!P6*M$6)*(1+NOVMT!P6*M$7)*(1+Satellite!G6*M$8)*(1+ShareRide!G6*M$9)*(1+Pricing!R7*M$10)</f>
        <v>1</v>
      </c>
      <c r="I5" s="122">
        <v>0.02</v>
      </c>
      <c r="J5" s="122">
        <v>0.02</v>
      </c>
      <c r="K5" s="122">
        <v>0.02</v>
      </c>
      <c r="L5" s="122">
        <v>0</v>
      </c>
      <c r="M5" s="122">
        <v>0</v>
      </c>
      <c r="N5" s="123" t="s">
        <v>122</v>
      </c>
      <c r="P5" s="16"/>
    </row>
    <row r="6" spans="1:16" x14ac:dyDescent="0.25">
      <c r="A6" s="104">
        <f t="shared" ref="A6:B21" si="0">A5+1</f>
        <v>3</v>
      </c>
      <c r="B6" s="104">
        <f t="shared" si="0"/>
        <v>2020</v>
      </c>
      <c r="C6" s="17">
        <f>(1+RideSource!C9*I$4)*(1+Curb!J7*I$5)*(1+VMT_fee!L7*I$6)*(1+NOVMT!L7*I$7)*(1+Satellite!C7*I$8)*(1+ShareRide!C7*I$9)*(1+Pricing!N8*I$10)</f>
        <v>1</v>
      </c>
      <c r="D6" s="17">
        <f>(1+RideSource!D9*J$4)*(1+Curb!K7*J$5)*(1+VMT_fee!M7*J$6)*(1+NOVMT!M7*J$7)*(1+Satellite!D7*J$8)*(1+ShareRide!D7*J$9)*(1+Pricing!O8*J$10)</f>
        <v>1</v>
      </c>
      <c r="E6" s="17">
        <f>(1+RideSource!E9*K$4)*(1+Curb!L7*K$5)*(1+VMT_fee!N7*K$6)*(1+NOVMT!N7*K$7)*(1+Satellite!E7*K$8)*(1+ShareRide!E7*K$9)*(1+Pricing!P8*K$10)</f>
        <v>1</v>
      </c>
      <c r="F6" s="17">
        <f>(1+RideSource!F9*L$4)*(1+Curb!M7*L$5)*(1+VMT_fee!O7*L$6)*(1+NOVMT!O7*L$7)*(1+Satellite!F7*L$8)*(1+ShareRide!F7*L$9)*(1+Pricing!Q8*L$10)</f>
        <v>1</v>
      </c>
      <c r="G6" s="17">
        <f>(1+RideSource!G9*M$4)*(1+Curb!N7*M$5)*(1+VMT_fee!P7*M$6)*(1+NOVMT!P7*M$7)*(1+Satellite!G7*M$8)*(1+ShareRide!G7*M$9)*(1+Pricing!R8*M$10)</f>
        <v>1</v>
      </c>
      <c r="I6" s="16">
        <v>-0.05</v>
      </c>
      <c r="J6" s="16">
        <v>-0.06</v>
      </c>
      <c r="K6" s="16">
        <v>-7.5000000000000011E-2</v>
      </c>
      <c r="L6" s="16">
        <v>-0.1</v>
      </c>
      <c r="M6" s="16">
        <v>-0.15</v>
      </c>
      <c r="N6" s="2" t="s">
        <v>123</v>
      </c>
      <c r="P6" s="16"/>
    </row>
    <row r="7" spans="1:16" x14ac:dyDescent="0.25">
      <c r="A7" s="104">
        <f t="shared" si="0"/>
        <v>4</v>
      </c>
      <c r="B7" s="104">
        <f t="shared" si="0"/>
        <v>2021</v>
      </c>
      <c r="C7" s="17">
        <f>(1+RideSource!C10*I$4)*(1+Curb!J8*I$5)*(1+VMT_fee!L8*I$6)*(1+NOVMT!L8*I$7)*(1+Satellite!C8*I$8)*(1+ShareRide!C8*I$9)*(1+Pricing!N9*I$10)</f>
        <v>1</v>
      </c>
      <c r="D7" s="17">
        <f>(1+RideSource!D10*J$4)*(1+Curb!K8*J$5)*(1+VMT_fee!M8*J$6)*(1+NOVMT!M8*J$7)*(1+Satellite!D8*J$8)*(1+ShareRide!D8*J$9)*(1+Pricing!O9*J$10)</f>
        <v>1</v>
      </c>
      <c r="E7" s="17">
        <f>(1+RideSource!E10*K$4)*(1+Curb!L8*K$5)*(1+VMT_fee!N8*K$6)*(1+NOVMT!N8*K$7)*(1+Satellite!E8*K$8)*(1+ShareRide!E8*K$9)*(1+Pricing!P9*K$10)</f>
        <v>1</v>
      </c>
      <c r="F7" s="17">
        <f>(1+RideSource!F10*L$4)*(1+Curb!M8*L$5)*(1+VMT_fee!O8*L$6)*(1+NOVMT!O8*L$7)*(1+Satellite!F8*L$8)*(1+ShareRide!F8*L$9)*(1+Pricing!Q9*L$10)</f>
        <v>1</v>
      </c>
      <c r="G7" s="17">
        <f>(1+RideSource!G10*M$4)*(1+Curb!N8*M$5)*(1+VMT_fee!P8*M$6)*(1+NOVMT!P8*M$7)*(1+Satellite!G8*M$8)*(1+ShareRide!G8*M$9)*(1+Pricing!R9*M$10)</f>
        <v>1</v>
      </c>
      <c r="I7" s="16">
        <v>-0.08</v>
      </c>
      <c r="J7" s="16">
        <v>-0.05</v>
      </c>
      <c r="K7" s="16">
        <v>-0.05</v>
      </c>
      <c r="L7" s="16">
        <v>-0.03</v>
      </c>
      <c r="M7" s="16">
        <v>-0.02</v>
      </c>
      <c r="N7" s="2" t="s">
        <v>124</v>
      </c>
      <c r="P7" s="16"/>
    </row>
    <row r="8" spans="1:16" x14ac:dyDescent="0.25">
      <c r="A8" s="104">
        <f t="shared" si="0"/>
        <v>5</v>
      </c>
      <c r="B8" s="104">
        <f t="shared" si="0"/>
        <v>2022</v>
      </c>
      <c r="C8" s="17">
        <f>(1+RideSource!C11*I$4)*(1+Curb!J9*I$5)*(1+VMT_fee!L9*I$6)*(1+NOVMT!L9*I$7)*(1+Satellite!C9*I$8)*(1+ShareRide!C9*I$9)*(1+Pricing!N10*I$10)</f>
        <v>1</v>
      </c>
      <c r="D8" s="17">
        <f>(1+RideSource!D11*J$4)*(1+Curb!K9*J$5)*(1+VMT_fee!M9*J$6)*(1+NOVMT!M9*J$7)*(1+Satellite!D9*J$8)*(1+ShareRide!D9*J$9)*(1+Pricing!O10*J$10)</f>
        <v>1</v>
      </c>
      <c r="E8" s="17">
        <f>(1+RideSource!E11*K$4)*(1+Curb!L9*K$5)*(1+VMT_fee!N9*K$6)*(1+NOVMT!N9*K$7)*(1+Satellite!E9*K$8)*(1+ShareRide!E9*K$9)*(1+Pricing!P10*K$10)</f>
        <v>1</v>
      </c>
      <c r="F8" s="17">
        <f>(1+RideSource!F11*L$4)*(1+Curb!M9*L$5)*(1+VMT_fee!O9*L$6)*(1+NOVMT!O9*L$7)*(1+Satellite!F9*L$8)*(1+ShareRide!F9*L$9)*(1+Pricing!Q10*L$10)</f>
        <v>1</v>
      </c>
      <c r="G8" s="17">
        <f>(1+RideSource!G11*M$4)*(1+Curb!N9*M$5)*(1+VMT_fee!P9*M$6)*(1+NOVMT!P9*M$7)*(1+Satellite!G9*M$8)*(1+ShareRide!G9*M$9)*(1+Pricing!R10*M$10)</f>
        <v>1</v>
      </c>
      <c r="I8" s="16">
        <v>0.02</v>
      </c>
      <c r="J8" s="16">
        <v>0</v>
      </c>
      <c r="K8" s="16">
        <v>0.02</v>
      </c>
      <c r="L8" s="16">
        <v>0</v>
      </c>
      <c r="M8" s="16">
        <v>0</v>
      </c>
      <c r="N8" s="2" t="s">
        <v>125</v>
      </c>
      <c r="P8" s="16"/>
    </row>
    <row r="9" spans="1:16" x14ac:dyDescent="0.25">
      <c r="A9" s="104">
        <f t="shared" si="0"/>
        <v>6</v>
      </c>
      <c r="B9" s="104">
        <f t="shared" si="0"/>
        <v>2023</v>
      </c>
      <c r="C9" s="17">
        <f>(1+RideSource!C12*I$4)*(1+Curb!J10*I$5)*(1+VMT_fee!L10*I$6)*(1+NOVMT!L10*I$7)*(1+Satellite!C10*I$8)*(1+ShareRide!C10*I$9)*(1+Pricing!N11*I$10)</f>
        <v>1.0021500000000001</v>
      </c>
      <c r="D9" s="17">
        <f>(1+RideSource!D12*J$4)*(1+Curb!K10*J$5)*(1+VMT_fee!M10*J$6)*(1+NOVMT!M10*J$7)*(1+Satellite!D10*J$8)*(1+ShareRide!D10*J$9)*(1+Pricing!O11*J$10)</f>
        <v>1</v>
      </c>
      <c r="E9" s="17">
        <f>(1+RideSource!E12*K$4)*(1+Curb!L10*K$5)*(1+VMT_fee!N10*K$6)*(1+NOVMT!N10*K$7)*(1+Satellite!E10*K$8)*(1+ShareRide!E10*K$9)*(1+Pricing!P11*K$10)</f>
        <v>1</v>
      </c>
      <c r="F9" s="17">
        <f>(1+RideSource!F12*L$4)*(1+Curb!M10*L$5)*(1+VMT_fee!O10*L$6)*(1+NOVMT!O10*L$7)*(1+Satellite!F10*L$8)*(1+ShareRide!F10*L$9)*(1+Pricing!Q11*L$10)</f>
        <v>1</v>
      </c>
      <c r="G9" s="17">
        <f>(1+RideSource!G12*M$4)*(1+Curb!N10*M$5)*(1+VMT_fee!P10*M$6)*(1+NOVMT!P10*M$7)*(1+Satellite!G10*M$8)*(1+ShareRide!G10*M$9)*(1+Pricing!R11*M$10)</f>
        <v>1</v>
      </c>
      <c r="I9" s="16">
        <v>-0.1</v>
      </c>
      <c r="J9" s="16">
        <v>-0.08</v>
      </c>
      <c r="K9" s="16">
        <v>-0.06</v>
      </c>
      <c r="L9" s="16">
        <v>-0.04</v>
      </c>
      <c r="M9" s="16">
        <v>-0.02</v>
      </c>
      <c r="N9" s="2" t="s">
        <v>167</v>
      </c>
      <c r="P9" s="16"/>
    </row>
    <row r="10" spans="1:16" x14ac:dyDescent="0.25">
      <c r="A10" s="104">
        <f t="shared" si="0"/>
        <v>7</v>
      </c>
      <c r="B10" s="104">
        <f t="shared" si="0"/>
        <v>2024</v>
      </c>
      <c r="C10" s="17">
        <f>(1+RideSource!C13*I$4)*(1+Curb!J11*I$5)*(1+VMT_fee!L11*I$6)*(1+NOVMT!L11*I$7)*(1+Satellite!C11*I$8)*(1+ShareRide!C11*I$9)*(1+Pricing!N12*I$10)</f>
        <v>1.0021500000000001</v>
      </c>
      <c r="D10" s="17">
        <f>(1+RideSource!D13*J$4)*(1+Curb!K11*J$5)*(1+VMT_fee!M11*J$6)*(1+NOVMT!M11*J$7)*(1+Satellite!D11*J$8)*(1+ShareRide!D11*J$9)*(1+Pricing!O12*J$10)</f>
        <v>1</v>
      </c>
      <c r="E10" s="17">
        <f>(1+RideSource!E13*K$4)*(1+Curb!L11*K$5)*(1+VMT_fee!N11*K$6)*(1+NOVMT!N11*K$7)*(1+Satellite!E11*K$8)*(1+ShareRide!E11*K$9)*(1+Pricing!P12*K$10)</f>
        <v>1</v>
      </c>
      <c r="F10" s="17">
        <f>(1+RideSource!F13*L$4)*(1+Curb!M11*L$5)*(1+VMT_fee!O11*L$6)*(1+NOVMT!O11*L$7)*(1+Satellite!F11*L$8)*(1+ShareRide!F11*L$9)*(1+Pricing!Q12*L$10)</f>
        <v>1</v>
      </c>
      <c r="G10" s="17">
        <f>(1+RideSource!G13*M$4)*(1+Curb!N11*M$5)*(1+VMT_fee!P11*M$6)*(1+NOVMT!P11*M$7)*(1+Satellite!G11*M$8)*(1+ShareRide!G11*M$9)*(1+Pricing!R12*M$10)</f>
        <v>1</v>
      </c>
      <c r="I10" s="16">
        <v>-0.1</v>
      </c>
      <c r="J10" s="16">
        <v>-0.08</v>
      </c>
      <c r="K10" s="16">
        <v>-0.06</v>
      </c>
      <c r="L10" s="16">
        <v>-0.04</v>
      </c>
      <c r="M10" s="16">
        <v>-0.02</v>
      </c>
      <c r="N10" s="2" t="s">
        <v>231</v>
      </c>
      <c r="P10" s="16"/>
    </row>
    <row r="11" spans="1:16" x14ac:dyDescent="0.25">
      <c r="A11" s="104">
        <f t="shared" si="0"/>
        <v>8</v>
      </c>
      <c r="B11" s="104">
        <f t="shared" si="0"/>
        <v>2025</v>
      </c>
      <c r="C11" s="17">
        <f>(1+RideSource!C14*I$4)*(1+Curb!J12*I$5)*(1+VMT_fee!L12*I$6)*(1+NOVMT!L12*I$7)*(1+Satellite!C12*I$8)*(1+ShareRide!C12*I$9)*(1+Pricing!N13*I$10)</f>
        <v>1.0021500000000001</v>
      </c>
      <c r="D11" s="17">
        <f>(1+RideSource!D14*J$4)*(1+Curb!K12*J$5)*(1+VMT_fee!M12*J$6)*(1+NOVMT!M12*J$7)*(1+Satellite!D12*J$8)*(1+ShareRide!D12*J$9)*(1+Pricing!O13*J$10)</f>
        <v>1</v>
      </c>
      <c r="E11" s="17">
        <f>(1+RideSource!E14*K$4)*(1+Curb!L12*K$5)*(1+VMT_fee!N12*K$6)*(1+NOVMT!N12*K$7)*(1+Satellite!E12*K$8)*(1+ShareRide!E12*K$9)*(1+Pricing!P13*K$10)</f>
        <v>1</v>
      </c>
      <c r="F11" s="17">
        <f>(1+RideSource!F14*L$4)*(1+Curb!M12*L$5)*(1+VMT_fee!O12*L$6)*(1+NOVMT!O12*L$7)*(1+Satellite!F12*L$8)*(1+ShareRide!F12*L$9)*(1+Pricing!Q13*L$10)</f>
        <v>1</v>
      </c>
      <c r="G11" s="17">
        <f>(1+RideSource!G14*M$4)*(1+Curb!N12*M$5)*(1+VMT_fee!P12*M$6)*(1+NOVMT!P12*M$7)*(1+Satellite!G12*M$8)*(1+ShareRide!G12*M$9)*(1+Pricing!R13*M$10)</f>
        <v>1</v>
      </c>
      <c r="I11" s="16"/>
      <c r="J11" s="2"/>
      <c r="P11" s="16"/>
    </row>
    <row r="12" spans="1:16" x14ac:dyDescent="0.25">
      <c r="A12" s="104">
        <f t="shared" si="0"/>
        <v>9</v>
      </c>
      <c r="B12" s="104">
        <f t="shared" si="0"/>
        <v>2026</v>
      </c>
      <c r="C12" s="17">
        <f>(1+RideSource!C15*I$4)*(1+Curb!J13*I$5)*(1+VMT_fee!L13*I$6)*(1+NOVMT!L13*I$7)*(1+Satellite!C13*I$8)*(1+ShareRide!C13*I$9)*(1+Pricing!N14*I$10)</f>
        <v>1.0021500000000001</v>
      </c>
      <c r="D12" s="17">
        <f>(1+RideSource!D15*J$4)*(1+Curb!K13*J$5)*(1+VMT_fee!M13*J$6)*(1+NOVMT!M13*J$7)*(1+Satellite!D13*J$8)*(1+ShareRide!D13*J$9)*(1+Pricing!O14*J$10)</f>
        <v>1</v>
      </c>
      <c r="E12" s="17">
        <f>(1+RideSource!E15*K$4)*(1+Curb!L13*K$5)*(1+VMT_fee!N13*K$6)*(1+NOVMT!N13*K$7)*(1+Satellite!E13*K$8)*(1+ShareRide!E13*K$9)*(1+Pricing!P14*K$10)</f>
        <v>1</v>
      </c>
      <c r="F12" s="17">
        <f>(1+RideSource!F15*L$4)*(1+Curb!M13*L$5)*(1+VMT_fee!O13*L$6)*(1+NOVMT!O13*L$7)*(1+Satellite!F13*L$8)*(1+ShareRide!F13*L$9)*(1+Pricing!Q14*L$10)</f>
        <v>1</v>
      </c>
      <c r="G12" s="17">
        <f>(1+RideSource!G15*M$4)*(1+Curb!N13*M$5)*(1+VMT_fee!P13*M$6)*(1+NOVMT!P13*M$7)*(1+Satellite!G13*M$8)*(1+ShareRide!G13*M$9)*(1+Pricing!R14*M$10)</f>
        <v>1</v>
      </c>
    </row>
    <row r="13" spans="1:16" x14ac:dyDescent="0.25">
      <c r="A13" s="104">
        <f t="shared" si="0"/>
        <v>10</v>
      </c>
      <c r="B13" s="104">
        <f t="shared" si="0"/>
        <v>2027</v>
      </c>
      <c r="C13" s="17">
        <f>(1+RideSource!C16*I$4)*(1+Curb!J14*I$5)*(1+VMT_fee!L14*I$6)*(1+NOVMT!L14*I$7)*(1+Satellite!C14*I$8)*(1+ShareRide!C14*I$9)*(1+Pricing!N15*I$10)</f>
        <v>0.99713924999999992</v>
      </c>
      <c r="D13" s="17">
        <f>(1+RideSource!D16*J$4)*(1+Curb!K14*J$5)*(1+VMT_fee!M14*J$6)*(1+NOVMT!M14*J$7)*(1+Satellite!D14*J$8)*(1+ShareRide!D14*J$9)*(1+Pricing!O15*J$10)</f>
        <v>1</v>
      </c>
      <c r="E13" s="17">
        <f>(1+RideSource!E16*K$4)*(1+Curb!L14*K$5)*(1+VMT_fee!N14*K$6)*(1+NOVMT!N14*K$7)*(1+Satellite!E14*K$8)*(1+ShareRide!E14*K$9)*(1+Pricing!P15*K$10)</f>
        <v>1</v>
      </c>
      <c r="F13" s="17">
        <f>(1+RideSource!F16*L$4)*(1+Curb!M14*L$5)*(1+VMT_fee!O14*L$6)*(1+NOVMT!O14*L$7)*(1+Satellite!F14*L$8)*(1+ShareRide!F14*L$9)*(1+Pricing!Q15*L$10)</f>
        <v>1</v>
      </c>
      <c r="G13" s="17">
        <f>(1+RideSource!G16*M$4)*(1+Curb!N14*M$5)*(1+VMT_fee!P14*M$6)*(1+NOVMT!P14*M$7)*(1+Satellite!G14*M$8)*(1+ShareRide!G14*M$9)*(1+Pricing!R15*M$10)</f>
        <v>1</v>
      </c>
    </row>
    <row r="14" spans="1:16" x14ac:dyDescent="0.25">
      <c r="A14" s="104">
        <f t="shared" si="0"/>
        <v>11</v>
      </c>
      <c r="B14" s="104">
        <f t="shared" si="0"/>
        <v>2028</v>
      </c>
      <c r="C14" s="17">
        <f>(1+RideSource!C17*I$4)*(1+Curb!J15*I$5)*(1+VMT_fee!L15*I$6)*(1+NOVMT!L15*I$7)*(1+Satellite!C15*I$8)*(1+ShareRide!C15*I$9)*(1+Pricing!N16*I$10)</f>
        <v>0.99047801989971718</v>
      </c>
      <c r="D14" s="17">
        <f>(1+RideSource!D17*J$4)*(1+Curb!K15*J$5)*(1+VMT_fee!M15*J$6)*(1+NOVMT!M15*J$7)*(1+Satellite!D15*J$8)*(1+ShareRide!D15*J$9)*(1+Pricing!O16*J$10)</f>
        <v>0.9899744897959184</v>
      </c>
      <c r="E14" s="17">
        <f>(1+RideSource!E17*K$4)*(1+Curb!L15*K$5)*(1+VMT_fee!N15*K$6)*(1+NOVMT!N15*K$7)*(1+Satellite!E15*K$8)*(1+ShareRide!E15*K$9)*(1+Pricing!P16*K$10)</f>
        <v>0.99903785714285709</v>
      </c>
      <c r="F14" s="17">
        <f>(1+RideSource!F17*L$4)*(1+Curb!M15*L$5)*(1+VMT_fee!O15*L$6)*(1+NOVMT!O15*L$7)*(1+Satellite!F15*L$8)*(1+ShareRide!F15*L$9)*(1+Pricing!Q16*L$10)</f>
        <v>0.99743428571428572</v>
      </c>
      <c r="G14" s="17">
        <f>(1+RideSource!G17*M$4)*(1+Curb!N15*M$5)*(1+VMT_fee!P15*M$6)*(1+NOVMT!P15*M$7)*(1+Satellite!G15*M$8)*(1+ShareRide!G15*M$9)*(1+Pricing!R16*M$10)</f>
        <v>0.99980757142857146</v>
      </c>
    </row>
    <row r="15" spans="1:16" x14ac:dyDescent="0.25">
      <c r="A15" s="104">
        <f t="shared" si="0"/>
        <v>12</v>
      </c>
      <c r="B15" s="104">
        <f t="shared" si="0"/>
        <v>2029</v>
      </c>
      <c r="C15" s="17">
        <f>(1+RideSource!C18*I$4)*(1+Curb!J16*I$5)*(1+VMT_fee!L16*I$6)*(1+NOVMT!L16*I$7)*(1+Satellite!C16*I$8)*(1+ShareRide!C16*I$9)*(1+Pricing!N17*I$10)</f>
        <v>0.98826062014291616</v>
      </c>
      <c r="D15" s="17">
        <f>(1+RideSource!D18*J$4)*(1+Curb!K16*J$5)*(1+VMT_fee!M16*J$6)*(1+NOVMT!M16*J$7)*(1+Satellite!D16*J$8)*(1+ShareRide!D16*J$9)*(1+Pricing!O17*J$10)</f>
        <v>0.9899744897959184</v>
      </c>
      <c r="E15" s="17">
        <f>(1+RideSource!E18*K$4)*(1+Curb!L16*K$5)*(1+VMT_fee!N16*K$6)*(1+NOVMT!N16*K$7)*(1+Satellite!E16*K$8)*(1+ShareRide!E16*K$9)*(1+Pricing!P17*K$10)</f>
        <v>0.99903785714285709</v>
      </c>
      <c r="F15" s="17">
        <f>(1+RideSource!F18*L$4)*(1+Curb!M16*L$5)*(1+VMT_fee!O16*L$6)*(1+NOVMT!O16*L$7)*(1+Satellite!F16*L$8)*(1+ShareRide!F16*L$9)*(1+Pricing!Q17*L$10)</f>
        <v>0.99743428571428572</v>
      </c>
      <c r="G15" s="17">
        <f>(1+RideSource!G18*M$4)*(1+Curb!N16*M$5)*(1+VMT_fee!P16*M$6)*(1+NOVMT!P16*M$7)*(1+Satellite!G16*M$8)*(1+ShareRide!G16*M$9)*(1+Pricing!R17*M$10)</f>
        <v>0.99980757142857146</v>
      </c>
    </row>
    <row r="16" spans="1:16" x14ac:dyDescent="0.25">
      <c r="A16" s="104">
        <f t="shared" si="0"/>
        <v>13</v>
      </c>
      <c r="B16" s="104">
        <f t="shared" si="0"/>
        <v>2030</v>
      </c>
      <c r="C16" s="17">
        <f>(1+RideSource!C19*I$4)*(1+Curb!J17*I$5)*(1+VMT_fee!L17*I$6)*(1+NOVMT!L17*I$7)*(1+Satellite!C17*I$8)*(1+ShareRide!C17*I$9)*(1+Pricing!N18*I$10)</f>
        <v>0.98530367004354846</v>
      </c>
      <c r="D16" s="17">
        <f>(1+RideSource!D19*J$4)*(1+Curb!K17*J$5)*(1+VMT_fee!M17*J$6)*(1+NOVMT!M17*J$7)*(1+Satellite!D17*J$8)*(1+ShareRide!D17*J$9)*(1+Pricing!O18*J$10)</f>
        <v>0.9850246173469388</v>
      </c>
      <c r="E16" s="17">
        <f>(1+RideSource!E19*K$4)*(1+Curb!L17*K$5)*(1+VMT_fee!N17*K$6)*(1+NOVMT!N17*K$7)*(1+Satellite!E17*K$8)*(1+ShareRide!E17*K$9)*(1+Pricing!P18*K$10)</f>
        <v>0.99903785714285709</v>
      </c>
      <c r="F16" s="17">
        <f>(1+RideSource!F19*L$4)*(1+Curb!M17*L$5)*(1+VMT_fee!O17*L$6)*(1+NOVMT!O17*L$7)*(1+Satellite!F17*L$8)*(1+ShareRide!F17*L$9)*(1+Pricing!Q18*L$10)</f>
        <v>0.99743428571428572</v>
      </c>
      <c r="G16" s="17">
        <f>(1+RideSource!G19*M$4)*(1+Curb!N17*M$5)*(1+VMT_fee!P17*M$6)*(1+NOVMT!P17*M$7)*(1+Satellite!G17*M$8)*(1+ShareRide!G17*M$9)*(1+Pricing!R18*M$10)</f>
        <v>0.99980757142857146</v>
      </c>
    </row>
    <row r="17" spans="1:7" x14ac:dyDescent="0.25">
      <c r="A17" s="104">
        <f t="shared" si="0"/>
        <v>14</v>
      </c>
      <c r="B17" s="104">
        <f t="shared" si="0"/>
        <v>2031</v>
      </c>
      <c r="C17" s="17">
        <f>(1+RideSource!C20*I$4)*(1+Curb!J18*I$5)*(1+VMT_fee!L18*I$6)*(1+NOVMT!L18*I$7)*(1+Satellite!C18*I$8)*(1+ShareRide!C18*I$9)*(1+Pricing!N19*I$10)</f>
        <v>0.98136051371220379</v>
      </c>
      <c r="D17" s="17">
        <f>(1+RideSource!D20*J$4)*(1+Curb!K18*J$5)*(1+VMT_fee!M18*J$6)*(1+NOVMT!M18*J$7)*(1+Satellite!D18*J$8)*(1+ShareRide!D18*J$9)*(1+Pricing!O19*J$10)</f>
        <v>0.98355529941360442</v>
      </c>
      <c r="E17" s="17">
        <f>(1+RideSource!E20*K$4)*(1+Curb!L18*K$5)*(1+VMT_fee!N18*K$6)*(1+NOVMT!N18*K$7)*(1+Satellite!E18*K$8)*(1+ShareRide!E18*K$9)*(1+Pricing!P19*K$10)</f>
        <v>0.99903785714285709</v>
      </c>
      <c r="F17" s="17">
        <f>(1+RideSource!F20*L$4)*(1+Curb!M18*L$5)*(1+VMT_fee!O18*L$6)*(1+NOVMT!O18*L$7)*(1+Satellite!F18*L$8)*(1+ShareRide!F18*L$9)*(1+Pricing!Q19*L$10)</f>
        <v>0.99743428571428572</v>
      </c>
      <c r="G17" s="17">
        <f>(1+RideSource!G20*M$4)*(1+Curb!N18*M$5)*(1+VMT_fee!P18*M$6)*(1+NOVMT!P18*M$7)*(1+Satellite!G18*M$8)*(1+ShareRide!G18*M$9)*(1+Pricing!R19*M$10)</f>
        <v>0.99980757142857146</v>
      </c>
    </row>
    <row r="18" spans="1:7" x14ac:dyDescent="0.25">
      <c r="A18" s="104">
        <f t="shared" si="0"/>
        <v>15</v>
      </c>
      <c r="B18" s="104">
        <f t="shared" si="0"/>
        <v>2032</v>
      </c>
      <c r="C18" s="17">
        <f>(1+RideSource!C21*I$4)*(1+Curb!J19*I$5)*(1+VMT_fee!L19*I$6)*(1+NOVMT!L19*I$7)*(1+Satellite!C19*I$8)*(1+ShareRide!C19*I$9)*(1+Pricing!N20*I$10)</f>
        <v>0.97610223023398557</v>
      </c>
      <c r="D18" s="17">
        <f>(1+RideSource!D21*J$4)*(1+Curb!K19*J$5)*(1+VMT_fee!M19*J$6)*(1+NOVMT!M19*J$7)*(1+Satellite!D19*J$8)*(1+ShareRide!D19*J$9)*(1+Pricing!O20*J$10)</f>
        <v>0.98164982979929827</v>
      </c>
      <c r="E18" s="17">
        <f>(1+RideSource!E21*K$4)*(1+Curb!L19*K$5)*(1+VMT_fee!N19*K$6)*(1+NOVMT!N19*K$7)*(1+Satellite!E19*K$8)*(1+ShareRide!E19*K$9)*(1+Pricing!P20*K$10)</f>
        <v>0.99404266785714279</v>
      </c>
      <c r="F18" s="17">
        <f>(1+RideSource!F21*L$4)*(1+Curb!M19*L$5)*(1+VMT_fee!O19*L$6)*(1+NOVMT!O19*L$7)*(1+Satellite!F19*L$8)*(1+ShareRide!F19*L$9)*(1+Pricing!Q20*L$10)</f>
        <v>0.99743428571428572</v>
      </c>
      <c r="G18" s="17">
        <f>(1+RideSource!G21*M$4)*(1+Curb!N19*M$5)*(1+VMT_fee!P19*M$6)*(1+NOVMT!P19*M$7)*(1+Satellite!G19*M$8)*(1+ShareRide!G19*M$9)*(1+Pricing!R20*M$10)</f>
        <v>0.99980757142857146</v>
      </c>
    </row>
    <row r="19" spans="1:7" x14ac:dyDescent="0.25">
      <c r="A19" s="104">
        <f t="shared" si="0"/>
        <v>16</v>
      </c>
      <c r="B19" s="104">
        <f t="shared" si="0"/>
        <v>2033</v>
      </c>
      <c r="C19" s="17">
        <f>(1+RideSource!C22*I$4)*(1+Curb!J20*I$5)*(1+VMT_fee!L20*I$6)*(1+NOVMT!L20*I$7)*(1+Satellite!C20*I$8)*(1+ShareRide!C20*I$9)*(1+Pricing!N21*I$10)</f>
        <v>0.92063568669342144</v>
      </c>
      <c r="D19" s="17">
        <f>(1+RideSource!D22*J$4)*(1+Curb!K20*J$5)*(1+VMT_fee!M20*J$6)*(1+NOVMT!M20*J$7)*(1+Satellite!D20*J$8)*(1+ShareRide!D20*J$9)*(1+Pricing!O21*J$10)</f>
        <v>0.94001159177594928</v>
      </c>
      <c r="E19" s="17">
        <f>(1+RideSource!E22*K$4)*(1+Curb!L20*K$5)*(1+VMT_fee!N20*K$6)*(1+NOVMT!N20*K$7)*(1+Satellite!E20*K$8)*(1+ShareRide!E20*K$9)*(1+Pricing!P21*K$10)</f>
        <v>0.9782010793659478</v>
      </c>
      <c r="F19" s="17">
        <f>(1+RideSource!F22*L$4)*(1+Curb!M20*L$5)*(1+VMT_fee!O20*L$6)*(1+NOVMT!O20*L$7)*(1+Satellite!F20*L$8)*(1+ShareRide!F20*L$9)*(1+Pricing!Q21*L$10)</f>
        <v>0.99743428571428572</v>
      </c>
      <c r="G19" s="17">
        <f>(1+RideSource!G22*M$4)*(1+Curb!N20*M$5)*(1+VMT_fee!P20*M$6)*(1+NOVMT!P20*M$7)*(1+Satellite!G20*M$8)*(1+ShareRide!G20*M$9)*(1+Pricing!R21*M$10)</f>
        <v>0.99980757142857146</v>
      </c>
    </row>
    <row r="20" spans="1:7" x14ac:dyDescent="0.25">
      <c r="A20" s="104">
        <f t="shared" si="0"/>
        <v>17</v>
      </c>
      <c r="B20" s="104">
        <f t="shared" si="0"/>
        <v>2034</v>
      </c>
      <c r="C20" s="17">
        <f>(1+RideSource!C23*I$4)*(1+Curb!J21*I$5)*(1+VMT_fee!L21*I$6)*(1+NOVMT!L21*I$7)*(1+Satellite!C21*I$8)*(1+ShareRide!C21*I$9)*(1+Pricing!N22*I$10)</f>
        <v>0.91175252431403109</v>
      </c>
      <c r="D20" s="17">
        <f>(1+RideSource!D23*J$4)*(1+Curb!K21*J$5)*(1+VMT_fee!M21*J$6)*(1+NOVMT!M21*J$7)*(1+Satellite!D21*J$8)*(1+ShareRide!D21*J$9)*(1+Pricing!O22*J$10)</f>
        <v>0.93693517084530309</v>
      </c>
      <c r="E20" s="17">
        <f>(1+RideSource!E23*K$4)*(1+Curb!L21*K$5)*(1+VMT_fee!N21*K$6)*(1+NOVMT!N21*K$7)*(1+Satellite!E21*K$8)*(1+ShareRide!E21*K$9)*(1+Pricing!P22*K$10)</f>
        <v>0.97709398881775344</v>
      </c>
      <c r="F20" s="17">
        <f>(1+RideSource!F23*L$4)*(1+Curb!M21*L$5)*(1+VMT_fee!O21*L$6)*(1+NOVMT!O21*L$7)*(1+Satellite!F21*L$8)*(1+ShareRide!F21*L$9)*(1+Pricing!Q22*L$10)</f>
        <v>0.99743428571428572</v>
      </c>
      <c r="G20" s="17">
        <f>(1+RideSource!G23*M$4)*(1+Curb!N21*M$5)*(1+VMT_fee!P21*M$6)*(1+NOVMT!P21*M$7)*(1+Satellite!G21*M$8)*(1+ShareRide!G21*M$9)*(1+Pricing!R22*M$10)</f>
        <v>0.99980757142857146</v>
      </c>
    </row>
    <row r="21" spans="1:7" x14ac:dyDescent="0.25">
      <c r="A21" s="104">
        <f t="shared" si="0"/>
        <v>18</v>
      </c>
      <c r="B21" s="104">
        <f t="shared" si="0"/>
        <v>2035</v>
      </c>
      <c r="C21" s="17">
        <f>(1+RideSource!C24*I$4)*(1+Curb!J22*I$5)*(1+VMT_fee!L22*I$6)*(1+NOVMT!L22*I$7)*(1+Satellite!C22*I$8)*(1+ShareRide!C22*I$9)*(1+Pricing!N23*I$10)</f>
        <v>0.86408135368090799</v>
      </c>
      <c r="D21" s="17">
        <f>(1+RideSource!D24*J$4)*(1+Curb!K22*J$5)*(1+VMT_fee!M22*J$6)*(1+NOVMT!M22*J$7)*(1+Satellite!D22*J$8)*(1+ShareRide!D22*J$9)*(1+Pricing!O23*J$10)</f>
        <v>0.92175019993773644</v>
      </c>
      <c r="E21" s="17">
        <f>(1+RideSource!E24*K$4)*(1+Curb!L22*K$5)*(1+VMT_fee!N22*K$6)*(1+NOVMT!N22*K$7)*(1+Satellite!E22*K$8)*(1+ShareRide!E22*K$9)*(1+Pricing!P23*K$10)</f>
        <v>0.97492362361063534</v>
      </c>
      <c r="F21" s="17">
        <f>(1+RideSource!F24*L$4)*(1+Curb!M22*L$5)*(1+VMT_fee!O22*L$6)*(1+NOVMT!O22*L$7)*(1+Satellite!F22*L$8)*(1+ShareRide!F22*L$9)*(1+Pricing!Q23*L$10)</f>
        <v>0.99743428571428572</v>
      </c>
      <c r="G21" s="17">
        <f>(1+RideSource!G24*M$4)*(1+Curb!N22*M$5)*(1+VMT_fee!P22*M$6)*(1+NOVMT!P22*M$7)*(1+Satellite!G22*M$8)*(1+ShareRide!G22*M$9)*(1+Pricing!R23*M$10)</f>
        <v>0.99980757142857146</v>
      </c>
    </row>
    <row r="22" spans="1:7" x14ac:dyDescent="0.25">
      <c r="A22" s="104">
        <f t="shared" ref="A22:B37" si="1">A21+1</f>
        <v>19</v>
      </c>
      <c r="B22" s="104">
        <f t="shared" si="1"/>
        <v>2036</v>
      </c>
      <c r="C22" s="17">
        <f>(1+RideSource!C25*I$4)*(1+Curb!J23*I$5)*(1+VMT_fee!L23*I$6)*(1+NOVMT!L23*I$7)*(1+Satellite!C23*I$8)*(1+ShareRide!C23*I$9)*(1+Pricing!N24*I$10)</f>
        <v>0.86408135368090799</v>
      </c>
      <c r="D22" s="17">
        <f>(1+RideSource!D25*J$4)*(1+Curb!K23*J$5)*(1+VMT_fee!M23*J$6)*(1+NOVMT!M23*J$7)*(1+Satellite!D23*J$8)*(1+ShareRide!D23*J$9)*(1+Pricing!O24*J$10)</f>
        <v>0.91663838410493004</v>
      </c>
      <c r="E22" s="17">
        <f>(1+RideSource!E25*K$4)*(1+Curb!L23*K$5)*(1+VMT_fee!N23*K$6)*(1+NOVMT!N23*K$7)*(1+Satellite!E23*K$8)*(1+ShareRide!E23*K$9)*(1+Pricing!P24*K$10)</f>
        <v>0.97335933109726336</v>
      </c>
      <c r="F22" s="17">
        <f>(1+RideSource!F25*L$4)*(1+Curb!M23*L$5)*(1+VMT_fee!O23*L$6)*(1+NOVMT!O23*L$7)*(1+Satellite!F23*L$8)*(1+ShareRide!F23*L$9)*(1+Pricing!Q24*L$10)</f>
        <v>0.99743428571428572</v>
      </c>
      <c r="G22" s="17">
        <f>(1+RideSource!G25*M$4)*(1+Curb!N23*M$5)*(1+VMT_fee!P23*M$6)*(1+NOVMT!P23*M$7)*(1+Satellite!G23*M$8)*(1+ShareRide!G23*M$9)*(1+Pricing!R24*M$10)</f>
        <v>0.99980757142857146</v>
      </c>
    </row>
    <row r="23" spans="1:7" x14ac:dyDescent="0.25">
      <c r="A23" s="104">
        <f t="shared" si="1"/>
        <v>20</v>
      </c>
      <c r="B23" s="104">
        <f t="shared" si="1"/>
        <v>2037</v>
      </c>
      <c r="C23" s="17">
        <f>(1+RideSource!C26*I$4)*(1+Curb!J24*I$5)*(1+VMT_fee!L24*I$6)*(1+NOVMT!L24*I$7)*(1+Satellite!C24*I$8)*(1+ShareRide!C24*I$9)*(1+Pricing!N25*I$10)</f>
        <v>0.86408135368090799</v>
      </c>
      <c r="D23" s="17">
        <f>(1+RideSource!D26*J$4)*(1+Curb!K24*J$5)*(1+VMT_fee!M24*J$6)*(1+NOVMT!M24*J$7)*(1+Satellite!D24*J$8)*(1+ShareRide!D24*J$9)*(1+Pricing!O25*J$10)</f>
        <v>0.91000917913685542</v>
      </c>
      <c r="E23" s="17">
        <f>(1+RideSource!E26*K$4)*(1+Curb!L24*K$5)*(1+VMT_fee!N24*K$6)*(1+NOVMT!N24*K$7)*(1+Satellite!E24*K$8)*(1+ShareRide!E24*K$9)*(1+Pricing!P25*K$10)</f>
        <v>0.97149906331041591</v>
      </c>
      <c r="F23" s="17">
        <f>(1+RideSource!F26*L$4)*(1+Curb!M24*L$5)*(1+VMT_fee!O24*L$6)*(1+NOVMT!O24*L$7)*(1+Satellite!F24*L$8)*(1+ShareRide!F24*L$9)*(1+Pricing!Q25*L$10)</f>
        <v>0.99743428571428572</v>
      </c>
      <c r="G23" s="17">
        <f>(1+RideSource!G26*M$4)*(1+Curb!N24*M$5)*(1+VMT_fee!P24*M$6)*(1+NOVMT!P24*M$7)*(1+Satellite!G24*M$8)*(1+ShareRide!G24*M$9)*(1+Pricing!R25*M$10)</f>
        <v>0.99980757142857146</v>
      </c>
    </row>
    <row r="24" spans="1:7" x14ac:dyDescent="0.25">
      <c r="A24" s="104">
        <f t="shared" si="1"/>
        <v>21</v>
      </c>
      <c r="B24" s="104">
        <f t="shared" si="1"/>
        <v>2038</v>
      </c>
      <c r="C24" s="17">
        <f>(1+RideSource!C27*I$4)*(1+Curb!J25*I$5)*(1+VMT_fee!L25*I$6)*(1+NOVMT!L25*I$7)*(1+Satellite!C25*I$8)*(1+ShareRide!C25*I$9)*(1+Pricing!N26*I$10)</f>
        <v>0.86408135368090799</v>
      </c>
      <c r="D24" s="17">
        <f>(1+RideSource!D27*J$4)*(1+Curb!K25*J$5)*(1+VMT_fee!M25*J$6)*(1+NOVMT!M25*J$7)*(1+Satellite!D25*J$8)*(1+ShareRide!D25*J$9)*(1+Pricing!O26*J$10)</f>
        <v>0.90141216391836732</v>
      </c>
      <c r="E24" s="17">
        <f>(1+RideSource!E27*K$4)*(1+Curb!L25*K$5)*(1+VMT_fee!N25*K$6)*(1+NOVMT!N25*K$7)*(1+Satellite!E25*K$8)*(1+ShareRide!E25*K$9)*(1+Pricing!P26*K$10)</f>
        <v>0.96928681962248675</v>
      </c>
      <c r="F24" s="17">
        <f>(1+RideSource!F27*L$4)*(1+Curb!M25*L$5)*(1+VMT_fee!O25*L$6)*(1+NOVMT!O25*L$7)*(1+Satellite!F25*L$8)*(1+ShareRide!F25*L$9)*(1+Pricing!Q26*L$10)</f>
        <v>0.99743428571428572</v>
      </c>
      <c r="G24" s="17">
        <f>(1+RideSource!G27*M$4)*(1+Curb!N25*M$5)*(1+VMT_fee!P25*M$6)*(1+NOVMT!P25*M$7)*(1+Satellite!G25*M$8)*(1+ShareRide!G25*M$9)*(1+Pricing!R26*M$10)</f>
        <v>0.99980757142857146</v>
      </c>
    </row>
    <row r="25" spans="1:7" x14ac:dyDescent="0.25">
      <c r="A25" s="104">
        <f t="shared" si="1"/>
        <v>22</v>
      </c>
      <c r="B25" s="104">
        <f t="shared" si="1"/>
        <v>2039</v>
      </c>
      <c r="C25" s="17">
        <f>(1+RideSource!C28*I$4)*(1+Curb!J26*I$5)*(1+VMT_fee!L26*I$6)*(1+NOVMT!L26*I$7)*(1+Satellite!C26*I$8)*(1+ShareRide!C26*I$9)*(1+Pricing!N27*I$10)</f>
        <v>0.86408135368090799</v>
      </c>
      <c r="D25" s="17">
        <f>(1+RideSource!D28*J$4)*(1+Curb!K26*J$5)*(1+VMT_fee!M26*J$6)*(1+NOVMT!M26*J$7)*(1+Satellite!D26*J$8)*(1+ShareRide!D26*J$9)*(1+Pricing!O27*J$10)</f>
        <v>0.90141216391836732</v>
      </c>
      <c r="E25" s="17">
        <f>(1+RideSource!E28*K$4)*(1+Curb!L26*K$5)*(1+VMT_fee!N26*K$6)*(1+NOVMT!N26*K$7)*(1+Satellite!E26*K$8)*(1+ShareRide!E26*K$9)*(1+Pricing!P27*K$10)</f>
        <v>0.96665600368868132</v>
      </c>
      <c r="F25" s="17">
        <f>(1+RideSource!F28*L$4)*(1+Curb!M26*L$5)*(1+VMT_fee!O26*L$6)*(1+NOVMT!O26*L$7)*(1+Satellite!F26*L$8)*(1+ShareRide!F26*L$9)*(1+Pricing!Q27*L$10)</f>
        <v>0.99743428571428572</v>
      </c>
      <c r="G25" s="17">
        <f>(1+RideSource!G28*M$4)*(1+Curb!N26*M$5)*(1+VMT_fee!P26*M$6)*(1+NOVMT!P26*M$7)*(1+Satellite!G26*M$8)*(1+ShareRide!G26*M$9)*(1+Pricing!R27*M$10)</f>
        <v>0.99980757142857146</v>
      </c>
    </row>
    <row r="26" spans="1:7" x14ac:dyDescent="0.25">
      <c r="A26" s="104">
        <f t="shared" si="1"/>
        <v>23</v>
      </c>
      <c r="B26" s="104">
        <f t="shared" si="1"/>
        <v>2040</v>
      </c>
      <c r="C26" s="17">
        <f>(1+RideSource!C29*I$4)*(1+Curb!J27*I$5)*(1+VMT_fee!L27*I$6)*(1+NOVMT!L27*I$7)*(1+Satellite!C27*I$8)*(1+ShareRide!C27*I$9)*(1+Pricing!N28*I$10)</f>
        <v>0.86408135368090799</v>
      </c>
      <c r="D26" s="17">
        <f>(1+RideSource!D29*J$4)*(1+Curb!K27*J$5)*(1+VMT_fee!M27*J$6)*(1+NOVMT!M27*J$7)*(1+Satellite!D27*J$8)*(1+ShareRide!D27*J$9)*(1+Pricing!O28*J$10)</f>
        <v>0.90141216391836732</v>
      </c>
      <c r="E26" s="17">
        <f>(1+RideSource!E29*K$4)*(1+Curb!L27*K$5)*(1+VMT_fee!N27*K$6)*(1+NOVMT!N27*K$7)*(1+Satellite!E27*K$8)*(1+ShareRide!E27*K$9)*(1+Pricing!P28*K$10)</f>
        <v>0.96352741866193736</v>
      </c>
      <c r="F26" s="17">
        <f>(1+RideSource!F29*L$4)*(1+Curb!M27*L$5)*(1+VMT_fee!O27*L$6)*(1+NOVMT!O27*L$7)*(1+Satellite!F27*L$8)*(1+ShareRide!F27*L$9)*(1+Pricing!Q28*L$10)</f>
        <v>0.99743428571428572</v>
      </c>
      <c r="G26" s="17">
        <f>(1+RideSource!G29*M$4)*(1+Curb!N27*M$5)*(1+VMT_fee!P27*M$6)*(1+NOVMT!P27*M$7)*(1+Satellite!G27*M$8)*(1+ShareRide!G27*M$9)*(1+Pricing!R28*M$10)</f>
        <v>0.99980757142857146</v>
      </c>
    </row>
    <row r="27" spans="1:7" x14ac:dyDescent="0.25">
      <c r="A27" s="104">
        <f t="shared" si="1"/>
        <v>24</v>
      </c>
      <c r="B27" s="104">
        <f t="shared" si="1"/>
        <v>2041</v>
      </c>
      <c r="C27" s="17">
        <f>(1+RideSource!C30*I$4)*(1+Curb!J28*I$5)*(1+VMT_fee!L28*I$6)*(1+NOVMT!L28*I$7)*(1+Satellite!C28*I$8)*(1+ShareRide!C28*I$9)*(1+Pricing!N29*I$10)</f>
        <v>0.86408135368090799</v>
      </c>
      <c r="D27" s="17">
        <f>(1+RideSource!D30*J$4)*(1+Curb!K28*J$5)*(1+VMT_fee!M28*J$6)*(1+NOVMT!M28*J$7)*(1+Satellite!D28*J$8)*(1+ShareRide!D28*J$9)*(1+Pricing!O29*J$10)</f>
        <v>0.90141216391836732</v>
      </c>
      <c r="E27" s="17">
        <f>(1+RideSource!E30*K$4)*(1+Curb!L28*K$5)*(1+VMT_fee!N28*K$6)*(1+NOVMT!N28*K$7)*(1+Satellite!E28*K$8)*(1+ShareRide!E28*K$9)*(1+Pricing!P29*K$10)</f>
        <v>0.96352741866193736</v>
      </c>
      <c r="F27" s="17">
        <f>(1+RideSource!F30*L$4)*(1+Curb!M28*L$5)*(1+VMT_fee!O28*L$6)*(1+NOVMT!O28*L$7)*(1+Satellite!F28*L$8)*(1+ShareRide!F28*L$9)*(1+Pricing!Q29*L$10)</f>
        <v>0.99743428571428572</v>
      </c>
      <c r="G27" s="17">
        <f>(1+RideSource!G30*M$4)*(1+Curb!N28*M$5)*(1+VMT_fee!P28*M$6)*(1+NOVMT!P28*M$7)*(1+Satellite!G28*M$8)*(1+ShareRide!G28*M$9)*(1+Pricing!R29*M$10)</f>
        <v>0.99980757142857146</v>
      </c>
    </row>
    <row r="28" spans="1:7" x14ac:dyDescent="0.25">
      <c r="A28" s="104">
        <f t="shared" si="1"/>
        <v>25</v>
      </c>
      <c r="B28" s="104">
        <f t="shared" si="1"/>
        <v>2042</v>
      </c>
      <c r="C28" s="17">
        <f>(1+RideSource!C31*I$4)*(1+Curb!J29*I$5)*(1+VMT_fee!L29*I$6)*(1+NOVMT!L29*I$7)*(1+Satellite!C29*I$8)*(1+ShareRide!C29*I$9)*(1+Pricing!N30*I$10)</f>
        <v>0.86408135368090799</v>
      </c>
      <c r="D28" s="17">
        <f>(1+RideSource!D31*J$4)*(1+Curb!K29*J$5)*(1+VMT_fee!M29*J$6)*(1+NOVMT!M29*J$7)*(1+Satellite!D29*J$8)*(1+ShareRide!D29*J$9)*(1+Pricing!O30*J$10)</f>
        <v>0.90141216391836732</v>
      </c>
      <c r="E28" s="17">
        <f>(1+RideSource!E31*K$4)*(1+Curb!L29*K$5)*(1+VMT_fee!N29*K$6)*(1+NOVMT!N29*K$7)*(1+Satellite!E29*K$8)*(1+ShareRide!E29*K$9)*(1+Pricing!P30*K$10)</f>
        <v>0.96352741866193736</v>
      </c>
      <c r="F28" s="17">
        <f>(1+RideSource!F31*L$4)*(1+Curb!M29*L$5)*(1+VMT_fee!O29*L$6)*(1+NOVMT!O29*L$7)*(1+Satellite!F29*L$8)*(1+ShareRide!F29*L$9)*(1+Pricing!Q30*L$10)</f>
        <v>0.99743428571428572</v>
      </c>
      <c r="G28" s="17">
        <f>(1+RideSource!G31*M$4)*(1+Curb!N29*M$5)*(1+VMT_fee!P29*M$6)*(1+NOVMT!P29*M$7)*(1+Satellite!G29*M$8)*(1+ShareRide!G29*M$9)*(1+Pricing!R30*M$10)</f>
        <v>0.99980757142857146</v>
      </c>
    </row>
    <row r="29" spans="1:7" x14ac:dyDescent="0.25">
      <c r="A29" s="104">
        <f t="shared" si="1"/>
        <v>26</v>
      </c>
      <c r="B29" s="104">
        <f t="shared" si="1"/>
        <v>2043</v>
      </c>
      <c r="C29" s="17">
        <f>(1+RideSource!C32*I$4)*(1+Curb!J30*I$5)*(1+VMT_fee!L30*I$6)*(1+NOVMT!L30*I$7)*(1+Satellite!C30*I$8)*(1+ShareRide!C30*I$9)*(1+Pricing!N31*I$10)</f>
        <v>0.86408135368090799</v>
      </c>
      <c r="D29" s="17">
        <f>(1+RideSource!D32*J$4)*(1+Curb!K30*J$5)*(1+VMT_fee!M30*J$6)*(1+NOVMT!M30*J$7)*(1+Satellite!D30*J$8)*(1+ShareRide!D30*J$9)*(1+Pricing!O31*J$10)</f>
        <v>0.90141216391836732</v>
      </c>
      <c r="E29" s="17">
        <f>(1+RideSource!E32*K$4)*(1+Curb!L30*K$5)*(1+VMT_fee!N30*K$6)*(1+NOVMT!N30*K$7)*(1+Satellite!E30*K$8)*(1+ShareRide!E30*K$9)*(1+Pricing!P31*K$10)</f>
        <v>0.96352741866193736</v>
      </c>
      <c r="F29" s="17">
        <f>(1+RideSource!F32*L$4)*(1+Curb!M30*L$5)*(1+VMT_fee!O30*L$6)*(1+NOVMT!O30*L$7)*(1+Satellite!F30*L$8)*(1+ShareRide!F30*L$9)*(1+Pricing!Q31*L$10)</f>
        <v>0.99743428571428572</v>
      </c>
      <c r="G29" s="17">
        <f>(1+RideSource!G32*M$4)*(1+Curb!N30*M$5)*(1+VMT_fee!P30*M$6)*(1+NOVMT!P30*M$7)*(1+Satellite!G30*M$8)*(1+ShareRide!G30*M$9)*(1+Pricing!R31*M$10)</f>
        <v>0.99980757142857146</v>
      </c>
    </row>
    <row r="30" spans="1:7" x14ac:dyDescent="0.25">
      <c r="A30" s="104">
        <f t="shared" si="1"/>
        <v>27</v>
      </c>
      <c r="B30" s="104">
        <f t="shared" si="1"/>
        <v>2044</v>
      </c>
      <c r="C30" s="17">
        <f>(1+RideSource!C33*I$4)*(1+Curb!J31*I$5)*(1+VMT_fee!L31*I$6)*(1+NOVMT!L31*I$7)*(1+Satellite!C31*I$8)*(1+ShareRide!C31*I$9)*(1+Pricing!N32*I$10)</f>
        <v>0.86408135368090799</v>
      </c>
      <c r="D30" s="17">
        <f>(1+RideSource!D33*J$4)*(1+Curb!K31*J$5)*(1+VMT_fee!M31*J$6)*(1+NOVMT!M31*J$7)*(1+Satellite!D31*J$8)*(1+ShareRide!D31*J$9)*(1+Pricing!O32*J$10)</f>
        <v>0.90141216391836732</v>
      </c>
      <c r="E30" s="17">
        <f>(1+RideSource!E33*K$4)*(1+Curb!L31*K$5)*(1+VMT_fee!N31*K$6)*(1+NOVMT!N31*K$7)*(1+Satellite!E31*K$8)*(1+ShareRide!E31*K$9)*(1+Pricing!P32*K$10)</f>
        <v>0.96352741866193736</v>
      </c>
      <c r="F30" s="17">
        <f>(1+RideSource!F33*L$4)*(1+Curb!M31*L$5)*(1+VMT_fee!O31*L$6)*(1+NOVMT!O31*L$7)*(1+Satellite!F31*L$8)*(1+ShareRide!F31*L$9)*(1+Pricing!Q32*L$10)</f>
        <v>0.99743428571428572</v>
      </c>
      <c r="G30" s="17">
        <f>(1+RideSource!G33*M$4)*(1+Curb!N31*M$5)*(1+VMT_fee!P31*M$6)*(1+NOVMT!P31*M$7)*(1+Satellite!G31*M$8)*(1+ShareRide!G31*M$9)*(1+Pricing!R32*M$10)</f>
        <v>0.99980757142857146</v>
      </c>
    </row>
    <row r="31" spans="1:7" x14ac:dyDescent="0.25">
      <c r="A31" s="104">
        <f t="shared" si="1"/>
        <v>28</v>
      </c>
      <c r="B31" s="104">
        <f t="shared" si="1"/>
        <v>2045</v>
      </c>
      <c r="C31" s="17">
        <f>(1+RideSource!C34*I$4)*(1+Curb!J32*I$5)*(1+VMT_fee!L32*I$6)*(1+NOVMT!L32*I$7)*(1+Satellite!C32*I$8)*(1+ShareRide!C32*I$9)*(1+Pricing!N33*I$10)</f>
        <v>0.86408135368090799</v>
      </c>
      <c r="D31" s="17">
        <f>(1+RideSource!D34*J$4)*(1+Curb!K32*J$5)*(1+VMT_fee!M32*J$6)*(1+NOVMT!M32*J$7)*(1+Satellite!D32*J$8)*(1+ShareRide!D32*J$9)*(1+Pricing!O33*J$10)</f>
        <v>0.90141216391836732</v>
      </c>
      <c r="E31" s="17">
        <f>(1+RideSource!E34*K$4)*(1+Curb!L32*K$5)*(1+VMT_fee!N32*K$6)*(1+NOVMT!N32*K$7)*(1+Satellite!E32*K$8)*(1+ShareRide!E32*K$9)*(1+Pricing!P33*K$10)</f>
        <v>0.96352741866193736</v>
      </c>
      <c r="F31" s="17">
        <f>(1+RideSource!F34*L$4)*(1+Curb!M32*L$5)*(1+VMT_fee!O32*L$6)*(1+NOVMT!O32*L$7)*(1+Satellite!F32*L$8)*(1+ShareRide!F32*L$9)*(1+Pricing!Q33*L$10)</f>
        <v>0.99743428571428572</v>
      </c>
      <c r="G31" s="17">
        <f>(1+RideSource!G34*M$4)*(1+Curb!N32*M$5)*(1+VMT_fee!P32*M$6)*(1+NOVMT!P32*M$7)*(1+Satellite!G32*M$8)*(1+ShareRide!G32*M$9)*(1+Pricing!R33*M$10)</f>
        <v>0.99980757142857146</v>
      </c>
    </row>
    <row r="32" spans="1:7" x14ac:dyDescent="0.25">
      <c r="A32" s="104">
        <f t="shared" si="1"/>
        <v>29</v>
      </c>
      <c r="B32" s="104">
        <f t="shared" si="1"/>
        <v>2046</v>
      </c>
      <c r="C32" s="17">
        <f>(1+RideSource!C35*I$4)*(1+Curb!J33*I$5)*(1+VMT_fee!L33*I$6)*(1+NOVMT!L33*I$7)*(1+Satellite!C33*I$8)*(1+ShareRide!C33*I$9)*(1+Pricing!N34*I$10)</f>
        <v>0.86408135368090799</v>
      </c>
      <c r="D32" s="17">
        <f>(1+RideSource!D35*J$4)*(1+Curb!K33*J$5)*(1+VMT_fee!M33*J$6)*(1+NOVMT!M33*J$7)*(1+Satellite!D33*J$8)*(1+ShareRide!D33*J$9)*(1+Pricing!O34*J$10)</f>
        <v>0.90141216391836732</v>
      </c>
      <c r="E32" s="17">
        <f>(1+RideSource!E35*K$4)*(1+Curb!L33*K$5)*(1+VMT_fee!N33*K$6)*(1+NOVMT!N33*K$7)*(1+Satellite!E33*K$8)*(1+ShareRide!E33*K$9)*(1+Pricing!P34*K$10)</f>
        <v>0.96352741866193736</v>
      </c>
      <c r="F32" s="17">
        <f>(1+RideSource!F35*L$4)*(1+Curb!M33*L$5)*(1+VMT_fee!O33*L$6)*(1+NOVMT!O33*L$7)*(1+Satellite!F33*L$8)*(1+ShareRide!F33*L$9)*(1+Pricing!Q34*L$10)</f>
        <v>0.99743428571428572</v>
      </c>
      <c r="G32" s="17">
        <f>(1+RideSource!G35*M$4)*(1+Curb!N33*M$5)*(1+VMT_fee!P33*M$6)*(1+NOVMT!P33*M$7)*(1+Satellite!G33*M$8)*(1+ShareRide!G33*M$9)*(1+Pricing!R34*M$10)</f>
        <v>0.99980757142857146</v>
      </c>
    </row>
    <row r="33" spans="1:7" x14ac:dyDescent="0.25">
      <c r="A33" s="104">
        <f t="shared" si="1"/>
        <v>30</v>
      </c>
      <c r="B33" s="104">
        <f t="shared" si="1"/>
        <v>2047</v>
      </c>
      <c r="C33" s="17">
        <f>(1+RideSource!C36*I$4)*(1+Curb!J34*I$5)*(1+VMT_fee!L34*I$6)*(1+NOVMT!L34*I$7)*(1+Satellite!C34*I$8)*(1+ShareRide!C34*I$9)*(1+Pricing!N35*I$10)</f>
        <v>0.86408135368090799</v>
      </c>
      <c r="D33" s="17">
        <f>(1+RideSource!D36*J$4)*(1+Curb!K34*J$5)*(1+VMT_fee!M34*J$6)*(1+NOVMT!M34*J$7)*(1+Satellite!D34*J$8)*(1+ShareRide!D34*J$9)*(1+Pricing!O35*J$10)</f>
        <v>0.90141216391836732</v>
      </c>
      <c r="E33" s="17">
        <f>(1+RideSource!E36*K$4)*(1+Curb!L34*K$5)*(1+VMT_fee!N34*K$6)*(1+NOVMT!N34*K$7)*(1+Satellite!E34*K$8)*(1+ShareRide!E34*K$9)*(1+Pricing!P35*K$10)</f>
        <v>0.96352741866193736</v>
      </c>
      <c r="F33" s="17">
        <f>(1+RideSource!F36*L$4)*(1+Curb!M34*L$5)*(1+VMT_fee!O34*L$6)*(1+NOVMT!O34*L$7)*(1+Satellite!F34*L$8)*(1+ShareRide!F34*L$9)*(1+Pricing!Q35*L$10)</f>
        <v>0.99743428571428572</v>
      </c>
      <c r="G33" s="17">
        <f>(1+RideSource!G36*M$4)*(1+Curb!N34*M$5)*(1+VMT_fee!P34*M$6)*(1+NOVMT!P34*M$7)*(1+Satellite!G34*M$8)*(1+ShareRide!G34*M$9)*(1+Pricing!R35*M$10)</f>
        <v>0.99980757142857146</v>
      </c>
    </row>
    <row r="34" spans="1:7" x14ac:dyDescent="0.25">
      <c r="A34" s="104">
        <f t="shared" si="1"/>
        <v>31</v>
      </c>
      <c r="B34" s="104">
        <f t="shared" si="1"/>
        <v>2048</v>
      </c>
      <c r="C34" s="17">
        <f>(1+RideSource!C37*I$4)*(1+Curb!J35*I$5)*(1+VMT_fee!L35*I$6)*(1+NOVMT!L35*I$7)*(1+Satellite!C35*I$8)*(1+ShareRide!C35*I$9)*(1+Pricing!N36*I$10)</f>
        <v>0.86408135368090799</v>
      </c>
      <c r="D34" s="17">
        <f>(1+RideSource!D37*J$4)*(1+Curb!K35*J$5)*(1+VMT_fee!M35*J$6)*(1+NOVMT!M35*J$7)*(1+Satellite!D35*J$8)*(1+ShareRide!D35*J$9)*(1+Pricing!O36*J$10)</f>
        <v>0.90141216391836732</v>
      </c>
      <c r="E34" s="17">
        <f>(1+RideSource!E37*K$4)*(1+Curb!L35*K$5)*(1+VMT_fee!N35*K$6)*(1+NOVMT!N35*K$7)*(1+Satellite!E35*K$8)*(1+ShareRide!E35*K$9)*(1+Pricing!P36*K$10)</f>
        <v>0.96352741866193736</v>
      </c>
      <c r="F34" s="17">
        <f>(1+RideSource!F37*L$4)*(1+Curb!M35*L$5)*(1+VMT_fee!O35*L$6)*(1+NOVMT!O35*L$7)*(1+Satellite!F35*L$8)*(1+ShareRide!F35*L$9)*(1+Pricing!Q36*L$10)</f>
        <v>0.99743428571428572</v>
      </c>
      <c r="G34" s="17">
        <f>(1+RideSource!G37*M$4)*(1+Curb!N35*M$5)*(1+VMT_fee!P35*M$6)*(1+NOVMT!P35*M$7)*(1+Satellite!G35*M$8)*(1+ShareRide!G35*M$9)*(1+Pricing!R36*M$10)</f>
        <v>0.99980757142857146</v>
      </c>
    </row>
    <row r="35" spans="1:7" x14ac:dyDescent="0.25">
      <c r="A35" s="104">
        <f t="shared" si="1"/>
        <v>32</v>
      </c>
      <c r="B35" s="104">
        <f t="shared" si="1"/>
        <v>2049</v>
      </c>
      <c r="C35" s="17">
        <f>(1+RideSource!C38*I$4)*(1+Curb!J36*I$5)*(1+VMT_fee!L36*I$6)*(1+NOVMT!L36*I$7)*(1+Satellite!C36*I$8)*(1+ShareRide!C36*I$9)*(1+Pricing!N37*I$10)</f>
        <v>0.86408135368090799</v>
      </c>
      <c r="D35" s="17">
        <f>(1+RideSource!D38*J$4)*(1+Curb!K36*J$5)*(1+VMT_fee!M36*J$6)*(1+NOVMT!M36*J$7)*(1+Satellite!D36*J$8)*(1+ShareRide!D36*J$9)*(1+Pricing!O37*J$10)</f>
        <v>0.90141216391836732</v>
      </c>
      <c r="E35" s="17">
        <f>(1+RideSource!E38*K$4)*(1+Curb!L36*K$5)*(1+VMT_fee!N36*K$6)*(1+NOVMT!N36*K$7)*(1+Satellite!E36*K$8)*(1+ShareRide!E36*K$9)*(1+Pricing!P37*K$10)</f>
        <v>0.96352741866193736</v>
      </c>
      <c r="F35" s="17">
        <f>(1+RideSource!F38*L$4)*(1+Curb!M36*L$5)*(1+VMT_fee!O36*L$6)*(1+NOVMT!O36*L$7)*(1+Satellite!F36*L$8)*(1+ShareRide!F36*L$9)*(1+Pricing!Q37*L$10)</f>
        <v>0.99743428571428572</v>
      </c>
      <c r="G35" s="17">
        <f>(1+RideSource!G38*M$4)*(1+Curb!N36*M$5)*(1+VMT_fee!P36*M$6)*(1+NOVMT!P36*M$7)*(1+Satellite!G36*M$8)*(1+ShareRide!G36*M$9)*(1+Pricing!R37*M$10)</f>
        <v>0.99980757142857146</v>
      </c>
    </row>
    <row r="36" spans="1:7" x14ac:dyDescent="0.25">
      <c r="A36" s="104">
        <f t="shared" si="1"/>
        <v>33</v>
      </c>
      <c r="B36" s="104">
        <f t="shared" si="1"/>
        <v>2050</v>
      </c>
      <c r="C36" s="17">
        <f>(1+RideSource!C39*I$4)*(1+Curb!J37*I$5)*(1+VMT_fee!L37*I$6)*(1+NOVMT!L37*I$7)*(1+Satellite!C37*I$8)*(1+ShareRide!C37*I$9)*(1+Pricing!N38*I$10)</f>
        <v>0.86408135368090799</v>
      </c>
      <c r="D36" s="17">
        <f>(1+RideSource!D39*J$4)*(1+Curb!K37*J$5)*(1+VMT_fee!M37*J$6)*(1+NOVMT!M37*J$7)*(1+Satellite!D37*J$8)*(1+ShareRide!D37*J$9)*(1+Pricing!O38*J$10)</f>
        <v>0.90141216391836732</v>
      </c>
      <c r="E36" s="17">
        <f>(1+RideSource!E39*K$4)*(1+Curb!L37*K$5)*(1+VMT_fee!N37*K$6)*(1+NOVMT!N37*K$7)*(1+Satellite!E37*K$8)*(1+ShareRide!E37*K$9)*(1+Pricing!P38*K$10)</f>
        <v>0.96352741866193736</v>
      </c>
      <c r="F36" s="17">
        <f>(1+RideSource!F39*L$4)*(1+Curb!M37*L$5)*(1+VMT_fee!O37*L$6)*(1+NOVMT!O37*L$7)*(1+Satellite!F37*L$8)*(1+ShareRide!F37*L$9)*(1+Pricing!Q38*L$10)</f>
        <v>0.99743428571428572</v>
      </c>
      <c r="G36" s="17">
        <f>(1+RideSource!G39*M$4)*(1+Curb!N37*M$5)*(1+VMT_fee!P37*M$6)*(1+NOVMT!P37*M$7)*(1+Satellite!G37*M$8)*(1+ShareRide!G37*M$9)*(1+Pricing!R38*M$10)</f>
        <v>0.99980757142857146</v>
      </c>
    </row>
    <row r="37" spans="1:7" x14ac:dyDescent="0.25">
      <c r="A37" s="104">
        <f t="shared" si="1"/>
        <v>34</v>
      </c>
      <c r="B37" s="104">
        <f t="shared" si="1"/>
        <v>2051</v>
      </c>
      <c r="C37" s="17">
        <f>(1+RideSource!C40*I$4)*(1+Curb!J38*I$5)*(1+VMT_fee!L38*I$6)*(1+NOVMT!L38*I$7)*(1+Satellite!C38*I$8)*(1+ShareRide!C38*I$9)*(1+Pricing!N39*I$10)</f>
        <v>0.86408135368090799</v>
      </c>
      <c r="D37" s="17">
        <f>(1+RideSource!D40*J$4)*(1+Curb!K38*J$5)*(1+VMT_fee!M38*J$6)*(1+NOVMT!M38*J$7)*(1+Satellite!D38*J$8)*(1+ShareRide!D38*J$9)*(1+Pricing!O39*J$10)</f>
        <v>0.90141216391836732</v>
      </c>
      <c r="E37" s="17">
        <f>(1+RideSource!E40*K$4)*(1+Curb!L38*K$5)*(1+VMT_fee!N38*K$6)*(1+NOVMT!N38*K$7)*(1+Satellite!E38*K$8)*(1+ShareRide!E38*K$9)*(1+Pricing!P39*K$10)</f>
        <v>0.96352741866193736</v>
      </c>
      <c r="F37" s="17">
        <f>(1+RideSource!F40*L$4)*(1+Curb!M38*L$5)*(1+VMT_fee!O38*L$6)*(1+NOVMT!O38*L$7)*(1+Satellite!F38*L$8)*(1+ShareRide!F38*L$9)*(1+Pricing!Q39*L$10)</f>
        <v>0.99743428571428572</v>
      </c>
      <c r="G37" s="17">
        <f>(1+RideSource!G40*M$4)*(1+Curb!N38*M$5)*(1+VMT_fee!P38*M$6)*(1+NOVMT!P38*M$7)*(1+Satellite!G38*M$8)*(1+ShareRide!G38*M$9)*(1+Pricing!R39*M$10)</f>
        <v>0.99980757142857146</v>
      </c>
    </row>
    <row r="38" spans="1:7" x14ac:dyDescent="0.25">
      <c r="A38" s="104">
        <f t="shared" ref="A38:B53" si="2">A37+1</f>
        <v>35</v>
      </c>
      <c r="B38" s="104">
        <f t="shared" si="2"/>
        <v>2052</v>
      </c>
      <c r="C38" s="17">
        <f>(1+RideSource!C41*I$4)*(1+Curb!J39*I$5)*(1+VMT_fee!L39*I$6)*(1+NOVMT!L39*I$7)*(1+Satellite!C39*I$8)*(1+ShareRide!C39*I$9)*(1+Pricing!N40*I$10)</f>
        <v>0.86408135368090799</v>
      </c>
      <c r="D38" s="17">
        <f>(1+RideSource!D41*J$4)*(1+Curb!K39*J$5)*(1+VMT_fee!M39*J$6)*(1+NOVMT!M39*J$7)*(1+Satellite!D39*J$8)*(1+ShareRide!D39*J$9)*(1+Pricing!O40*J$10)</f>
        <v>0.90141216391836732</v>
      </c>
      <c r="E38" s="17">
        <f>(1+RideSource!E41*K$4)*(1+Curb!L39*K$5)*(1+VMT_fee!N39*K$6)*(1+NOVMT!N39*K$7)*(1+Satellite!E39*K$8)*(1+ShareRide!E39*K$9)*(1+Pricing!P40*K$10)</f>
        <v>0.96352741866193736</v>
      </c>
      <c r="F38" s="17">
        <f>(1+RideSource!F41*L$4)*(1+Curb!M39*L$5)*(1+VMT_fee!O39*L$6)*(1+NOVMT!O39*L$7)*(1+Satellite!F39*L$8)*(1+ShareRide!F39*L$9)*(1+Pricing!Q40*L$10)</f>
        <v>0.99743428571428572</v>
      </c>
      <c r="G38" s="17">
        <f>(1+RideSource!G41*M$4)*(1+Curb!N39*M$5)*(1+VMT_fee!P39*M$6)*(1+NOVMT!P39*M$7)*(1+Satellite!G39*M$8)*(1+ShareRide!G39*M$9)*(1+Pricing!R40*M$10)</f>
        <v>0.99980757142857146</v>
      </c>
    </row>
    <row r="39" spans="1:7" x14ac:dyDescent="0.25">
      <c r="A39" s="104">
        <f t="shared" si="2"/>
        <v>36</v>
      </c>
      <c r="B39" s="104">
        <f t="shared" si="2"/>
        <v>2053</v>
      </c>
      <c r="C39" s="17">
        <f>(1+RideSource!C42*I$4)*(1+Curb!J40*I$5)*(1+VMT_fee!L40*I$6)*(1+NOVMT!L40*I$7)*(1+Satellite!C40*I$8)*(1+ShareRide!C40*I$9)*(1+Pricing!N41*I$10)</f>
        <v>0.86408135368090799</v>
      </c>
      <c r="D39" s="17">
        <f>(1+RideSource!D42*J$4)*(1+Curb!K40*J$5)*(1+VMT_fee!M40*J$6)*(1+NOVMT!M40*J$7)*(1+Satellite!D40*J$8)*(1+ShareRide!D40*J$9)*(1+Pricing!O41*J$10)</f>
        <v>0.90141216391836732</v>
      </c>
      <c r="E39" s="17">
        <f>(1+RideSource!E42*K$4)*(1+Curb!L40*K$5)*(1+VMT_fee!N40*K$6)*(1+NOVMT!N40*K$7)*(1+Satellite!E40*K$8)*(1+ShareRide!E40*K$9)*(1+Pricing!P41*K$10)</f>
        <v>0.96352741866193736</v>
      </c>
      <c r="F39" s="17">
        <f>(1+RideSource!F42*L$4)*(1+Curb!M40*L$5)*(1+VMT_fee!O40*L$6)*(1+NOVMT!O40*L$7)*(1+Satellite!F40*L$8)*(1+ShareRide!F40*L$9)*(1+Pricing!Q41*L$10)</f>
        <v>0.99743428571428572</v>
      </c>
      <c r="G39" s="17">
        <f>(1+RideSource!G42*M$4)*(1+Curb!N40*M$5)*(1+VMT_fee!P40*M$6)*(1+NOVMT!P40*M$7)*(1+Satellite!G40*M$8)*(1+ShareRide!G40*M$9)*(1+Pricing!R41*M$10)</f>
        <v>0.99980757142857146</v>
      </c>
    </row>
    <row r="40" spans="1:7" x14ac:dyDescent="0.25">
      <c r="A40" s="104">
        <f t="shared" si="2"/>
        <v>37</v>
      </c>
      <c r="B40" s="104">
        <f t="shared" si="2"/>
        <v>2054</v>
      </c>
      <c r="C40" s="17">
        <f>(1+RideSource!C43*I$4)*(1+Curb!J41*I$5)*(1+VMT_fee!L41*I$6)*(1+NOVMT!L41*I$7)*(1+Satellite!C41*I$8)*(1+ShareRide!C41*I$9)*(1+Pricing!N42*I$10)</f>
        <v>0.86408135368090799</v>
      </c>
      <c r="D40" s="17">
        <f>(1+RideSource!D43*J$4)*(1+Curb!K41*J$5)*(1+VMT_fee!M41*J$6)*(1+NOVMT!M41*J$7)*(1+Satellite!D41*J$8)*(1+ShareRide!D41*J$9)*(1+Pricing!O42*J$10)</f>
        <v>0.90141216391836732</v>
      </c>
      <c r="E40" s="17">
        <f>(1+RideSource!E43*K$4)*(1+Curb!L41*K$5)*(1+VMT_fee!N41*K$6)*(1+NOVMT!N41*K$7)*(1+Satellite!E41*K$8)*(1+ShareRide!E41*K$9)*(1+Pricing!P42*K$10)</f>
        <v>0.96352741866193736</v>
      </c>
      <c r="F40" s="17">
        <f>(1+RideSource!F43*L$4)*(1+Curb!M41*L$5)*(1+VMT_fee!O41*L$6)*(1+NOVMT!O41*L$7)*(1+Satellite!F41*L$8)*(1+ShareRide!F41*L$9)*(1+Pricing!Q42*L$10)</f>
        <v>0.99743428571428572</v>
      </c>
      <c r="G40" s="17">
        <f>(1+RideSource!G43*M$4)*(1+Curb!N41*M$5)*(1+VMT_fee!P41*M$6)*(1+NOVMT!P41*M$7)*(1+Satellite!G41*M$8)*(1+ShareRide!G41*M$9)*(1+Pricing!R42*M$10)</f>
        <v>0.99980757142857146</v>
      </c>
    </row>
    <row r="41" spans="1:7" x14ac:dyDescent="0.25">
      <c r="A41" s="104">
        <f t="shared" si="2"/>
        <v>38</v>
      </c>
      <c r="B41" s="104">
        <f t="shared" si="2"/>
        <v>2055</v>
      </c>
      <c r="C41" s="17">
        <f>(1+RideSource!C44*I$4)*(1+Curb!J42*I$5)*(1+VMT_fee!L42*I$6)*(1+NOVMT!L42*I$7)*(1+Satellite!C42*I$8)*(1+ShareRide!C42*I$9)*(1+Pricing!N43*I$10)</f>
        <v>0.86408135368090799</v>
      </c>
      <c r="D41" s="17">
        <f>(1+RideSource!D44*J$4)*(1+Curb!K42*J$5)*(1+VMT_fee!M42*J$6)*(1+NOVMT!M42*J$7)*(1+Satellite!D42*J$8)*(1+ShareRide!D42*J$9)*(1+Pricing!O43*J$10)</f>
        <v>0.90141216391836732</v>
      </c>
      <c r="E41" s="17">
        <f>(1+RideSource!E44*K$4)*(1+Curb!L42*K$5)*(1+VMT_fee!N42*K$6)*(1+NOVMT!N42*K$7)*(1+Satellite!E42*K$8)*(1+ShareRide!E42*K$9)*(1+Pricing!P43*K$10)</f>
        <v>0.96352741866193736</v>
      </c>
      <c r="F41" s="17">
        <f>(1+RideSource!F44*L$4)*(1+Curb!M42*L$5)*(1+VMT_fee!O42*L$6)*(1+NOVMT!O42*L$7)*(1+Satellite!F42*L$8)*(1+ShareRide!F42*L$9)*(1+Pricing!Q43*L$10)</f>
        <v>0.99743428571428572</v>
      </c>
      <c r="G41" s="17">
        <f>(1+RideSource!G44*M$4)*(1+Curb!N42*M$5)*(1+VMT_fee!P42*M$6)*(1+NOVMT!P42*M$7)*(1+Satellite!G42*M$8)*(1+ShareRide!G42*M$9)*(1+Pricing!R43*M$10)</f>
        <v>0.99980757142857146</v>
      </c>
    </row>
    <row r="42" spans="1:7" x14ac:dyDescent="0.25">
      <c r="A42" s="104">
        <f t="shared" si="2"/>
        <v>39</v>
      </c>
      <c r="B42" s="104">
        <f t="shared" si="2"/>
        <v>2056</v>
      </c>
      <c r="C42" s="17">
        <f>(1+RideSource!C45*I$4)*(1+Curb!J43*I$5)*(1+VMT_fee!L43*I$6)*(1+NOVMT!L43*I$7)*(1+Satellite!C43*I$8)*(1+ShareRide!C43*I$9)*(1+Pricing!N44*I$10)</f>
        <v>0.86408135368090799</v>
      </c>
      <c r="D42" s="17">
        <f>(1+RideSource!D45*J$4)*(1+Curb!K43*J$5)*(1+VMT_fee!M43*J$6)*(1+NOVMT!M43*J$7)*(1+Satellite!D43*J$8)*(1+ShareRide!D43*J$9)*(1+Pricing!O44*J$10)</f>
        <v>0.90141216391836732</v>
      </c>
      <c r="E42" s="17">
        <f>(1+RideSource!E45*K$4)*(1+Curb!L43*K$5)*(1+VMT_fee!N43*K$6)*(1+NOVMT!N43*K$7)*(1+Satellite!E43*K$8)*(1+ShareRide!E43*K$9)*(1+Pricing!P44*K$10)</f>
        <v>0.96352741866193736</v>
      </c>
      <c r="F42" s="17">
        <f>(1+RideSource!F45*L$4)*(1+Curb!M43*L$5)*(1+VMT_fee!O43*L$6)*(1+NOVMT!O43*L$7)*(1+Satellite!F43*L$8)*(1+ShareRide!F43*L$9)*(1+Pricing!Q44*L$10)</f>
        <v>0.99743428571428572</v>
      </c>
      <c r="G42" s="17">
        <f>(1+RideSource!G45*M$4)*(1+Curb!N43*M$5)*(1+VMT_fee!P43*M$6)*(1+NOVMT!P43*M$7)*(1+Satellite!G43*M$8)*(1+ShareRide!G43*M$9)*(1+Pricing!R44*M$10)</f>
        <v>0.99980757142857146</v>
      </c>
    </row>
    <row r="43" spans="1:7" x14ac:dyDescent="0.25">
      <c r="A43" s="104">
        <f t="shared" si="2"/>
        <v>40</v>
      </c>
      <c r="B43" s="104">
        <f t="shared" si="2"/>
        <v>2057</v>
      </c>
      <c r="C43" s="17">
        <f>(1+RideSource!C46*I$4)*(1+Curb!J44*I$5)*(1+VMT_fee!L44*I$6)*(1+NOVMT!L44*I$7)*(1+Satellite!C44*I$8)*(1+ShareRide!C44*I$9)*(1+Pricing!N45*I$10)</f>
        <v>0.86408135368090799</v>
      </c>
      <c r="D43" s="17">
        <f>(1+RideSource!D46*J$4)*(1+Curb!K44*J$5)*(1+VMT_fee!M44*J$6)*(1+NOVMT!M44*J$7)*(1+Satellite!D44*J$8)*(1+ShareRide!D44*J$9)*(1+Pricing!O45*J$10)</f>
        <v>0.90141216391836732</v>
      </c>
      <c r="E43" s="17">
        <f>(1+RideSource!E46*K$4)*(1+Curb!L44*K$5)*(1+VMT_fee!N44*K$6)*(1+NOVMT!N44*K$7)*(1+Satellite!E44*K$8)*(1+ShareRide!E44*K$9)*(1+Pricing!P45*K$10)</f>
        <v>0.96352741866193736</v>
      </c>
      <c r="F43" s="17">
        <f>(1+RideSource!F46*L$4)*(1+Curb!M44*L$5)*(1+VMT_fee!O44*L$6)*(1+NOVMT!O44*L$7)*(1+Satellite!F44*L$8)*(1+ShareRide!F44*L$9)*(1+Pricing!Q45*L$10)</f>
        <v>0.99743428571428572</v>
      </c>
      <c r="G43" s="17">
        <f>(1+RideSource!G46*M$4)*(1+Curb!N44*M$5)*(1+VMT_fee!P44*M$6)*(1+NOVMT!P44*M$7)*(1+Satellite!G44*M$8)*(1+ShareRide!G44*M$9)*(1+Pricing!R45*M$10)</f>
        <v>0.99980757142857146</v>
      </c>
    </row>
    <row r="44" spans="1:7" x14ac:dyDescent="0.25">
      <c r="A44" s="104">
        <f t="shared" si="2"/>
        <v>41</v>
      </c>
      <c r="B44" s="104">
        <f t="shared" si="2"/>
        <v>2058</v>
      </c>
      <c r="C44" s="17">
        <f>(1+RideSource!C47*I$4)*(1+Curb!J45*I$5)*(1+VMT_fee!L45*I$6)*(1+NOVMT!L45*I$7)*(1+Satellite!C45*I$8)*(1+ShareRide!C45*I$9)*(1+Pricing!N46*I$10)</f>
        <v>0.86408135368090799</v>
      </c>
      <c r="D44" s="17">
        <f>(1+RideSource!D47*J$4)*(1+Curb!K45*J$5)*(1+VMT_fee!M45*J$6)*(1+NOVMT!M45*J$7)*(1+Satellite!D45*J$8)*(1+ShareRide!D45*J$9)*(1+Pricing!O46*J$10)</f>
        <v>0.90141216391836732</v>
      </c>
      <c r="E44" s="17">
        <f>(1+RideSource!E47*K$4)*(1+Curb!L45*K$5)*(1+VMT_fee!N45*K$6)*(1+NOVMT!N45*K$7)*(1+Satellite!E45*K$8)*(1+ShareRide!E45*K$9)*(1+Pricing!P46*K$10)</f>
        <v>0.96352741866193736</v>
      </c>
      <c r="F44" s="17">
        <f>(1+RideSource!F47*L$4)*(1+Curb!M45*L$5)*(1+VMT_fee!O45*L$6)*(1+NOVMT!O45*L$7)*(1+Satellite!F45*L$8)*(1+ShareRide!F45*L$9)*(1+Pricing!Q46*L$10)</f>
        <v>0.99743428571428572</v>
      </c>
      <c r="G44" s="17">
        <f>(1+RideSource!G47*M$4)*(1+Curb!N45*M$5)*(1+VMT_fee!P45*M$6)*(1+NOVMT!P45*M$7)*(1+Satellite!G45*M$8)*(1+ShareRide!G45*M$9)*(1+Pricing!R46*M$10)</f>
        <v>0.99980757142857146</v>
      </c>
    </row>
    <row r="45" spans="1:7" x14ac:dyDescent="0.25">
      <c r="A45" s="104">
        <f t="shared" si="2"/>
        <v>42</v>
      </c>
      <c r="B45" s="104">
        <f t="shared" si="2"/>
        <v>2059</v>
      </c>
      <c r="C45" s="17">
        <f>(1+RideSource!C48*I$4)*(1+Curb!J46*I$5)*(1+VMT_fee!L46*I$6)*(1+NOVMT!L46*I$7)*(1+Satellite!C46*I$8)*(1+ShareRide!C46*I$9)*(1+Pricing!N47*I$10)</f>
        <v>0.86408135368090799</v>
      </c>
      <c r="D45" s="17">
        <f>(1+RideSource!D48*J$4)*(1+Curb!K46*J$5)*(1+VMT_fee!M46*J$6)*(1+NOVMT!M46*J$7)*(1+Satellite!D46*J$8)*(1+ShareRide!D46*J$9)*(1+Pricing!O47*J$10)</f>
        <v>0.90141216391836732</v>
      </c>
      <c r="E45" s="17">
        <f>(1+RideSource!E48*K$4)*(1+Curb!L46*K$5)*(1+VMT_fee!N46*K$6)*(1+NOVMT!N46*K$7)*(1+Satellite!E46*K$8)*(1+ShareRide!E46*K$9)*(1+Pricing!P47*K$10)</f>
        <v>0.96352741866193736</v>
      </c>
      <c r="F45" s="17">
        <f>(1+RideSource!F48*L$4)*(1+Curb!M46*L$5)*(1+VMT_fee!O46*L$6)*(1+NOVMT!O46*L$7)*(1+Satellite!F46*L$8)*(1+ShareRide!F46*L$9)*(1+Pricing!Q47*L$10)</f>
        <v>0.99743428571428572</v>
      </c>
      <c r="G45" s="17">
        <f>(1+RideSource!G48*M$4)*(1+Curb!N46*M$5)*(1+VMT_fee!P46*M$6)*(1+NOVMT!P46*M$7)*(1+Satellite!G46*M$8)*(1+ShareRide!G46*M$9)*(1+Pricing!R47*M$10)</f>
        <v>0.99980757142857146</v>
      </c>
    </row>
    <row r="46" spans="1:7" x14ac:dyDescent="0.25">
      <c r="A46" s="104">
        <f t="shared" si="2"/>
        <v>43</v>
      </c>
      <c r="B46" s="104">
        <f t="shared" si="2"/>
        <v>2060</v>
      </c>
      <c r="C46" s="17">
        <f>(1+RideSource!C49*I$4)*(1+Curb!J47*I$5)*(1+VMT_fee!L47*I$6)*(1+NOVMT!L47*I$7)*(1+Satellite!C47*I$8)*(1+ShareRide!C47*I$9)*(1+Pricing!N48*I$10)</f>
        <v>0.86408135368090799</v>
      </c>
      <c r="D46" s="17">
        <f>(1+RideSource!D49*J$4)*(1+Curb!K47*J$5)*(1+VMT_fee!M47*J$6)*(1+NOVMT!M47*J$7)*(1+Satellite!D47*J$8)*(1+ShareRide!D47*J$9)*(1+Pricing!O48*J$10)</f>
        <v>0.90141216391836732</v>
      </c>
      <c r="E46" s="17">
        <f>(1+RideSource!E49*K$4)*(1+Curb!L47*K$5)*(1+VMT_fee!N47*K$6)*(1+NOVMT!N47*K$7)*(1+Satellite!E47*K$8)*(1+ShareRide!E47*K$9)*(1+Pricing!P48*K$10)</f>
        <v>0.96352741866193736</v>
      </c>
      <c r="F46" s="17">
        <f>(1+RideSource!F49*L$4)*(1+Curb!M47*L$5)*(1+VMT_fee!O47*L$6)*(1+NOVMT!O47*L$7)*(1+Satellite!F47*L$8)*(1+ShareRide!F47*L$9)*(1+Pricing!Q48*L$10)</f>
        <v>0.99743428571428572</v>
      </c>
      <c r="G46" s="17">
        <f>(1+RideSource!G49*M$4)*(1+Curb!N47*M$5)*(1+VMT_fee!P47*M$6)*(1+NOVMT!P47*M$7)*(1+Satellite!G47*M$8)*(1+ShareRide!G47*M$9)*(1+Pricing!R48*M$10)</f>
        <v>0.99980757142857146</v>
      </c>
    </row>
    <row r="47" spans="1:7" x14ac:dyDescent="0.25">
      <c r="A47" s="104">
        <f t="shared" si="2"/>
        <v>44</v>
      </c>
      <c r="B47" s="104">
        <f t="shared" si="2"/>
        <v>2061</v>
      </c>
      <c r="C47" s="17">
        <f>(1+RideSource!C50*I$4)*(1+Curb!J48*I$5)*(1+VMT_fee!L48*I$6)*(1+NOVMT!L48*I$7)*(1+Satellite!C48*I$8)*(1+ShareRide!C48*I$9)*(1+Pricing!N49*I$10)</f>
        <v>0.86408135368090799</v>
      </c>
      <c r="D47" s="17">
        <f>(1+RideSource!D50*J$4)*(1+Curb!K48*J$5)*(1+VMT_fee!M48*J$6)*(1+NOVMT!M48*J$7)*(1+Satellite!D48*J$8)*(1+ShareRide!D48*J$9)*(1+Pricing!O49*J$10)</f>
        <v>0.90141216391836732</v>
      </c>
      <c r="E47" s="17">
        <f>(1+RideSource!E50*K$4)*(1+Curb!L48*K$5)*(1+VMT_fee!N48*K$6)*(1+NOVMT!N48*K$7)*(1+Satellite!E48*K$8)*(1+ShareRide!E48*K$9)*(1+Pricing!P49*K$10)</f>
        <v>0.96352741866193736</v>
      </c>
      <c r="F47" s="17">
        <f>(1+RideSource!F50*L$4)*(1+Curb!M48*L$5)*(1+VMT_fee!O48*L$6)*(1+NOVMT!O48*L$7)*(1+Satellite!F48*L$8)*(1+ShareRide!F48*L$9)*(1+Pricing!Q49*L$10)</f>
        <v>0.99743428571428572</v>
      </c>
      <c r="G47" s="17">
        <f>(1+RideSource!G50*M$4)*(1+Curb!N48*M$5)*(1+VMT_fee!P48*M$6)*(1+NOVMT!P48*M$7)*(1+Satellite!G48*M$8)*(1+ShareRide!G48*M$9)*(1+Pricing!R49*M$10)</f>
        <v>0.99980757142857146</v>
      </c>
    </row>
    <row r="48" spans="1:7" x14ac:dyDescent="0.25">
      <c r="A48" s="104">
        <f t="shared" si="2"/>
        <v>45</v>
      </c>
      <c r="B48" s="104">
        <f t="shared" si="2"/>
        <v>2062</v>
      </c>
      <c r="C48" s="17">
        <f>(1+RideSource!C51*I$4)*(1+Curb!J49*I$5)*(1+VMT_fee!L49*I$6)*(1+NOVMT!L49*I$7)*(1+Satellite!C49*I$8)*(1+ShareRide!C49*I$9)*(1+Pricing!N50*I$10)</f>
        <v>0.86408135368090799</v>
      </c>
      <c r="D48" s="17">
        <f>(1+RideSource!D51*J$4)*(1+Curb!K49*J$5)*(1+VMT_fee!M49*J$6)*(1+NOVMT!M49*J$7)*(1+Satellite!D49*J$8)*(1+ShareRide!D49*J$9)*(1+Pricing!O50*J$10)</f>
        <v>0.90141216391836732</v>
      </c>
      <c r="E48" s="17">
        <f>(1+RideSource!E51*K$4)*(1+Curb!L49*K$5)*(1+VMT_fee!N49*K$6)*(1+NOVMT!N49*K$7)*(1+Satellite!E49*K$8)*(1+ShareRide!E49*K$9)*(1+Pricing!P50*K$10)</f>
        <v>0.96352741866193736</v>
      </c>
      <c r="F48" s="17">
        <f>(1+RideSource!F51*L$4)*(1+Curb!M49*L$5)*(1+VMT_fee!O49*L$6)*(1+NOVMT!O49*L$7)*(1+Satellite!F49*L$8)*(1+ShareRide!F49*L$9)*(1+Pricing!Q50*L$10)</f>
        <v>0.99743428571428572</v>
      </c>
      <c r="G48" s="17">
        <f>(1+RideSource!G51*M$4)*(1+Curb!N49*M$5)*(1+VMT_fee!P49*M$6)*(1+NOVMT!P49*M$7)*(1+Satellite!G49*M$8)*(1+ShareRide!G49*M$9)*(1+Pricing!R50*M$10)</f>
        <v>0.99980757142857146</v>
      </c>
    </row>
    <row r="49" spans="1:7" x14ac:dyDescent="0.25">
      <c r="A49" s="104">
        <f t="shared" si="2"/>
        <v>46</v>
      </c>
      <c r="B49" s="104">
        <f t="shared" si="2"/>
        <v>2063</v>
      </c>
      <c r="C49" s="17">
        <f>(1+RideSource!C52*I$4)*(1+Curb!J50*I$5)*(1+VMT_fee!L50*I$6)*(1+NOVMT!L50*I$7)*(1+Satellite!C50*I$8)*(1+ShareRide!C50*I$9)*(1+Pricing!N51*I$10)</f>
        <v>0.86408135368090799</v>
      </c>
      <c r="D49" s="17">
        <f>(1+RideSource!D52*J$4)*(1+Curb!K50*J$5)*(1+VMT_fee!M50*J$6)*(1+NOVMT!M50*J$7)*(1+Satellite!D50*J$8)*(1+ShareRide!D50*J$9)*(1+Pricing!O51*J$10)</f>
        <v>0.90141216391836732</v>
      </c>
      <c r="E49" s="17">
        <f>(1+RideSource!E52*K$4)*(1+Curb!L50*K$5)*(1+VMT_fee!N50*K$6)*(1+NOVMT!N50*K$7)*(1+Satellite!E50*K$8)*(1+ShareRide!E50*K$9)*(1+Pricing!P51*K$10)</f>
        <v>0.96352741866193736</v>
      </c>
      <c r="F49" s="17">
        <f>(1+RideSource!F52*L$4)*(1+Curb!M50*L$5)*(1+VMT_fee!O50*L$6)*(1+NOVMT!O50*L$7)*(1+Satellite!F50*L$8)*(1+ShareRide!F50*L$9)*(1+Pricing!Q51*L$10)</f>
        <v>0.99743428571428572</v>
      </c>
      <c r="G49" s="17">
        <f>(1+RideSource!G52*M$4)*(1+Curb!N50*M$5)*(1+VMT_fee!P50*M$6)*(1+NOVMT!P50*M$7)*(1+Satellite!G50*M$8)*(1+ShareRide!G50*M$9)*(1+Pricing!R51*M$10)</f>
        <v>0.99980757142857146</v>
      </c>
    </row>
    <row r="50" spans="1:7" x14ac:dyDescent="0.25">
      <c r="A50" s="104">
        <f t="shared" si="2"/>
        <v>47</v>
      </c>
      <c r="B50" s="104">
        <f t="shared" si="2"/>
        <v>2064</v>
      </c>
      <c r="C50" s="17">
        <f>(1+RideSource!C53*I$4)*(1+Curb!J51*I$5)*(1+VMT_fee!L51*I$6)*(1+NOVMT!L51*I$7)*(1+Satellite!C51*I$8)*(1+ShareRide!C51*I$9)*(1+Pricing!N52*I$10)</f>
        <v>0.86408135368090799</v>
      </c>
      <c r="D50" s="17">
        <f>(1+RideSource!D53*J$4)*(1+Curb!K51*J$5)*(1+VMT_fee!M51*J$6)*(1+NOVMT!M51*J$7)*(1+Satellite!D51*J$8)*(1+ShareRide!D51*J$9)*(1+Pricing!O52*J$10)</f>
        <v>0.90141216391836732</v>
      </c>
      <c r="E50" s="17">
        <f>(1+RideSource!E53*K$4)*(1+Curb!L51*K$5)*(1+VMT_fee!N51*K$6)*(1+NOVMT!N51*K$7)*(1+Satellite!E51*K$8)*(1+ShareRide!E51*K$9)*(1+Pricing!P52*K$10)</f>
        <v>0.96352741866193736</v>
      </c>
      <c r="F50" s="17">
        <f>(1+RideSource!F53*L$4)*(1+Curb!M51*L$5)*(1+VMT_fee!O51*L$6)*(1+NOVMT!O51*L$7)*(1+Satellite!F51*L$8)*(1+ShareRide!F51*L$9)*(1+Pricing!Q52*L$10)</f>
        <v>0.99743428571428572</v>
      </c>
      <c r="G50" s="17">
        <f>(1+RideSource!G53*M$4)*(1+Curb!N51*M$5)*(1+VMT_fee!P51*M$6)*(1+NOVMT!P51*M$7)*(1+Satellite!G51*M$8)*(1+ShareRide!G51*M$9)*(1+Pricing!R52*M$10)</f>
        <v>0.99980757142857146</v>
      </c>
    </row>
    <row r="51" spans="1:7" x14ac:dyDescent="0.25">
      <c r="A51" s="104">
        <f t="shared" si="2"/>
        <v>48</v>
      </c>
      <c r="B51" s="104">
        <f t="shared" si="2"/>
        <v>2065</v>
      </c>
      <c r="C51" s="17">
        <f>(1+RideSource!C54*I$4)*(1+Curb!J52*I$5)*(1+VMT_fee!L52*I$6)*(1+NOVMT!L52*I$7)*(1+Satellite!C52*I$8)*(1+ShareRide!C52*I$9)*(1+Pricing!N53*I$10)</f>
        <v>0.86408135368090799</v>
      </c>
      <c r="D51" s="17">
        <f>(1+RideSource!D54*J$4)*(1+Curb!K52*J$5)*(1+VMT_fee!M52*J$6)*(1+NOVMT!M52*J$7)*(1+Satellite!D52*J$8)*(1+ShareRide!D52*J$9)*(1+Pricing!O53*J$10)</f>
        <v>0.90141216391836732</v>
      </c>
      <c r="E51" s="17">
        <f>(1+RideSource!E54*K$4)*(1+Curb!L52*K$5)*(1+VMT_fee!N52*K$6)*(1+NOVMT!N52*K$7)*(1+Satellite!E52*K$8)*(1+ShareRide!E52*K$9)*(1+Pricing!P53*K$10)</f>
        <v>0.96352741866193736</v>
      </c>
      <c r="F51" s="17">
        <f>(1+RideSource!F54*L$4)*(1+Curb!M52*L$5)*(1+VMT_fee!O52*L$6)*(1+NOVMT!O52*L$7)*(1+Satellite!F52*L$8)*(1+ShareRide!F52*L$9)*(1+Pricing!Q53*L$10)</f>
        <v>0.99743428571428572</v>
      </c>
      <c r="G51" s="17">
        <f>(1+RideSource!G54*M$4)*(1+Curb!N52*M$5)*(1+VMT_fee!P52*M$6)*(1+NOVMT!P52*M$7)*(1+Satellite!G52*M$8)*(1+ShareRide!G52*M$9)*(1+Pricing!R53*M$10)</f>
        <v>0.99980757142857146</v>
      </c>
    </row>
    <row r="52" spans="1:7" x14ac:dyDescent="0.25">
      <c r="A52" s="104">
        <f t="shared" si="2"/>
        <v>49</v>
      </c>
      <c r="B52" s="104">
        <f t="shared" si="2"/>
        <v>2066</v>
      </c>
      <c r="C52" s="17">
        <f>(1+RideSource!C55*I$4)*(1+Curb!J53*I$5)*(1+VMT_fee!L53*I$6)*(1+NOVMT!L53*I$7)*(1+Satellite!C53*I$8)*(1+ShareRide!C53*I$9)*(1+Pricing!N54*I$10)</f>
        <v>0.86408135368090799</v>
      </c>
      <c r="D52" s="17">
        <f>(1+RideSource!D55*J$4)*(1+Curb!K53*J$5)*(1+VMT_fee!M53*J$6)*(1+NOVMT!M53*J$7)*(1+Satellite!D53*J$8)*(1+ShareRide!D53*J$9)*(1+Pricing!O54*J$10)</f>
        <v>0.90141216391836732</v>
      </c>
      <c r="E52" s="17">
        <f>(1+RideSource!E55*K$4)*(1+Curb!L53*K$5)*(1+VMT_fee!N53*K$6)*(1+NOVMT!N53*K$7)*(1+Satellite!E53*K$8)*(1+ShareRide!E53*K$9)*(1+Pricing!P54*K$10)</f>
        <v>0.96352741866193736</v>
      </c>
      <c r="F52" s="17">
        <f>(1+RideSource!F55*L$4)*(1+Curb!M53*L$5)*(1+VMT_fee!O53*L$6)*(1+NOVMT!O53*L$7)*(1+Satellite!F53*L$8)*(1+ShareRide!F53*L$9)*(1+Pricing!Q54*L$10)</f>
        <v>0.99743428571428572</v>
      </c>
      <c r="G52" s="17">
        <f>(1+RideSource!G55*M$4)*(1+Curb!N53*M$5)*(1+VMT_fee!P53*M$6)*(1+NOVMT!P53*M$7)*(1+Satellite!G53*M$8)*(1+ShareRide!G53*M$9)*(1+Pricing!R54*M$10)</f>
        <v>0.99980757142857146</v>
      </c>
    </row>
    <row r="53" spans="1:7" x14ac:dyDescent="0.25">
      <c r="A53" s="104">
        <f t="shared" si="2"/>
        <v>50</v>
      </c>
      <c r="B53" s="104">
        <f t="shared" si="2"/>
        <v>2067</v>
      </c>
      <c r="C53" s="17">
        <f>(1+RideSource!C56*I$4)*(1+Curb!J54*I$5)*(1+VMT_fee!L54*I$6)*(1+NOVMT!L54*I$7)*(1+Satellite!C54*I$8)*(1+ShareRide!C54*I$9)*(1+Pricing!N55*I$10)</f>
        <v>0.86408135368090799</v>
      </c>
      <c r="D53" s="17">
        <f>(1+RideSource!D56*J$4)*(1+Curb!K54*J$5)*(1+VMT_fee!M54*J$6)*(1+NOVMT!M54*J$7)*(1+Satellite!D54*J$8)*(1+ShareRide!D54*J$9)*(1+Pricing!O55*J$10)</f>
        <v>0.90141216391836732</v>
      </c>
      <c r="E53" s="17">
        <f>(1+RideSource!E56*K$4)*(1+Curb!L54*K$5)*(1+VMT_fee!N54*K$6)*(1+NOVMT!N54*K$7)*(1+Satellite!E54*K$8)*(1+ShareRide!E54*K$9)*(1+Pricing!P55*K$10)</f>
        <v>0.96352741866193736</v>
      </c>
      <c r="F53" s="17">
        <f>(1+RideSource!F56*L$4)*(1+Curb!M54*L$5)*(1+VMT_fee!O54*L$6)*(1+NOVMT!O54*L$7)*(1+Satellite!F54*L$8)*(1+ShareRide!F54*L$9)*(1+Pricing!Q55*L$10)</f>
        <v>0.99743428571428572</v>
      </c>
      <c r="G53" s="17">
        <f>(1+RideSource!G56*M$4)*(1+Curb!N54*M$5)*(1+VMT_fee!P54*M$6)*(1+NOVMT!P54*M$7)*(1+Satellite!G54*M$8)*(1+ShareRide!G54*M$9)*(1+Pricing!R55*M$10)</f>
        <v>0.99980757142857146</v>
      </c>
    </row>
    <row r="54" spans="1:7" x14ac:dyDescent="0.25">
      <c r="A54" s="104">
        <f t="shared" ref="A54:B56" si="3">A53+1</f>
        <v>51</v>
      </c>
      <c r="B54" s="104">
        <f t="shared" si="3"/>
        <v>2068</v>
      </c>
      <c r="C54" s="17">
        <f>(1+RideSource!C57*I$4)*(1+Curb!J55*I$5)*(1+VMT_fee!L55*I$6)*(1+NOVMT!L55*I$7)*(1+Satellite!C55*I$8)*(1+ShareRide!C55*I$9)*(1+Pricing!N56*I$10)</f>
        <v>0.86408135368090799</v>
      </c>
      <c r="D54" s="17">
        <f>(1+RideSource!D57*J$4)*(1+Curb!K55*J$5)*(1+VMT_fee!M55*J$6)*(1+NOVMT!M55*J$7)*(1+Satellite!D55*J$8)*(1+ShareRide!D55*J$9)*(1+Pricing!O56*J$10)</f>
        <v>0.90141216391836732</v>
      </c>
      <c r="E54" s="17">
        <f>(1+RideSource!E57*K$4)*(1+Curb!L55*K$5)*(1+VMT_fee!N55*K$6)*(1+NOVMT!N55*K$7)*(1+Satellite!E55*K$8)*(1+ShareRide!E55*K$9)*(1+Pricing!P56*K$10)</f>
        <v>0.96352741866193736</v>
      </c>
      <c r="F54" s="17">
        <f>(1+RideSource!F57*L$4)*(1+Curb!M55*L$5)*(1+VMT_fee!O55*L$6)*(1+NOVMT!O55*L$7)*(1+Satellite!F55*L$8)*(1+ShareRide!F55*L$9)*(1+Pricing!Q56*L$10)</f>
        <v>0.99743428571428572</v>
      </c>
      <c r="G54" s="17">
        <f>(1+RideSource!G57*M$4)*(1+Curb!N55*M$5)*(1+VMT_fee!P55*M$6)*(1+NOVMT!P55*M$7)*(1+Satellite!G55*M$8)*(1+ShareRide!G55*M$9)*(1+Pricing!R56*M$10)</f>
        <v>0.99980757142857146</v>
      </c>
    </row>
    <row r="55" spans="1:7" x14ac:dyDescent="0.25">
      <c r="A55" s="104">
        <f t="shared" si="3"/>
        <v>52</v>
      </c>
      <c r="B55" s="104">
        <f t="shared" si="3"/>
        <v>2069</v>
      </c>
      <c r="C55" s="17">
        <f>(1+RideSource!C58*I$4)*(1+Curb!J56*I$5)*(1+VMT_fee!L56*I$6)*(1+NOVMT!L56*I$7)*(1+Satellite!C56*I$8)*(1+ShareRide!C56*I$9)*(1+Pricing!N57*I$10)</f>
        <v>0.86408135368090799</v>
      </c>
      <c r="D55" s="17">
        <f>(1+RideSource!D58*J$4)*(1+Curb!K56*J$5)*(1+VMT_fee!M56*J$6)*(1+NOVMT!M56*J$7)*(1+Satellite!D56*J$8)*(1+ShareRide!D56*J$9)*(1+Pricing!O57*J$10)</f>
        <v>0.90141216391836732</v>
      </c>
      <c r="E55" s="17">
        <f>(1+RideSource!E58*K$4)*(1+Curb!L56*K$5)*(1+VMT_fee!N56*K$6)*(1+NOVMT!N56*K$7)*(1+Satellite!E56*K$8)*(1+ShareRide!E56*K$9)*(1+Pricing!P57*K$10)</f>
        <v>0.96352741866193736</v>
      </c>
      <c r="F55" s="17">
        <f>(1+RideSource!F58*L$4)*(1+Curb!M56*L$5)*(1+VMT_fee!O56*L$6)*(1+NOVMT!O56*L$7)*(1+Satellite!F56*L$8)*(1+ShareRide!F56*L$9)*(1+Pricing!Q57*L$10)</f>
        <v>0.99743428571428572</v>
      </c>
      <c r="G55" s="17">
        <f>(1+RideSource!G58*M$4)*(1+Curb!N56*M$5)*(1+VMT_fee!P56*M$6)*(1+NOVMT!P56*M$7)*(1+Satellite!G56*M$8)*(1+ShareRide!G56*M$9)*(1+Pricing!R57*M$10)</f>
        <v>0.99980757142857146</v>
      </c>
    </row>
    <row r="56" spans="1:7" x14ac:dyDescent="0.25">
      <c r="A56" s="104">
        <f t="shared" si="3"/>
        <v>53</v>
      </c>
      <c r="B56" s="104">
        <f t="shared" si="3"/>
        <v>2070</v>
      </c>
      <c r="C56" s="17">
        <f>(1+RideSource!C59*I$4)*(1+Curb!J57*I$5)*(1+VMT_fee!L57*I$6)*(1+NOVMT!L57*I$7)*(1+Satellite!C57*I$8)*(1+ShareRide!C57*I$9)*(1+Pricing!N58*I$10)</f>
        <v>0.86408135368090799</v>
      </c>
      <c r="D56" s="17">
        <f>(1+RideSource!D59*J$4)*(1+Curb!K57*J$5)*(1+VMT_fee!M57*J$6)*(1+NOVMT!M57*J$7)*(1+Satellite!D57*J$8)*(1+ShareRide!D57*J$9)*(1+Pricing!O58*J$10)</f>
        <v>0.90141216391836732</v>
      </c>
      <c r="E56" s="17">
        <f>(1+RideSource!E59*K$4)*(1+Curb!L57*K$5)*(1+VMT_fee!N57*K$6)*(1+NOVMT!N57*K$7)*(1+Satellite!E57*K$8)*(1+ShareRide!E57*K$9)*(1+Pricing!P58*K$10)</f>
        <v>0.96352741866193736</v>
      </c>
      <c r="F56" s="17">
        <f>(1+RideSource!F59*L$4)*(1+Curb!M57*L$5)*(1+VMT_fee!O57*L$6)*(1+NOVMT!O57*L$7)*(1+Satellite!F57*L$8)*(1+ShareRide!F57*L$9)*(1+Pricing!Q58*L$10)</f>
        <v>0.99743428571428572</v>
      </c>
      <c r="G56" s="17">
        <f>(1+RideSource!G59*M$4)*(1+Curb!N57*M$5)*(1+VMT_fee!P57*M$6)*(1+NOVMT!P57*M$7)*(1+Satellite!G57*M$8)*(1+ShareRide!G57*M$9)*(1+Pricing!R58*M$10)</f>
        <v>0.99980757142857146</v>
      </c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P56"/>
  <sheetViews>
    <sheetView workbookViewId="0">
      <selection activeCell="I4" sqref="I4"/>
    </sheetView>
  </sheetViews>
  <sheetFormatPr defaultRowHeight="15" x14ac:dyDescent="0.25"/>
  <cols>
    <col min="3" max="8" width="13.85546875" customWidth="1"/>
    <col min="9" max="9" width="12.5703125" bestFit="1" customWidth="1"/>
    <col min="10" max="11" width="12.85546875" customWidth="1"/>
    <col min="12" max="12" width="12.5703125" customWidth="1"/>
    <col min="13" max="13" width="14.28515625" bestFit="1" customWidth="1"/>
    <col min="14" max="14" width="11.7109375" customWidth="1"/>
    <col min="15" max="15" width="12.42578125" customWidth="1"/>
    <col min="16" max="16" width="12" customWidth="1"/>
  </cols>
  <sheetData>
    <row r="1" spans="1:16" x14ac:dyDescent="0.25">
      <c r="C1" s="172" t="s">
        <v>206</v>
      </c>
      <c r="D1" s="172"/>
      <c r="E1" s="172"/>
      <c r="F1" s="172"/>
      <c r="G1" s="172"/>
      <c r="H1" s="180"/>
    </row>
    <row r="2" spans="1:16" x14ac:dyDescent="0.25">
      <c r="C2" s="12" t="s">
        <v>217</v>
      </c>
      <c r="D2" s="27">
        <f>City!$B$10</f>
        <v>0.1</v>
      </c>
      <c r="E2" s="27">
        <f>City!$B$11</f>
        <v>0.25</v>
      </c>
      <c r="F2" s="27">
        <f>City!$B$12</f>
        <v>0.1</v>
      </c>
      <c r="G2" s="27">
        <f>City!$B$13</f>
        <v>0.4</v>
      </c>
      <c r="H2" s="119">
        <f>City!$B$14</f>
        <v>0.15</v>
      </c>
      <c r="I2" s="15"/>
      <c r="J2" s="15"/>
      <c r="K2" s="15"/>
      <c r="L2" s="104"/>
      <c r="M2" s="72"/>
      <c r="N2" s="72"/>
      <c r="O2" s="72"/>
      <c r="P2" s="72"/>
    </row>
    <row r="3" spans="1:16" ht="33" customHeight="1" x14ac:dyDescent="0.25">
      <c r="B3" s="101" t="s">
        <v>97</v>
      </c>
      <c r="C3" s="101" t="s">
        <v>115</v>
      </c>
      <c r="D3" s="101" t="str">
        <f>City!$A10</f>
        <v>Downtown</v>
      </c>
      <c r="E3" s="101" t="str">
        <f>City!$A11</f>
        <v>Urban</v>
      </c>
      <c r="F3" s="102" t="str">
        <f>City!$A12</f>
        <v>Suburban Business</v>
      </c>
      <c r="G3" s="102" t="str">
        <f>City!$A13</f>
        <v>Suburban Residential</v>
      </c>
      <c r="H3" s="105" t="str">
        <f>City!$A14</f>
        <v>Rural</v>
      </c>
      <c r="I3" s="101" t="s">
        <v>228</v>
      </c>
      <c r="J3" s="101" t="s">
        <v>229</v>
      </c>
      <c r="K3" s="114" t="s">
        <v>233</v>
      </c>
      <c r="L3" s="101" t="str">
        <f>City!$A10</f>
        <v>Downtown</v>
      </c>
      <c r="M3" s="101" t="str">
        <f>City!$A11</f>
        <v>Urban</v>
      </c>
      <c r="N3" s="102" t="str">
        <f>City!$A12</f>
        <v>Suburban Business</v>
      </c>
      <c r="O3" s="102" t="str">
        <f>City!$A13</f>
        <v>Suburban Residential</v>
      </c>
      <c r="P3" s="105" t="str">
        <f>City!$A14</f>
        <v>Rural</v>
      </c>
    </row>
    <row r="4" spans="1:16" x14ac:dyDescent="0.25">
      <c r="A4">
        <v>1</v>
      </c>
      <c r="B4">
        <f>City!B3</f>
        <v>2018</v>
      </c>
      <c r="C4" s="18">
        <f>Miles!C4</f>
        <v>84000000</v>
      </c>
      <c r="D4" s="18">
        <f>$C4*$D$2</f>
        <v>8400000</v>
      </c>
      <c r="E4" s="18">
        <f>$C4*$E$2</f>
        <v>21000000</v>
      </c>
      <c r="F4" s="18">
        <f>$C4*$F$2</f>
        <v>8400000</v>
      </c>
      <c r="G4" s="18">
        <f>$C4*$G$2</f>
        <v>33600000</v>
      </c>
      <c r="H4" s="109">
        <f>$C4*$H$2</f>
        <v>12600000</v>
      </c>
      <c r="I4" s="20">
        <f>Miles!F4</f>
        <v>83999986.643081784</v>
      </c>
      <c r="J4" s="20">
        <f>Miles!S4</f>
        <v>20241.908153480028</v>
      </c>
      <c r="K4" s="20">
        <f>I4-J4</f>
        <v>83979744.73492831</v>
      </c>
      <c r="L4" s="18">
        <f>($K4+$J4*AreaType!C4)*D$2</f>
        <v>8399998.6643081792</v>
      </c>
      <c r="M4" s="18">
        <f>($K4+$J4*AreaType!D4)*E$2</f>
        <v>20999996.660770446</v>
      </c>
      <c r="N4" s="18">
        <f>($K4+$J4*AreaType!E4)*F$2</f>
        <v>8399998.6643081792</v>
      </c>
      <c r="O4" s="18">
        <f>($K4+$J4*AreaType!F4)*G$2</f>
        <v>33599994.657232717</v>
      </c>
      <c r="P4" s="18">
        <f>($K4+$J4*AreaType!G4)*H$2</f>
        <v>12599997.996462267</v>
      </c>
    </row>
    <row r="5" spans="1:16" x14ac:dyDescent="0.25">
      <c r="A5">
        <f>A4+1</f>
        <v>2</v>
      </c>
      <c r="B5">
        <f>B4+1</f>
        <v>2019</v>
      </c>
      <c r="C5" s="18">
        <f>Miles!C5</f>
        <v>85259999.999999985</v>
      </c>
      <c r="D5" s="18">
        <f t="shared" ref="D5:D56" si="0">$C5*$D$2</f>
        <v>8525999.9999999981</v>
      </c>
      <c r="E5" s="18">
        <f t="shared" ref="E5:E56" si="1">$C5*$E$2</f>
        <v>21314999.999999996</v>
      </c>
      <c r="F5" s="18">
        <f t="shared" ref="F5:F56" si="2">$C5*$F$2</f>
        <v>8525999.9999999981</v>
      </c>
      <c r="G5" s="18">
        <f t="shared" ref="G5:G56" si="3">$C5*$G$2</f>
        <v>34103999.999999993</v>
      </c>
      <c r="H5" s="109">
        <f t="shared" ref="H5:H56" si="4">$C5*$H$2</f>
        <v>12788999.999999998</v>
      </c>
      <c r="I5" s="20">
        <f>Miles!F5</f>
        <v>85259976.078479216</v>
      </c>
      <c r="J5" s="20">
        <f>Miles!S5</f>
        <v>503989.18840132875</v>
      </c>
      <c r="K5" s="20">
        <f t="shared" ref="K5:K56" si="5">I5-J5</f>
        <v>84755986.890077889</v>
      </c>
      <c r="L5" s="18">
        <f>($K5+$J5*AreaType!C5)*D$2</f>
        <v>8525997.6078479216</v>
      </c>
      <c r="M5" s="18">
        <f>($K5+$J5*AreaType!D5)*E$2</f>
        <v>21314994.019619804</v>
      </c>
      <c r="N5" s="18">
        <f>($K5+$J5*AreaType!E5)*F$2</f>
        <v>8525997.6078479216</v>
      </c>
      <c r="O5" s="18">
        <f>($K5+$J5*AreaType!F5)*G$2</f>
        <v>34103990.431391686</v>
      </c>
      <c r="P5" s="18">
        <f>($K5+$J5*AreaType!G5)*H$2</f>
        <v>12788996.411771882</v>
      </c>
    </row>
    <row r="6" spans="1:16" x14ac:dyDescent="0.25">
      <c r="A6">
        <f t="shared" ref="A6:B21" si="6">A5+1</f>
        <v>3</v>
      </c>
      <c r="B6">
        <f t="shared" si="6"/>
        <v>2020</v>
      </c>
      <c r="C6" s="18">
        <f>Miles!C6</f>
        <v>86538899.99999997</v>
      </c>
      <c r="D6" s="18">
        <f t="shared" si="0"/>
        <v>8653889.9999999981</v>
      </c>
      <c r="E6" s="18">
        <f t="shared" si="1"/>
        <v>21634724.999999993</v>
      </c>
      <c r="F6" s="18">
        <f t="shared" si="2"/>
        <v>8653889.9999999981</v>
      </c>
      <c r="G6" s="18">
        <f t="shared" si="3"/>
        <v>34615559.999999993</v>
      </c>
      <c r="H6" s="109">
        <f t="shared" si="4"/>
        <v>12980834.999999994</v>
      </c>
      <c r="I6" s="20">
        <f>Miles!F6</f>
        <v>86538667.029283687</v>
      </c>
      <c r="J6" s="20">
        <f>Miles!S6</f>
        <v>2704463.8956321501</v>
      </c>
      <c r="K6" s="20">
        <f t="shared" si="5"/>
        <v>83834203.13365154</v>
      </c>
      <c r="L6" s="18">
        <f>($K6+$J6*AreaType!C6)*D$2</f>
        <v>8653866.7029283699</v>
      </c>
      <c r="M6" s="18">
        <f>($K6+$J6*AreaType!D6)*E$2</f>
        <v>21634666.757320922</v>
      </c>
      <c r="N6" s="18">
        <f>($K6+$J6*AreaType!E6)*F$2</f>
        <v>8653866.7029283699</v>
      </c>
      <c r="O6" s="18">
        <f>($K6+$J6*AreaType!F6)*G$2</f>
        <v>34615466.811713479</v>
      </c>
      <c r="P6" s="18">
        <f>($K6+$J6*AreaType!G6)*H$2</f>
        <v>12980800.054392552</v>
      </c>
    </row>
    <row r="7" spans="1:16" x14ac:dyDescent="0.25">
      <c r="A7">
        <f t="shared" si="6"/>
        <v>4</v>
      </c>
      <c r="B7">
        <f t="shared" si="6"/>
        <v>2021</v>
      </c>
      <c r="C7" s="18">
        <f>Miles!C7</f>
        <v>87836983.499999955</v>
      </c>
      <c r="D7" s="18">
        <f t="shared" si="0"/>
        <v>8783698.3499999959</v>
      </c>
      <c r="E7" s="18">
        <f t="shared" si="1"/>
        <v>21959245.874999989</v>
      </c>
      <c r="F7" s="18">
        <f t="shared" si="2"/>
        <v>8783698.3499999959</v>
      </c>
      <c r="G7" s="18">
        <f t="shared" si="3"/>
        <v>35134793.399999984</v>
      </c>
      <c r="H7" s="109">
        <f t="shared" si="4"/>
        <v>13175547.524999993</v>
      </c>
      <c r="I7" s="20">
        <f>Miles!F7</f>
        <v>87835938.35466367</v>
      </c>
      <c r="J7" s="20">
        <f>Miles!S7</f>
        <v>7176595.0208621696</v>
      </c>
      <c r="K7" s="20">
        <f t="shared" si="5"/>
        <v>80659343.333801508</v>
      </c>
      <c r="L7" s="18">
        <f>($K7+$J7*AreaType!C7)*D$2</f>
        <v>8783593.8354663681</v>
      </c>
      <c r="M7" s="18">
        <f>($K7+$J7*AreaType!D7)*E$2</f>
        <v>21958984.588665918</v>
      </c>
      <c r="N7" s="18">
        <f>($K7+$J7*AreaType!E7)*F$2</f>
        <v>8783593.8354663681</v>
      </c>
      <c r="O7" s="18">
        <f>($K7+$J7*AreaType!F7)*G$2</f>
        <v>35134375.341865472</v>
      </c>
      <c r="P7" s="18">
        <f>($K7+$J7*AreaType!G7)*H$2</f>
        <v>13175390.753199549</v>
      </c>
    </row>
    <row r="8" spans="1:16" x14ac:dyDescent="0.25">
      <c r="A8">
        <f t="shared" si="6"/>
        <v>5</v>
      </c>
      <c r="B8">
        <f t="shared" si="6"/>
        <v>2022</v>
      </c>
      <c r="C8" s="18">
        <f>Miles!C8</f>
        <v>89154538.252499953</v>
      </c>
      <c r="D8" s="18">
        <f t="shared" si="0"/>
        <v>8915453.825249996</v>
      </c>
      <c r="E8" s="18">
        <f t="shared" si="1"/>
        <v>22288634.563124988</v>
      </c>
      <c r="F8" s="18">
        <f t="shared" si="2"/>
        <v>8915453.825249996</v>
      </c>
      <c r="G8" s="18">
        <f t="shared" si="3"/>
        <v>35661815.300999984</v>
      </c>
      <c r="H8" s="109">
        <f t="shared" si="4"/>
        <v>13373180.737874992</v>
      </c>
      <c r="I8" s="20">
        <f>Miles!F8</f>
        <v>89151493.454270437</v>
      </c>
      <c r="J8" s="20">
        <f>Miles!S8</f>
        <v>13203055.017782435</v>
      </c>
      <c r="K8" s="20">
        <f t="shared" si="5"/>
        <v>75948438.436488003</v>
      </c>
      <c r="L8" s="18">
        <f>($K8+$J8*AreaType!C8)*D$2</f>
        <v>8915149.3454270437</v>
      </c>
      <c r="M8" s="18">
        <f>($K8+$J8*AreaType!D8)*E$2</f>
        <v>22287873.363567609</v>
      </c>
      <c r="N8" s="18">
        <f>($K8+$J8*AreaType!E8)*F$2</f>
        <v>8915149.3454270437</v>
      </c>
      <c r="O8" s="18">
        <f>($K8+$J8*AreaType!F8)*G$2</f>
        <v>35660597.381708175</v>
      </c>
      <c r="P8" s="18">
        <f>($K8+$J8*AreaType!G8)*H$2</f>
        <v>13372724.018140566</v>
      </c>
    </row>
    <row r="9" spans="1:16" x14ac:dyDescent="0.25">
      <c r="A9">
        <f t="shared" si="6"/>
        <v>6</v>
      </c>
      <c r="B9">
        <f t="shared" si="6"/>
        <v>2023</v>
      </c>
      <c r="C9" s="18">
        <f>Miles!C9</f>
        <v>90491856.326287448</v>
      </c>
      <c r="D9" s="18">
        <f t="shared" si="0"/>
        <v>9049185.6326287445</v>
      </c>
      <c r="E9" s="18">
        <f t="shared" si="1"/>
        <v>22622964.081571862</v>
      </c>
      <c r="F9" s="18">
        <f t="shared" si="2"/>
        <v>9049185.6326287445</v>
      </c>
      <c r="G9" s="18">
        <f t="shared" si="3"/>
        <v>36196742.530514978</v>
      </c>
      <c r="H9" s="109">
        <f t="shared" si="4"/>
        <v>13573778.448943118</v>
      </c>
      <c r="I9" s="20">
        <f>Miles!F9</f>
        <v>90552183.784604579</v>
      </c>
      <c r="J9" s="20">
        <f>Miles!S9</f>
        <v>19600261.18638958</v>
      </c>
      <c r="K9" s="20">
        <f t="shared" si="5"/>
        <v>70951922.598214999</v>
      </c>
      <c r="L9" s="18">
        <f>($K9+$J9*AreaType!C9)*D$2</f>
        <v>9059432.4346155319</v>
      </c>
      <c r="M9" s="18">
        <f>($K9+$J9*AreaType!D9)*E$2</f>
        <v>22638045.946151145</v>
      </c>
      <c r="N9" s="18">
        <f>($K9+$J9*AreaType!E9)*F$2</f>
        <v>9055218.3784604575</v>
      </c>
      <c r="O9" s="18">
        <f>($K9+$J9*AreaType!F9)*G$2</f>
        <v>36220873.51384183</v>
      </c>
      <c r="P9" s="18">
        <f>($K9+$J9*AreaType!G9)*H$2</f>
        <v>13582827.567690687</v>
      </c>
    </row>
    <row r="10" spans="1:16" x14ac:dyDescent="0.25">
      <c r="A10">
        <f t="shared" si="6"/>
        <v>7</v>
      </c>
      <c r="B10">
        <f t="shared" si="6"/>
        <v>2024</v>
      </c>
      <c r="C10" s="18">
        <f>Miles!C10</f>
        <v>91849234.171181753</v>
      </c>
      <c r="D10" s="18">
        <f t="shared" si="0"/>
        <v>9184923.417118175</v>
      </c>
      <c r="E10" s="18">
        <f t="shared" si="1"/>
        <v>22962308.542795438</v>
      </c>
      <c r="F10" s="18">
        <f t="shared" si="2"/>
        <v>9184923.417118175</v>
      </c>
      <c r="G10" s="18">
        <f t="shared" si="3"/>
        <v>36739693.6684727</v>
      </c>
      <c r="H10" s="109">
        <f t="shared" si="4"/>
        <v>13777385.125677263</v>
      </c>
      <c r="I10" s="20">
        <f>Miles!F10</f>
        <v>91967395.261267781</v>
      </c>
      <c r="J10" s="20">
        <f>Miles!S10</f>
        <v>25337955.366503991</v>
      </c>
      <c r="K10" s="20">
        <f t="shared" si="5"/>
        <v>66629439.89476379</v>
      </c>
      <c r="L10" s="18">
        <f>($K10+$J10*AreaType!C10)*D$2</f>
        <v>9202187.186530577</v>
      </c>
      <c r="M10" s="18">
        <f>($K10+$J10*AreaType!D10)*E$2</f>
        <v>22991848.815316945</v>
      </c>
      <c r="N10" s="18">
        <f>($K10+$J10*AreaType!E10)*F$2</f>
        <v>9196739.5261267778</v>
      </c>
      <c r="O10" s="18">
        <f>($K10+$J10*AreaType!F10)*G$2</f>
        <v>36786958.104507111</v>
      </c>
      <c r="P10" s="18">
        <f>($K10+$J10*AreaType!G10)*H$2</f>
        <v>13795109.289190168</v>
      </c>
    </row>
    <row r="11" spans="1:16" x14ac:dyDescent="0.25">
      <c r="A11">
        <f t="shared" si="6"/>
        <v>8</v>
      </c>
      <c r="B11">
        <f t="shared" si="6"/>
        <v>2025</v>
      </c>
      <c r="C11" s="18">
        <f>Miles!C11</f>
        <v>93226972.683749467</v>
      </c>
      <c r="D11" s="18">
        <f t="shared" si="0"/>
        <v>9322697.2683749478</v>
      </c>
      <c r="E11" s="18">
        <f t="shared" si="1"/>
        <v>23306743.170937367</v>
      </c>
      <c r="F11" s="18">
        <f t="shared" si="2"/>
        <v>9322697.2683749478</v>
      </c>
      <c r="G11" s="18">
        <f t="shared" si="3"/>
        <v>37290789.073499791</v>
      </c>
      <c r="H11" s="109">
        <f t="shared" si="4"/>
        <v>13984045.902562419</v>
      </c>
      <c r="I11" s="20">
        <f>Miles!F11</f>
        <v>93426363.235466093</v>
      </c>
      <c r="J11" s="20">
        <f>Miles!S11</f>
        <v>30014300.213540591</v>
      </c>
      <c r="K11" s="20">
        <f t="shared" si="5"/>
        <v>63412063.021925502</v>
      </c>
      <c r="L11" s="18">
        <f>($K11+$J11*AreaType!C11)*D$2</f>
        <v>9349089.3980925214</v>
      </c>
      <c r="M11" s="18">
        <f>($K11+$J11*AreaType!D11)*E$2</f>
        <v>23356590.808866523</v>
      </c>
      <c r="N11" s="18">
        <f>($K11+$J11*AreaType!E11)*F$2</f>
        <v>9342636.3235466089</v>
      </c>
      <c r="O11" s="18">
        <f>($K11+$J11*AreaType!F11)*G$2</f>
        <v>37370545.294186436</v>
      </c>
      <c r="P11" s="18">
        <f>($K11+$J11*AreaType!G11)*H$2</f>
        <v>14013954.485319914</v>
      </c>
    </row>
    <row r="12" spans="1:16" x14ac:dyDescent="0.25">
      <c r="A12">
        <f t="shared" si="6"/>
        <v>9</v>
      </c>
      <c r="B12">
        <f t="shared" si="6"/>
        <v>2026</v>
      </c>
      <c r="C12" s="18">
        <f>Miles!C12</f>
        <v>94625377.274005696</v>
      </c>
      <c r="D12" s="18">
        <f t="shared" si="0"/>
        <v>9462537.7274005692</v>
      </c>
      <c r="E12" s="18">
        <f t="shared" si="1"/>
        <v>23656344.318501424</v>
      </c>
      <c r="F12" s="18">
        <f t="shared" si="2"/>
        <v>9462537.7274005692</v>
      </c>
      <c r="G12" s="18">
        <f t="shared" si="3"/>
        <v>37850150.909602277</v>
      </c>
      <c r="H12" s="109">
        <f t="shared" si="4"/>
        <v>14193806.591100855</v>
      </c>
      <c r="I12" s="20">
        <f>Miles!F12</f>
        <v>94957876.111604527</v>
      </c>
      <c r="J12" s="20">
        <f>Miles!S12</f>
        <v>34390251.964657024</v>
      </c>
      <c r="K12" s="20">
        <f t="shared" si="5"/>
        <v>60567624.146947503</v>
      </c>
      <c r="L12" s="18">
        <f>($K12+$J12*AreaType!C12)*D$2</f>
        <v>9503181.5153328534</v>
      </c>
      <c r="M12" s="18">
        <f>($K12+$J12*AreaType!D12)*E$2</f>
        <v>23739469.027901132</v>
      </c>
      <c r="N12" s="18">
        <f>($K12+$J12*AreaType!E12)*F$2</f>
        <v>9495787.6111604534</v>
      </c>
      <c r="O12" s="18">
        <f>($K12+$J12*AreaType!F12)*G$2</f>
        <v>37983150.444641814</v>
      </c>
      <c r="P12" s="18">
        <f>($K12+$J12*AreaType!G12)*H$2</f>
        <v>14243681.416740678</v>
      </c>
    </row>
    <row r="13" spans="1:16" x14ac:dyDescent="0.25">
      <c r="A13">
        <f t="shared" si="6"/>
        <v>10</v>
      </c>
      <c r="B13">
        <f t="shared" si="6"/>
        <v>2027</v>
      </c>
      <c r="C13" s="18">
        <f>Miles!C13</f>
        <v>96044757.933115765</v>
      </c>
      <c r="D13" s="18">
        <f t="shared" si="0"/>
        <v>9604475.7933115773</v>
      </c>
      <c r="E13" s="18">
        <f t="shared" si="1"/>
        <v>24011189.483278941</v>
      </c>
      <c r="F13" s="18">
        <f t="shared" si="2"/>
        <v>9604475.7933115773</v>
      </c>
      <c r="G13" s="18">
        <f t="shared" si="3"/>
        <v>38417903.173246309</v>
      </c>
      <c r="H13" s="109">
        <f t="shared" si="4"/>
        <v>14406713.689967364</v>
      </c>
      <c r="I13" s="20">
        <f>Miles!F13</f>
        <v>96575934.538654849</v>
      </c>
      <c r="J13" s="20">
        <f>Miles!S13</f>
        <v>38426418.703333259</v>
      </c>
      <c r="K13" s="20">
        <f t="shared" si="5"/>
        <v>58149515.83532159</v>
      </c>
      <c r="L13" s="18">
        <f>($K13+$J13*AreaType!C13)*D$2</f>
        <v>9646600.6161349285</v>
      </c>
      <c r="M13" s="18">
        <f>($K13+$J13*AreaType!D13)*E$2</f>
        <v>24143983.634663712</v>
      </c>
      <c r="N13" s="18">
        <f>($K13+$J13*AreaType!E13)*F$2</f>
        <v>9657593.4538654853</v>
      </c>
      <c r="O13" s="18">
        <f>($K13+$J13*AreaType!F13)*G$2</f>
        <v>38630373.815461941</v>
      </c>
      <c r="P13" s="18">
        <f>($K13+$J13*AreaType!G13)*H$2</f>
        <v>14486390.180798227</v>
      </c>
    </row>
    <row r="14" spans="1:16" x14ac:dyDescent="0.25">
      <c r="A14">
        <f t="shared" si="6"/>
        <v>11</v>
      </c>
      <c r="B14">
        <f t="shared" si="6"/>
        <v>2028</v>
      </c>
      <c r="C14" s="18">
        <f>Miles!C14</f>
        <v>97485429.30211249</v>
      </c>
      <c r="D14" s="18">
        <f t="shared" si="0"/>
        <v>9748542.9302112497</v>
      </c>
      <c r="E14" s="18">
        <f t="shared" si="1"/>
        <v>24371357.325528122</v>
      </c>
      <c r="F14" s="18">
        <f t="shared" si="2"/>
        <v>9748542.9302112497</v>
      </c>
      <c r="G14" s="18">
        <f t="shared" si="3"/>
        <v>38994171.720844999</v>
      </c>
      <c r="H14" s="109">
        <f t="shared" si="4"/>
        <v>14622814.395316873</v>
      </c>
      <c r="I14" s="20">
        <f>Miles!F14</f>
        <v>97762319.831468761</v>
      </c>
      <c r="J14" s="20">
        <f>Miles!S14</f>
        <v>41584364.617517285</v>
      </c>
      <c r="K14" s="20">
        <f t="shared" si="5"/>
        <v>56177955.213951476</v>
      </c>
      <c r="L14" s="18">
        <f>($K14+$J14*AreaType!C14)*D$2</f>
        <v>9736635.4339097869</v>
      </c>
      <c r="M14" s="18">
        <f>($K14+$J14*AreaType!D14)*E$2</f>
        <v>24336353.839916401</v>
      </c>
      <c r="N14" s="18">
        <f>($K14+$J14*AreaType!E14)*F$2</f>
        <v>9772230.9732083213</v>
      </c>
      <c r="O14" s="18">
        <f>($K14+$J14*AreaType!F14)*G$2</f>
        <v>39062250.493242897</v>
      </c>
      <c r="P14" s="18">
        <f>($K14+$J14*AreaType!G14)*H$2</f>
        <v>14663147.671738748</v>
      </c>
    </row>
    <row r="15" spans="1:16" x14ac:dyDescent="0.25">
      <c r="A15">
        <f t="shared" si="6"/>
        <v>12</v>
      </c>
      <c r="B15">
        <f t="shared" si="6"/>
        <v>2029</v>
      </c>
      <c r="C15" s="18">
        <f>Miles!C15</f>
        <v>98947710.741644174</v>
      </c>
      <c r="D15" s="18">
        <f t="shared" si="0"/>
        <v>9894771.0741644185</v>
      </c>
      <c r="E15" s="18">
        <f t="shared" si="1"/>
        <v>24736927.685411043</v>
      </c>
      <c r="F15" s="18">
        <f t="shared" si="2"/>
        <v>9894771.0741644185</v>
      </c>
      <c r="G15" s="18">
        <f t="shared" si="3"/>
        <v>39579084.296657674</v>
      </c>
      <c r="H15" s="109">
        <f t="shared" si="4"/>
        <v>14842156.611246625</v>
      </c>
      <c r="I15" s="20">
        <f>Miles!F15</f>
        <v>99438676.473622546</v>
      </c>
      <c r="J15" s="20">
        <f>Miles!S15</f>
        <v>45014931.303526737</v>
      </c>
      <c r="K15" s="20">
        <f t="shared" si="5"/>
        <v>54423745.170095809</v>
      </c>
      <c r="L15" s="18">
        <f>($K15+$J15*AreaType!C15)*D$2</f>
        <v>9891022.9095809907</v>
      </c>
      <c r="M15" s="18">
        <f>($K15+$J15*AreaType!D15)*E$2</f>
        <v>24746844.705125749</v>
      </c>
      <c r="N15" s="18">
        <f>($K15+$J15*AreaType!E15)*F$2</f>
        <v>9939536.5679004081</v>
      </c>
      <c r="O15" s="18">
        <f>($K15+$J15*AreaType!F15)*G$2</f>
        <v>39729272.408522658</v>
      </c>
      <c r="P15" s="18">
        <f>($K15+$J15*AreaType!G15)*H$2</f>
        <v>14914502.147204826</v>
      </c>
    </row>
    <row r="16" spans="1:16" x14ac:dyDescent="0.25">
      <c r="A16">
        <f t="shared" si="6"/>
        <v>13</v>
      </c>
      <c r="B16">
        <f t="shared" si="6"/>
        <v>2030</v>
      </c>
      <c r="C16" s="18">
        <f>Miles!C16</f>
        <v>100431926.40276882</v>
      </c>
      <c r="D16" s="18">
        <f t="shared" si="0"/>
        <v>10043192.640276883</v>
      </c>
      <c r="E16" s="18">
        <f t="shared" si="1"/>
        <v>25107981.600692205</v>
      </c>
      <c r="F16" s="18">
        <f t="shared" si="2"/>
        <v>10043192.640276883</v>
      </c>
      <c r="G16" s="18">
        <f t="shared" si="3"/>
        <v>40172770.561107531</v>
      </c>
      <c r="H16" s="109">
        <f t="shared" si="4"/>
        <v>15064788.960415322</v>
      </c>
      <c r="I16" s="20">
        <f>Miles!F16</f>
        <v>101269526.15674293</v>
      </c>
      <c r="J16" s="20">
        <f>Miles!S16</f>
        <v>48561561.015443347</v>
      </c>
      <c r="K16" s="20">
        <f t="shared" si="5"/>
        <v>52707965.141299583</v>
      </c>
      <c r="L16" s="18">
        <f>($K16+$J16*AreaType!C16)*D$2</f>
        <v>10055584.943285963</v>
      </c>
      <c r="M16" s="18">
        <f>($K16+$J16*AreaType!D16)*E$2</f>
        <v>25135574.54957667</v>
      </c>
      <c r="N16" s="18">
        <f>($K16+$J16*AreaType!E16)*F$2</f>
        <v>10122280.299768023</v>
      </c>
      <c r="O16" s="18">
        <f>($K16+$J16*AreaType!F16)*G$2</f>
        <v>40457972.426363617</v>
      </c>
      <c r="P16" s="18">
        <f>($K16+$J16*AreaType!G16)*H$2</f>
        <v>15189027.228739558</v>
      </c>
    </row>
    <row r="17" spans="1:16" x14ac:dyDescent="0.25">
      <c r="A17">
        <f t="shared" si="6"/>
        <v>14</v>
      </c>
      <c r="B17">
        <f t="shared" si="6"/>
        <v>2031</v>
      </c>
      <c r="C17" s="18">
        <f>Miles!C17</f>
        <v>101938405.29881035</v>
      </c>
      <c r="D17" s="18">
        <f t="shared" si="0"/>
        <v>10193840.529881036</v>
      </c>
      <c r="E17" s="18">
        <f t="shared" si="1"/>
        <v>25484601.324702587</v>
      </c>
      <c r="F17" s="18">
        <f t="shared" si="2"/>
        <v>10193840.529881036</v>
      </c>
      <c r="G17" s="18">
        <f t="shared" si="3"/>
        <v>40775362.119524144</v>
      </c>
      <c r="H17" s="109">
        <f t="shared" si="4"/>
        <v>15290760.794821551</v>
      </c>
      <c r="I17" s="20">
        <f>Miles!F17</f>
        <v>103068200.55885504</v>
      </c>
      <c r="J17" s="20">
        <f>Miles!S17</f>
        <v>52046752.992955633</v>
      </c>
      <c r="K17" s="20">
        <f t="shared" si="5"/>
        <v>51021447.565899409</v>
      </c>
      <c r="L17" s="18">
        <f>($K17+$J17*AreaType!C17)*D$2</f>
        <v>10209807.582011854</v>
      </c>
      <c r="M17" s="18">
        <f>($K17+$J17*AreaType!D17)*E$2</f>
        <v>25553076.82234795</v>
      </c>
      <c r="N17" s="18">
        <f>($K17+$J17*AreaType!E17)*F$2</f>
        <v>10301812.414722539</v>
      </c>
      <c r="O17" s="18">
        <f>($K17+$J17*AreaType!F17)*G$2</f>
        <v>41173865.384470396</v>
      </c>
      <c r="P17" s="18">
        <f>($K17+$J17*AreaType!G17)*H$2</f>
        <v>15458727.791479364</v>
      </c>
    </row>
    <row r="18" spans="1:16" x14ac:dyDescent="0.25">
      <c r="A18">
        <f t="shared" si="6"/>
        <v>15</v>
      </c>
      <c r="B18">
        <f t="shared" si="6"/>
        <v>2032</v>
      </c>
      <c r="C18" s="18">
        <f>Miles!C18</f>
        <v>103467481.37829249</v>
      </c>
      <c r="D18" s="18">
        <f t="shared" si="0"/>
        <v>10346748.13782925</v>
      </c>
      <c r="E18" s="18">
        <f t="shared" si="1"/>
        <v>25866870.344573122</v>
      </c>
      <c r="F18" s="18">
        <f t="shared" si="2"/>
        <v>10346748.13782925</v>
      </c>
      <c r="G18" s="18">
        <f t="shared" si="3"/>
        <v>41386992.551316999</v>
      </c>
      <c r="H18" s="109">
        <f t="shared" si="4"/>
        <v>15520122.206743872</v>
      </c>
      <c r="I18" s="20">
        <f>Miles!F18</f>
        <v>104957245.92915842</v>
      </c>
      <c r="J18" s="20">
        <f>Miles!S18</f>
        <v>55596757.232330441</v>
      </c>
      <c r="K18" s="20">
        <f t="shared" si="5"/>
        <v>49360488.696827978</v>
      </c>
      <c r="L18" s="18">
        <f>($K18+$J18*AreaType!C18)*D$2</f>
        <v>10362860.74250832</v>
      </c>
      <c r="M18" s="18">
        <f>($K18+$J18*AreaType!D18)*E$2</f>
        <v>25984258.992834516</v>
      </c>
      <c r="N18" s="18">
        <f>($K18+$J18*AreaType!E18)*F$2</f>
        <v>10462603.758025963</v>
      </c>
      <c r="O18" s="18">
        <f>($K18+$J18*AreaType!F18)*G$2</f>
        <v>41925840.213955224</v>
      </c>
      <c r="P18" s="18">
        <f>($K18+$J18*AreaType!G18)*H$2</f>
        <v>15741982.12868822</v>
      </c>
    </row>
    <row r="19" spans="1:16" x14ac:dyDescent="0.25">
      <c r="A19">
        <f t="shared" si="6"/>
        <v>16</v>
      </c>
      <c r="B19">
        <f t="shared" si="6"/>
        <v>2033</v>
      </c>
      <c r="C19" s="18">
        <f>Miles!C19</f>
        <v>105019493.59896687</v>
      </c>
      <c r="D19" s="18">
        <f t="shared" si="0"/>
        <v>10501949.359896688</v>
      </c>
      <c r="E19" s="18">
        <f t="shared" si="1"/>
        <v>26254873.399741717</v>
      </c>
      <c r="F19" s="18">
        <f t="shared" si="2"/>
        <v>10501949.359896688</v>
      </c>
      <c r="G19" s="18">
        <f t="shared" si="3"/>
        <v>42007797.439586751</v>
      </c>
      <c r="H19" s="109">
        <f t="shared" si="4"/>
        <v>15752924.039845029</v>
      </c>
      <c r="I19" s="20">
        <f>Miles!F19</f>
        <v>108229214.68469018</v>
      </c>
      <c r="J19" s="20">
        <f>Miles!S19</f>
        <v>60472549.66078946</v>
      </c>
      <c r="K19" s="20">
        <f t="shared" si="5"/>
        <v>47756665.023900717</v>
      </c>
      <c r="L19" s="18">
        <f>($K19+$J19*AreaType!C19)*D$2</f>
        <v>10342985.230696365</v>
      </c>
      <c r="M19" s="18">
        <f>($K19+$J19*AreaType!D19)*E$2</f>
        <v>26150390.672322392</v>
      </c>
      <c r="N19" s="18">
        <f>($K19+$J19*AreaType!E19)*F$2</f>
        <v>10691097.837409586</v>
      </c>
      <c r="O19" s="18">
        <f>($K19+$J19*AreaType!F19)*G$2</f>
        <v>43229623.76005277</v>
      </c>
      <c r="P19" s="18">
        <f>($K19+$J19*AreaType!G19)*H$2</f>
        <v>16232636.705752246</v>
      </c>
    </row>
    <row r="20" spans="1:16" x14ac:dyDescent="0.25">
      <c r="A20">
        <f t="shared" si="6"/>
        <v>17</v>
      </c>
      <c r="B20">
        <f t="shared" si="6"/>
        <v>2034</v>
      </c>
      <c r="C20" s="18">
        <f>Miles!C20</f>
        <v>106594786.00295135</v>
      </c>
      <c r="D20" s="18">
        <f t="shared" si="0"/>
        <v>10659478.600295136</v>
      </c>
      <c r="E20" s="18">
        <f t="shared" si="1"/>
        <v>26648696.500737838</v>
      </c>
      <c r="F20" s="18">
        <f t="shared" si="2"/>
        <v>10659478.600295136</v>
      </c>
      <c r="G20" s="18">
        <f t="shared" si="3"/>
        <v>42637914.401180543</v>
      </c>
      <c r="H20" s="109">
        <f t="shared" si="4"/>
        <v>15989217.900442703</v>
      </c>
      <c r="I20" s="20">
        <f>Miles!F20</f>
        <v>110394002.41512717</v>
      </c>
      <c r="J20" s="20">
        <f>Miles!S20</f>
        <v>64058358.759716533</v>
      </c>
      <c r="K20" s="20">
        <f t="shared" si="5"/>
        <v>46335643.65541064</v>
      </c>
      <c r="L20" s="18">
        <f>($K20+$J20*AreaType!C20)*D$2</f>
        <v>10474101.395799601</v>
      </c>
      <c r="M20" s="18">
        <f>($K20+$J20*AreaType!D20)*E$2</f>
        <v>26588543.241003841</v>
      </c>
      <c r="N20" s="18">
        <f>($K20+$J20*AreaType!E20)*F$2</f>
        <v>10892668.093306074</v>
      </c>
      <c r="O20" s="18">
        <f>($K20+$J20*AreaType!F20)*G$2</f>
        <v>44091858.787575185</v>
      </c>
      <c r="P20" s="18">
        <f>($K20+$J20*AreaType!G20)*H$2</f>
        <v>16557251.363499448</v>
      </c>
    </row>
    <row r="21" spans="1:16" x14ac:dyDescent="0.25">
      <c r="A21">
        <f t="shared" si="6"/>
        <v>18</v>
      </c>
      <c r="B21">
        <f t="shared" si="6"/>
        <v>2035</v>
      </c>
      <c r="C21" s="18">
        <f>Miles!C21</f>
        <v>108193707.79299562</v>
      </c>
      <c r="D21" s="18">
        <f t="shared" si="0"/>
        <v>10819370.779299563</v>
      </c>
      <c r="E21" s="18">
        <f t="shared" si="1"/>
        <v>27048426.948248904</v>
      </c>
      <c r="F21" s="18">
        <f t="shared" si="2"/>
        <v>10819370.779299563</v>
      </c>
      <c r="G21" s="18">
        <f t="shared" si="3"/>
        <v>43277483.117198251</v>
      </c>
      <c r="H21" s="109">
        <f t="shared" si="4"/>
        <v>16229056.168949341</v>
      </c>
      <c r="I21" s="20">
        <f>Miles!F21</f>
        <v>112468266.96393624</v>
      </c>
      <c r="J21" s="20">
        <f>Miles!S21</f>
        <v>67264339.464238316</v>
      </c>
      <c r="K21" s="20">
        <f t="shared" si="5"/>
        <v>45203927.499697924</v>
      </c>
      <c r="L21" s="18">
        <f>($K21+$J21*AreaType!C21)*D$2</f>
        <v>10332578.89984091</v>
      </c>
      <c r="M21" s="18">
        <f>($K21+$J21*AreaType!D21)*E$2</f>
        <v>26801211.462384842</v>
      </c>
      <c r="N21" s="18">
        <f>($K21+$J21*AreaType!E21)*F$2</f>
        <v>11078152.106994901</v>
      </c>
      <c r="O21" s="18">
        <f>($K21+$J21*AreaType!F21)*G$2</f>
        <v>44918274.354901485</v>
      </c>
      <c r="P21" s="18">
        <f>($K21+$J21*AreaType!G21)*H$2</f>
        <v>16868298.507477757</v>
      </c>
    </row>
    <row r="22" spans="1:16" x14ac:dyDescent="0.25">
      <c r="A22">
        <f t="shared" ref="A22:B37" si="7">A21+1</f>
        <v>19</v>
      </c>
      <c r="B22">
        <f t="shared" si="7"/>
        <v>2036</v>
      </c>
      <c r="C22" s="18">
        <f>Miles!C22</f>
        <v>109816613.40989055</v>
      </c>
      <c r="D22" s="18">
        <f t="shared" si="0"/>
        <v>10981661.340989055</v>
      </c>
      <c r="E22" s="18">
        <f t="shared" si="1"/>
        <v>27454153.352472637</v>
      </c>
      <c r="F22" s="18">
        <f t="shared" si="2"/>
        <v>10981661.340989055</v>
      </c>
      <c r="G22" s="18">
        <f t="shared" si="3"/>
        <v>43926645.36395622</v>
      </c>
      <c r="H22" s="109">
        <f t="shared" si="4"/>
        <v>16472492.011483582</v>
      </c>
      <c r="I22" s="20">
        <f>Miles!F22</f>
        <v>116575820.3095578</v>
      </c>
      <c r="J22" s="20">
        <f>Miles!S22</f>
        <v>72159421.283547893</v>
      </c>
      <c r="K22" s="20">
        <f t="shared" si="5"/>
        <v>44416399.026009902</v>
      </c>
      <c r="L22" s="18">
        <f>($K22+$J22*AreaType!C22)*D$2</f>
        <v>10676800.94495289</v>
      </c>
      <c r="M22" s="18">
        <f>($K22+$J22*AreaType!D22)*E$2</f>
        <v>27640123.587327033</v>
      </c>
      <c r="N22" s="18">
        <f>($K22+$J22*AreaType!E22)*F$2</f>
        <v>11465344.505892972</v>
      </c>
      <c r="O22" s="18">
        <f>($K22+$J22*AreaType!F22)*G$2</f>
        <v>46556271.940608688</v>
      </c>
      <c r="P22" s="18">
        <f>($K22+$J22*AreaType!G22)*H$2</f>
        <v>17484290.216280762</v>
      </c>
    </row>
    <row r="23" spans="1:16" x14ac:dyDescent="0.25">
      <c r="A23">
        <f t="shared" si="7"/>
        <v>20</v>
      </c>
      <c r="B23">
        <f t="shared" si="7"/>
        <v>2037</v>
      </c>
      <c r="C23" s="18">
        <f>Miles!C23</f>
        <v>111463862.61103889</v>
      </c>
      <c r="D23" s="18">
        <f t="shared" si="0"/>
        <v>11146386.261103891</v>
      </c>
      <c r="E23" s="18">
        <f t="shared" si="1"/>
        <v>27865965.652759723</v>
      </c>
      <c r="F23" s="18">
        <f t="shared" si="2"/>
        <v>11146386.261103891</v>
      </c>
      <c r="G23" s="18">
        <f t="shared" si="3"/>
        <v>44585545.044415563</v>
      </c>
      <c r="H23" s="109">
        <f t="shared" si="4"/>
        <v>16719579.391655833</v>
      </c>
      <c r="I23" s="20">
        <f>Miles!F23</f>
        <v>119195525.57472974</v>
      </c>
      <c r="J23" s="20">
        <f>Miles!S23</f>
        <v>75224487.227801487</v>
      </c>
      <c r="K23" s="20">
        <f t="shared" si="5"/>
        <v>43971038.346928254</v>
      </c>
      <c r="L23" s="18">
        <f>($K23+$J23*AreaType!C23)*D$2</f>
        <v>10897111.510067914</v>
      </c>
      <c r="M23" s="18">
        <f>($K23+$J23*AreaType!D23)*E$2</f>
        <v>28106503.055022687</v>
      </c>
      <c r="N23" s="18">
        <f>($K23+$J23*AreaType!E23)*F$2</f>
        <v>11705155.722674375</v>
      </c>
      <c r="O23" s="18">
        <f>($K23+$J23*AreaType!F23)*G$2</f>
        <v>47601008.413285539</v>
      </c>
      <c r="P23" s="18">
        <f>($K23+$J23*AreaType!G23)*H$2</f>
        <v>17877157.535117406</v>
      </c>
    </row>
    <row r="24" spans="1:16" x14ac:dyDescent="0.25">
      <c r="A24">
        <f t="shared" si="7"/>
        <v>21</v>
      </c>
      <c r="B24">
        <f t="shared" si="7"/>
        <v>2038</v>
      </c>
      <c r="C24" s="18">
        <f>Miles!C24</f>
        <v>113135820.55020447</v>
      </c>
      <c r="D24" s="18">
        <f t="shared" si="0"/>
        <v>11313582.055020448</v>
      </c>
      <c r="E24" s="18">
        <f t="shared" si="1"/>
        <v>28283955.137551118</v>
      </c>
      <c r="F24" s="18">
        <f t="shared" si="2"/>
        <v>11313582.055020448</v>
      </c>
      <c r="G24" s="18">
        <f t="shared" si="3"/>
        <v>45254328.220081791</v>
      </c>
      <c r="H24" s="109">
        <f t="shared" si="4"/>
        <v>16970373.08253067</v>
      </c>
      <c r="I24" s="20">
        <f>Miles!F24</f>
        <v>126277738.59208676</v>
      </c>
      <c r="J24" s="20">
        <f>Miles!S24</f>
        <v>82437316.270160586</v>
      </c>
      <c r="K24" s="20">
        <f t="shared" si="5"/>
        <v>43840422.321926177</v>
      </c>
      <c r="L24" s="18">
        <f>($K24+$J24*AreaType!C24)*D$2</f>
        <v>11507297.015846768</v>
      </c>
      <c r="M24" s="18">
        <f>($K24+$J24*AreaType!D24)*E$2</f>
        <v>29537605.492158614</v>
      </c>
      <c r="N24" s="18">
        <f>($K24+$J24*AreaType!E24)*F$2</f>
        <v>12374582.642764322</v>
      </c>
      <c r="O24" s="18">
        <f>($K24+$J24*AreaType!F24)*G$2</f>
        <v>50426491.196822584</v>
      </c>
      <c r="P24" s="18">
        <f>($K24+$J24*AreaType!G24)*H$2</f>
        <v>18939281.294562675</v>
      </c>
    </row>
    <row r="25" spans="1:16" x14ac:dyDescent="0.25">
      <c r="A25">
        <f t="shared" si="7"/>
        <v>22</v>
      </c>
      <c r="B25">
        <f t="shared" si="7"/>
        <v>2039</v>
      </c>
      <c r="C25" s="18">
        <f>Miles!C25</f>
        <v>114832857.85845752</v>
      </c>
      <c r="D25" s="18">
        <f t="shared" si="0"/>
        <v>11483285.785845753</v>
      </c>
      <c r="E25" s="18">
        <f t="shared" si="1"/>
        <v>28708214.46461438</v>
      </c>
      <c r="F25" s="18">
        <f t="shared" si="2"/>
        <v>11483285.785845753</v>
      </c>
      <c r="G25" s="18">
        <f t="shared" si="3"/>
        <v>45933143.143383011</v>
      </c>
      <c r="H25" s="109">
        <f t="shared" si="4"/>
        <v>17224928.678768627</v>
      </c>
      <c r="I25" s="20">
        <f>Miles!F25</f>
        <v>129426437.25889677</v>
      </c>
      <c r="J25" s="20">
        <f>Miles!S25</f>
        <v>85318875.091315299</v>
      </c>
      <c r="K25" s="20">
        <f t="shared" si="5"/>
        <v>44107562.167581469</v>
      </c>
      <c r="L25" s="18">
        <f>($K25+$J25*AreaType!C25)*D$2</f>
        <v>11783001.125101751</v>
      </c>
      <c r="M25" s="18">
        <f>($K25+$J25*AreaType!D25)*E$2</f>
        <v>30253758.496681221</v>
      </c>
      <c r="N25" s="18">
        <f>($K25+$J25*AreaType!E25)*F$2</f>
        <v>12658156.500256609</v>
      </c>
      <c r="O25" s="18">
        <f>($K25+$J25*AreaType!F25)*G$2</f>
        <v>51683013.36089357</v>
      </c>
      <c r="P25" s="18">
        <f>($K25+$J25*AreaType!G25)*H$2</f>
        <v>19411502.920447055</v>
      </c>
    </row>
    <row r="26" spans="1:16" x14ac:dyDescent="0.25">
      <c r="A26">
        <f t="shared" si="7"/>
        <v>23</v>
      </c>
      <c r="B26">
        <f t="shared" si="7"/>
        <v>2040</v>
      </c>
      <c r="C26" s="18">
        <f>Miles!C26</f>
        <v>116555350.72633438</v>
      </c>
      <c r="D26" s="18">
        <f t="shared" si="0"/>
        <v>11655535.072633438</v>
      </c>
      <c r="E26" s="18">
        <f t="shared" si="1"/>
        <v>29138837.681583595</v>
      </c>
      <c r="F26" s="18">
        <f t="shared" si="2"/>
        <v>11655535.072633438</v>
      </c>
      <c r="G26" s="18">
        <f t="shared" si="3"/>
        <v>46622140.290533751</v>
      </c>
      <c r="H26" s="109">
        <f t="shared" si="4"/>
        <v>17483302.608950157</v>
      </c>
      <c r="I26" s="20">
        <f>Miles!F26</f>
        <v>132731229.08760968</v>
      </c>
      <c r="J26" s="20">
        <f>Miles!S26</f>
        <v>88255487.854482487</v>
      </c>
      <c r="K26" s="20">
        <f t="shared" si="5"/>
        <v>44475741.233127192</v>
      </c>
      <c r="L26" s="18">
        <f>($K26+$J26*AreaType!C26)*D$2</f>
        <v>12073566.264819736</v>
      </c>
      <c r="M26" s="18">
        <f>($K26+$J26*AreaType!D26)*E$2</f>
        <v>31007577.879426859</v>
      </c>
      <c r="N26" s="18">
        <f>($K26+$J26*AreaType!E26)*F$2</f>
        <v>12951232.362830669</v>
      </c>
      <c r="O26" s="18">
        <f>($K26+$J26*AreaType!F26)*G$2</f>
        <v>53001916.288651504</v>
      </c>
      <c r="P26" s="18">
        <f>($K26+$J26*AreaType!G26)*H$2</f>
        <v>19907136.931524165</v>
      </c>
    </row>
    <row r="27" spans="1:16" x14ac:dyDescent="0.25">
      <c r="A27">
        <f t="shared" si="7"/>
        <v>24</v>
      </c>
      <c r="B27">
        <f t="shared" si="7"/>
        <v>2041</v>
      </c>
      <c r="C27" s="18">
        <f>Miles!C27</f>
        <v>118303680.98722938</v>
      </c>
      <c r="D27" s="18">
        <f t="shared" si="0"/>
        <v>11830368.098722938</v>
      </c>
      <c r="E27" s="18">
        <f t="shared" si="1"/>
        <v>29575920.246807344</v>
      </c>
      <c r="F27" s="18">
        <f t="shared" si="2"/>
        <v>11830368.098722938</v>
      </c>
      <c r="G27" s="18">
        <f t="shared" si="3"/>
        <v>47321472.394891754</v>
      </c>
      <c r="H27" s="109">
        <f t="shared" si="4"/>
        <v>17745552.148084406</v>
      </c>
      <c r="I27" s="20">
        <f>Miles!F27</f>
        <v>136122302.54169616</v>
      </c>
      <c r="J27" s="20">
        <f>Miles!S27</f>
        <v>91288417.912615344</v>
      </c>
      <c r="K27" s="20">
        <f t="shared" si="5"/>
        <v>44833884.629080817</v>
      </c>
      <c r="L27" s="18">
        <f>($K27+$J27*AreaType!C27)*D$2</f>
        <v>12371450.435440194</v>
      </c>
      <c r="M27" s="18">
        <f>($K27+$J27*AreaType!D27)*E$2</f>
        <v>31780593.740093913</v>
      </c>
      <c r="N27" s="18">
        <f>($K27+$J27*AreaType!E27)*F$2</f>
        <v>13279277.829415524</v>
      </c>
      <c r="O27" s="18">
        <f>($K27+$J27*AreaType!F27)*G$2</f>
        <v>54355233.017495006</v>
      </c>
      <c r="P27" s="18">
        <f>($K27+$J27*AreaType!G27)*H$2</f>
        <v>20415710.406277388</v>
      </c>
    </row>
    <row r="28" spans="1:16" x14ac:dyDescent="0.25">
      <c r="A28">
        <f t="shared" si="7"/>
        <v>25</v>
      </c>
      <c r="B28">
        <f t="shared" si="7"/>
        <v>2042</v>
      </c>
      <c r="C28" s="18">
        <f>Miles!C28</f>
        <v>120078236.20203781</v>
      </c>
      <c r="D28" s="18">
        <f t="shared" si="0"/>
        <v>12007823.620203782</v>
      </c>
      <c r="E28" s="18">
        <f t="shared" si="1"/>
        <v>30019559.050509453</v>
      </c>
      <c r="F28" s="18">
        <f t="shared" si="2"/>
        <v>12007823.620203782</v>
      </c>
      <c r="G28" s="18">
        <f t="shared" si="3"/>
        <v>48031294.480815127</v>
      </c>
      <c r="H28" s="109">
        <f t="shared" si="4"/>
        <v>18011735.430305671</v>
      </c>
      <c r="I28" s="20">
        <f>Miles!F28</f>
        <v>139668987.57171446</v>
      </c>
      <c r="J28" s="20">
        <f>Miles!S28</f>
        <v>94598328.311061025</v>
      </c>
      <c r="K28" s="20">
        <f t="shared" si="5"/>
        <v>45070659.260653436</v>
      </c>
      <c r="L28" s="18">
        <f>($K28+$J28*AreaType!C28)*D$2</f>
        <v>12681131.084362602</v>
      </c>
      <c r="M28" s="18">
        <f>($K28+$J28*AreaType!D28)*E$2</f>
        <v>32585685.771646775</v>
      </c>
      <c r="N28" s="18">
        <f>($K28+$J28*AreaType!E28)*F$2</f>
        <v>13621874.234794453</v>
      </c>
      <c r="O28" s="18">
        <f>($K28+$J28*AreaType!F28)*G$2</f>
        <v>55770510.115744829</v>
      </c>
      <c r="P28" s="18">
        <f>($K28+$J28*AreaType!G28)*H$2</f>
        <v>20947617.622580703</v>
      </c>
    </row>
    <row r="29" spans="1:16" x14ac:dyDescent="0.25">
      <c r="A29">
        <f t="shared" si="7"/>
        <v>26</v>
      </c>
      <c r="B29">
        <f t="shared" si="7"/>
        <v>2043</v>
      </c>
      <c r="C29" s="18">
        <f>Miles!C29</f>
        <v>121879409.74506837</v>
      </c>
      <c r="D29" s="18">
        <f t="shared" si="0"/>
        <v>12187940.974506838</v>
      </c>
      <c r="E29" s="18">
        <f t="shared" si="1"/>
        <v>30469852.436267093</v>
      </c>
      <c r="F29" s="18">
        <f t="shared" si="2"/>
        <v>12187940.974506838</v>
      </c>
      <c r="G29" s="18">
        <f t="shared" si="3"/>
        <v>48751763.898027353</v>
      </c>
      <c r="H29" s="109">
        <f t="shared" si="4"/>
        <v>18281911.461760256</v>
      </c>
      <c r="I29" s="20">
        <f>Miles!F29</f>
        <v>143372656.25024182</v>
      </c>
      <c r="J29" s="20">
        <f>Miles!S29</f>
        <v>98294204.332722306</v>
      </c>
      <c r="K29" s="20">
        <f t="shared" si="5"/>
        <v>45078451.91751951</v>
      </c>
      <c r="L29" s="18">
        <f>($K29+$J29*AreaType!C29)*D$2</f>
        <v>13001264.105632598</v>
      </c>
      <c r="M29" s="18">
        <f>($K29+$J29*AreaType!D29)*E$2</f>
        <v>33420510.836428221</v>
      </c>
      <c r="N29" s="18">
        <f>($K29+$J29*AreaType!E29)*F$2</f>
        <v>13978761.288765647</v>
      </c>
      <c r="O29" s="18">
        <f>($K29+$J29*AreaType!F29)*G$2</f>
        <v>57248184.56239298</v>
      </c>
      <c r="P29" s="18">
        <f>($K29+$J29*AreaType!G29)*H$2</f>
        <v>21503061.245538354</v>
      </c>
    </row>
    <row r="30" spans="1:16" x14ac:dyDescent="0.25">
      <c r="A30">
        <f t="shared" si="7"/>
        <v>27</v>
      </c>
      <c r="B30">
        <f t="shared" si="7"/>
        <v>2044</v>
      </c>
      <c r="C30" s="18">
        <f>Miles!C30</f>
        <v>123707600.89124438</v>
      </c>
      <c r="D30" s="18">
        <f t="shared" si="0"/>
        <v>12370760.089124439</v>
      </c>
      <c r="E30" s="18">
        <f t="shared" si="1"/>
        <v>30926900.222811095</v>
      </c>
      <c r="F30" s="18">
        <f t="shared" si="2"/>
        <v>12370760.089124439</v>
      </c>
      <c r="G30" s="18">
        <f t="shared" si="3"/>
        <v>49483040.356497757</v>
      </c>
      <c r="H30" s="109">
        <f t="shared" si="4"/>
        <v>18556140.133686658</v>
      </c>
      <c r="I30" s="20">
        <f>Miles!F30</f>
        <v>147229790.34182781</v>
      </c>
      <c r="J30" s="20">
        <f>Miles!S30</f>
        <v>102471706.82009797</v>
      </c>
      <c r="K30" s="20">
        <f t="shared" si="5"/>
        <v>44758083.521729842</v>
      </c>
      <c r="L30" s="18">
        <f>($K30+$J30*AreaType!C30)*D$2</f>
        <v>13330197.466483325</v>
      </c>
      <c r="M30" s="18">
        <f>($K30+$J30*AreaType!D30)*E$2</f>
        <v>34281831.626710713</v>
      </c>
      <c r="N30" s="18">
        <f>($K30+$J30*AreaType!E30)*F$2</f>
        <v>14349238.267998168</v>
      </c>
      <c r="O30" s="18">
        <f>($K30+$J30*AreaType!F30)*G$2</f>
        <v>58786750.887903191</v>
      </c>
      <c r="P30" s="18">
        <f>($K30+$J30*AreaType!G30)*H$2</f>
        <v>22081510.778650884</v>
      </c>
    </row>
    <row r="31" spans="1:16" x14ac:dyDescent="0.25">
      <c r="A31">
        <f t="shared" si="7"/>
        <v>28</v>
      </c>
      <c r="B31">
        <f t="shared" si="7"/>
        <v>2045</v>
      </c>
      <c r="C31" s="18">
        <f>Miles!C31</f>
        <v>125563214.90461303</v>
      </c>
      <c r="D31" s="18">
        <f t="shared" si="0"/>
        <v>12556321.490461305</v>
      </c>
      <c r="E31" s="18">
        <f t="shared" si="1"/>
        <v>31390803.726153258</v>
      </c>
      <c r="F31" s="18">
        <f t="shared" si="2"/>
        <v>12556321.490461305</v>
      </c>
      <c r="G31" s="18">
        <f t="shared" si="3"/>
        <v>50225285.961845219</v>
      </c>
      <c r="H31" s="109">
        <f t="shared" si="4"/>
        <v>18834482.235691953</v>
      </c>
      <c r="I31" s="20">
        <f>Miles!F31</f>
        <v>151231807.22243711</v>
      </c>
      <c r="J31" s="20">
        <f>Miles!S31</f>
        <v>107205742.79199106</v>
      </c>
      <c r="K31" s="20">
        <f t="shared" si="5"/>
        <v>44026064.430446059</v>
      </c>
      <c r="L31" s="18">
        <f>($K31+$J31*AreaType!C31)*D$2</f>
        <v>13666054.778451694</v>
      </c>
      <c r="M31" s="18">
        <f>($K31+$J31*AreaType!D31)*E$2</f>
        <v>35165656.25626266</v>
      </c>
      <c r="N31" s="18">
        <f>($K31+$J31*AreaType!E31)*F$2</f>
        <v>14732173.704854883</v>
      </c>
      <c r="O31" s="18">
        <f>($K31+$J31*AreaType!F31)*G$2</f>
        <v>60382699.166658044</v>
      </c>
      <c r="P31" s="18">
        <f>($K31+$J31*AreaType!G31)*H$2</f>
        <v>22681676.666175403</v>
      </c>
    </row>
    <row r="32" spans="1:16" x14ac:dyDescent="0.25">
      <c r="A32">
        <f t="shared" si="7"/>
        <v>29</v>
      </c>
      <c r="B32">
        <f t="shared" si="7"/>
        <v>2046</v>
      </c>
      <c r="C32" s="18">
        <f>Miles!C32</f>
        <v>127446663.12818222</v>
      </c>
      <c r="D32" s="18">
        <f t="shared" si="0"/>
        <v>12744666.312818222</v>
      </c>
      <c r="E32" s="18">
        <f t="shared" si="1"/>
        <v>31861665.782045554</v>
      </c>
      <c r="F32" s="18">
        <f t="shared" si="2"/>
        <v>12744666.312818222</v>
      </c>
      <c r="G32" s="18">
        <f t="shared" si="3"/>
        <v>50978665.251272887</v>
      </c>
      <c r="H32" s="109">
        <f t="shared" si="4"/>
        <v>19116999.469227333</v>
      </c>
      <c r="I32" s="20">
        <f>Miles!F32</f>
        <v>155365168.2541126</v>
      </c>
      <c r="J32" s="20">
        <f>Miles!S32</f>
        <v>112541113.05962896</v>
      </c>
      <c r="K32" s="20">
        <f t="shared" si="5"/>
        <v>42824055.194483638</v>
      </c>
      <c r="L32" s="18">
        <f>($K32+$J32*AreaType!C32)*D$2</f>
        <v>14006873.251180394</v>
      </c>
      <c r="M32" s="18">
        <f>($K32+$J32*AreaType!D32)*E$2</f>
        <v>36067495.861836351</v>
      </c>
      <c r="N32" s="18">
        <f>($K32+$J32*AreaType!E32)*F$2</f>
        <v>15126050.33541692</v>
      </c>
      <c r="O32" s="18">
        <f>($K32+$J32*AreaType!F32)*G$2</f>
        <v>62030567.965042144</v>
      </c>
      <c r="P32" s="18">
        <f>($K32+$J32*AreaType!G32)*H$2</f>
        <v>23301526.819274936</v>
      </c>
    </row>
    <row r="33" spans="1:16" x14ac:dyDescent="0.25">
      <c r="A33">
        <f t="shared" si="7"/>
        <v>30</v>
      </c>
      <c r="B33">
        <f t="shared" si="7"/>
        <v>2047</v>
      </c>
      <c r="C33" s="18">
        <f>Miles!C33</f>
        <v>129358363.07510494</v>
      </c>
      <c r="D33" s="18">
        <f t="shared" si="0"/>
        <v>12935836.307510495</v>
      </c>
      <c r="E33" s="18">
        <f t="shared" si="1"/>
        <v>32339590.768776234</v>
      </c>
      <c r="F33" s="18">
        <f t="shared" si="2"/>
        <v>12935836.307510495</v>
      </c>
      <c r="G33" s="18">
        <f t="shared" si="3"/>
        <v>51743345.230041981</v>
      </c>
      <c r="H33" s="109">
        <f t="shared" si="4"/>
        <v>19403754.461265739</v>
      </c>
      <c r="I33" s="20">
        <f>Miles!F33</f>
        <v>159611896.51315287</v>
      </c>
      <c r="J33" s="20">
        <f>Miles!S33</f>
        <v>118484045.24313171</v>
      </c>
      <c r="K33" s="20">
        <f t="shared" si="5"/>
        <v>41127851.270021155</v>
      </c>
      <c r="L33" s="18">
        <f>($K33+$J33*AreaType!C33)*D$2</f>
        <v>14350770.547329634</v>
      </c>
      <c r="M33" s="18">
        <f>($K33+$J33*AreaType!D33)*E$2</f>
        <v>36982702.720608562</v>
      </c>
      <c r="N33" s="18">
        <f>($K33+$J33*AreaType!E33)*F$2</f>
        <v>15529047.753576005</v>
      </c>
      <c r="O33" s="18">
        <f>($K33+$J33*AreaType!F33)*G$2</f>
        <v>63723160.122257344</v>
      </c>
      <c r="P33" s="18">
        <f>($K33+$J33*AreaType!G33)*H$2</f>
        <v>23938364.519638449</v>
      </c>
    </row>
    <row r="34" spans="1:16" x14ac:dyDescent="0.25">
      <c r="A34">
        <f t="shared" si="7"/>
        <v>31</v>
      </c>
      <c r="B34">
        <f t="shared" si="7"/>
        <v>2048</v>
      </c>
      <c r="C34" s="18">
        <f>Miles!C34</f>
        <v>131298738.5212315</v>
      </c>
      <c r="D34" s="18">
        <f t="shared" si="0"/>
        <v>13129873.852123151</v>
      </c>
      <c r="E34" s="18">
        <f t="shared" si="1"/>
        <v>32824684.630307876</v>
      </c>
      <c r="F34" s="18">
        <f t="shared" si="2"/>
        <v>13129873.852123151</v>
      </c>
      <c r="G34" s="18">
        <f t="shared" si="3"/>
        <v>52519495.408492602</v>
      </c>
      <c r="H34" s="109">
        <f t="shared" si="4"/>
        <v>19694810.778184723</v>
      </c>
      <c r="I34" s="20">
        <f>Miles!F34</f>
        <v>163950611.41405526</v>
      </c>
      <c r="J34" s="20">
        <f>Miles!S34</f>
        <v>124998460.33102216</v>
      </c>
      <c r="K34" s="20">
        <f t="shared" si="5"/>
        <v>38952151.0830331</v>
      </c>
      <c r="L34" s="18">
        <f>($K34+$J34*AreaType!C34)*D$2</f>
        <v>14696098.9893892</v>
      </c>
      <c r="M34" s="18">
        <f>($K34+$J34*AreaType!D34)*E$2</f>
        <v>37906820.924120992</v>
      </c>
      <c r="N34" s="18">
        <f>($K34+$J34*AreaType!E34)*F$2</f>
        <v>15939159.490249945</v>
      </c>
      <c r="O34" s="18">
        <f>($K34+$J34*AreaType!F34)*G$2</f>
        <v>65451960.431476668</v>
      </c>
      <c r="P34" s="18">
        <f>($K34+$J34*AreaType!G34)*H$2</f>
        <v>24588983.720835447</v>
      </c>
    </row>
    <row r="35" spans="1:16" x14ac:dyDescent="0.25">
      <c r="A35">
        <f t="shared" si="7"/>
        <v>32</v>
      </c>
      <c r="B35">
        <f t="shared" si="7"/>
        <v>2049</v>
      </c>
      <c r="C35" s="18">
        <f>Miles!C35</f>
        <v>133268219.59904996</v>
      </c>
      <c r="D35" s="18">
        <f t="shared" si="0"/>
        <v>13326821.959904997</v>
      </c>
      <c r="E35" s="18">
        <f t="shared" si="1"/>
        <v>33317054.899762489</v>
      </c>
      <c r="F35" s="18">
        <f t="shared" si="2"/>
        <v>13326821.959904997</v>
      </c>
      <c r="G35" s="18">
        <f t="shared" si="3"/>
        <v>53307287.839619987</v>
      </c>
      <c r="H35" s="109">
        <f t="shared" si="4"/>
        <v>19990232.939857494</v>
      </c>
      <c r="I35" s="20">
        <f>Miles!F35</f>
        <v>168358061.58707049</v>
      </c>
      <c r="J35" s="20">
        <f>Miles!S35</f>
        <v>132009593.9723419</v>
      </c>
      <c r="K35" s="20">
        <f t="shared" si="5"/>
        <v>36348467.6147286</v>
      </c>
      <c r="L35" s="18">
        <f>($K35+$J35*AreaType!C35)*D$2</f>
        <v>15041549.627321683</v>
      </c>
      <c r="M35" s="18">
        <f>($K35+$J35*AreaType!D35)*E$2</f>
        <v>38835880.343830593</v>
      </c>
      <c r="N35" s="18">
        <f>($K35+$J35*AreaType!E35)*F$2</f>
        <v>16354333.093350966</v>
      </c>
      <c r="O35" s="18">
        <f>($K35+$J35*AreaType!F35)*G$2</f>
        <v>67207745.074385732</v>
      </c>
      <c r="P35" s="18">
        <f>($K35+$J35*AreaType!G35)*H$2</f>
        <v>25249898.87542313</v>
      </c>
    </row>
    <row r="36" spans="1:16" x14ac:dyDescent="0.25">
      <c r="A36">
        <f t="shared" si="7"/>
        <v>33</v>
      </c>
      <c r="B36">
        <f t="shared" si="7"/>
        <v>2050</v>
      </c>
      <c r="C36" s="18">
        <f>Miles!C36</f>
        <v>135267242.89303568</v>
      </c>
      <c r="D36" s="18">
        <f t="shared" si="0"/>
        <v>13526724.289303569</v>
      </c>
      <c r="E36" s="18">
        <f t="shared" si="1"/>
        <v>33816810.72325892</v>
      </c>
      <c r="F36" s="18">
        <f t="shared" si="2"/>
        <v>13526724.289303569</v>
      </c>
      <c r="G36" s="18">
        <f t="shared" si="3"/>
        <v>54106897.157214276</v>
      </c>
      <c r="H36" s="109">
        <f t="shared" si="4"/>
        <v>20290086.433955353</v>
      </c>
      <c r="I36" s="20">
        <f>Miles!F36</f>
        <v>172810953.37454578</v>
      </c>
      <c r="J36" s="20">
        <f>Miles!S36</f>
        <v>139414703.74928519</v>
      </c>
      <c r="K36" s="20">
        <f t="shared" si="5"/>
        <v>33396249.625260592</v>
      </c>
      <c r="L36" s="18">
        <f>($K36+$J36*AreaType!C36)*D$2</f>
        <v>15386189.556396568</v>
      </c>
      <c r="M36" s="18">
        <f>($K36+$J36*AreaType!D36)*E$2</f>
        <v>39766589.853485465</v>
      </c>
      <c r="N36" s="18">
        <f>($K36+$J36*AreaType!E36)*F$2</f>
        <v>16772613.925232807</v>
      </c>
      <c r="O36" s="18">
        <f>($K36+$J36*AreaType!F36)*G$2</f>
        <v>68981302.03099905</v>
      </c>
      <c r="P36" s="18">
        <f>($K36+$J36*AreaType!G36)*H$2</f>
        <v>25917618.900340077</v>
      </c>
    </row>
    <row r="37" spans="1:16" x14ac:dyDescent="0.25">
      <c r="A37">
        <f t="shared" si="7"/>
        <v>34</v>
      </c>
      <c r="B37">
        <f t="shared" si="7"/>
        <v>2051</v>
      </c>
      <c r="C37" s="18">
        <f>Miles!C37</f>
        <v>137296251.53643119</v>
      </c>
      <c r="D37" s="18">
        <f t="shared" si="0"/>
        <v>13729625.15364312</v>
      </c>
      <c r="E37" s="18">
        <f t="shared" si="1"/>
        <v>34324062.884107798</v>
      </c>
      <c r="F37" s="18">
        <f t="shared" si="2"/>
        <v>13729625.15364312</v>
      </c>
      <c r="G37" s="18">
        <f t="shared" si="3"/>
        <v>54918500.61457248</v>
      </c>
      <c r="H37" s="109">
        <f t="shared" si="4"/>
        <v>20594437.730464678</v>
      </c>
      <c r="I37" s="20">
        <f>Miles!F37</f>
        <v>177246850.8062903</v>
      </c>
      <c r="J37" s="20">
        <f>Miles!S37</f>
        <v>146953858.45955855</v>
      </c>
      <c r="K37" s="20">
        <f t="shared" si="5"/>
        <v>30292992.346731752</v>
      </c>
      <c r="L37" s="18">
        <f>($K37+$J37*AreaType!C37)*D$2</f>
        <v>15727308.129309965</v>
      </c>
      <c r="M37" s="18">
        <f>($K37+$J37*AreaType!D37)*E$2</f>
        <v>40689746.974228971</v>
      </c>
      <c r="N37" s="18">
        <f>($K37+$J37*AreaType!E37)*F$2</f>
        <v>17188706.425068192</v>
      </c>
      <c r="O37" s="18">
        <f>($K37+$J37*AreaType!F37)*G$2</f>
        <v>70747923.676919922</v>
      </c>
      <c r="P37" s="18">
        <f>($K37+$J37*AreaType!G37)*H$2</f>
        <v>26582785.902786151</v>
      </c>
    </row>
    <row r="38" spans="1:16" x14ac:dyDescent="0.25">
      <c r="A38">
        <f t="shared" ref="A38:B53" si="8">A37+1</f>
        <v>35</v>
      </c>
      <c r="B38">
        <f t="shared" si="8"/>
        <v>2052</v>
      </c>
      <c r="C38" s="18">
        <f>Miles!C38</f>
        <v>139355695.30947766</v>
      </c>
      <c r="D38" s="18">
        <f t="shared" si="0"/>
        <v>13935569.530947767</v>
      </c>
      <c r="E38" s="18">
        <f t="shared" si="1"/>
        <v>34838923.827369414</v>
      </c>
      <c r="F38" s="18">
        <f t="shared" si="2"/>
        <v>13935569.530947767</v>
      </c>
      <c r="G38" s="18">
        <f t="shared" si="3"/>
        <v>55742278.123791069</v>
      </c>
      <c r="H38" s="109">
        <f t="shared" si="4"/>
        <v>20903354.296421647</v>
      </c>
      <c r="I38" s="20">
        <f>Miles!F38</f>
        <v>181654283.43604121</v>
      </c>
      <c r="J38" s="20">
        <f>Miles!S38</f>
        <v>154536301.90214497</v>
      </c>
      <c r="K38" s="20">
        <f t="shared" si="5"/>
        <v>27117981.533896238</v>
      </c>
      <c r="L38" s="18">
        <f>($K38+$J38*AreaType!C38)*D$2</f>
        <v>16064991.847434312</v>
      </c>
      <c r="M38" s="18">
        <f>($K38+$J38*AreaType!D38)*E$2</f>
        <v>41604720.958862707</v>
      </c>
      <c r="N38" s="18">
        <f>($K38+$J38*AreaType!E38)*F$2</f>
        <v>17601794.559523184</v>
      </c>
      <c r="O38" s="18">
        <f>($K38+$J38*AreaType!F38)*G$2</f>
        <v>72503114.975435778</v>
      </c>
      <c r="P38" s="18">
        <f>($K38+$J38*AreaType!G38)*H$2</f>
        <v>27243681.935434852</v>
      </c>
    </row>
    <row r="39" spans="1:16" x14ac:dyDescent="0.25">
      <c r="A39">
        <f t="shared" si="8"/>
        <v>36</v>
      </c>
      <c r="B39">
        <f t="shared" si="8"/>
        <v>2053</v>
      </c>
      <c r="C39" s="18">
        <f>Miles!C39</f>
        <v>141446030.7391198</v>
      </c>
      <c r="D39" s="18">
        <f t="shared" si="0"/>
        <v>14144603.07391198</v>
      </c>
      <c r="E39" s="18">
        <f t="shared" si="1"/>
        <v>35361507.684779949</v>
      </c>
      <c r="F39" s="18">
        <f t="shared" si="2"/>
        <v>14144603.07391198</v>
      </c>
      <c r="G39" s="18">
        <f t="shared" si="3"/>
        <v>56578412.295647919</v>
      </c>
      <c r="H39" s="109">
        <f t="shared" si="4"/>
        <v>21216904.61086797</v>
      </c>
      <c r="I39" s="20">
        <f>Miles!F39</f>
        <v>186044664.93338528</v>
      </c>
      <c r="J39" s="20">
        <f>Miles!S39</f>
        <v>162149761.39391348</v>
      </c>
      <c r="K39" s="20">
        <f t="shared" si="5"/>
        <v>23894903.539471805</v>
      </c>
      <c r="L39" s="18">
        <f>($K39+$J39*AreaType!C39)*D$2</f>
        <v>16400548.886376081</v>
      </c>
      <c r="M39" s="18">
        <f>($K39+$J39*AreaType!D39)*E$2</f>
        <v>42514667.709101573</v>
      </c>
      <c r="N39" s="18">
        <f>($K39+$J39*AreaType!E39)*F$2</f>
        <v>18013064.457199834</v>
      </c>
      <c r="O39" s="18">
        <f>($K39+$J39*AreaType!F39)*G$2</f>
        <v>74251453.98966071</v>
      </c>
      <c r="P39" s="18">
        <f>($K39+$J39*AreaType!G39)*H$2</f>
        <v>27902019.402966414</v>
      </c>
    </row>
    <row r="40" spans="1:16" x14ac:dyDescent="0.25">
      <c r="A40">
        <f t="shared" si="8"/>
        <v>37</v>
      </c>
      <c r="B40">
        <f t="shared" si="8"/>
        <v>2054</v>
      </c>
      <c r="C40" s="18">
        <f>Miles!C40</f>
        <v>143567721.20020658</v>
      </c>
      <c r="D40" s="18">
        <f t="shared" si="0"/>
        <v>14356772.120020658</v>
      </c>
      <c r="E40" s="18">
        <f t="shared" si="1"/>
        <v>35891930.300051644</v>
      </c>
      <c r="F40" s="18">
        <f t="shared" si="2"/>
        <v>14356772.120020658</v>
      </c>
      <c r="G40" s="18">
        <f t="shared" si="3"/>
        <v>57427088.480082631</v>
      </c>
      <c r="H40" s="109">
        <f t="shared" si="4"/>
        <v>21535158.180030987</v>
      </c>
      <c r="I40" s="20">
        <f>Miles!F40</f>
        <v>190408238.46626985</v>
      </c>
      <c r="J40" s="20">
        <f>Miles!S40</f>
        <v>169712440.29367137</v>
      </c>
      <c r="K40" s="20">
        <f t="shared" si="5"/>
        <v>20695798.172598481</v>
      </c>
      <c r="L40" s="18">
        <f>($K40+$J40*AreaType!C40)*D$2</f>
        <v>16734115.331804432</v>
      </c>
      <c r="M40" s="18">
        <f>($K40+$J40*AreaType!D40)*E$2</f>
        <v>43419164.055395879</v>
      </c>
      <c r="N40" s="18">
        <f>($K40+$J40*AreaType!E40)*F$2</f>
        <v>18421838.768357784</v>
      </c>
      <c r="O40" s="18">
        <f>($K40+$J40*AreaType!F40)*G$2</f>
        <v>75989121.93349798</v>
      </c>
      <c r="P40" s="18">
        <f>($K40+$J40*AreaType!G40)*H$2</f>
        <v>28556337.141574573</v>
      </c>
    </row>
    <row r="41" spans="1:16" x14ac:dyDescent="0.25">
      <c r="A41">
        <f t="shared" si="8"/>
        <v>38</v>
      </c>
      <c r="B41">
        <f t="shared" si="8"/>
        <v>2055</v>
      </c>
      <c r="C41" s="18">
        <f>Miles!C41</f>
        <v>145721237.01820967</v>
      </c>
      <c r="D41" s="18">
        <f t="shared" si="0"/>
        <v>14572123.701820968</v>
      </c>
      <c r="E41" s="18">
        <f t="shared" si="1"/>
        <v>36430309.254552417</v>
      </c>
      <c r="F41" s="18">
        <f t="shared" si="2"/>
        <v>14572123.701820968</v>
      </c>
      <c r="G41" s="18">
        <f t="shared" si="3"/>
        <v>58288494.807283871</v>
      </c>
      <c r="H41" s="109">
        <f t="shared" si="4"/>
        <v>21858185.552731451</v>
      </c>
      <c r="I41" s="20">
        <f>Miles!F41</f>
        <v>194739340.29994369</v>
      </c>
      <c r="J41" s="20">
        <f>Miles!S41</f>
        <v>177164514.80860487</v>
      </c>
      <c r="K41" s="20">
        <f t="shared" si="5"/>
        <v>17574825.491338819</v>
      </c>
      <c r="L41" s="18">
        <f>($K41+$J41*AreaType!C41)*D$2</f>
        <v>17065937.927137937</v>
      </c>
      <c r="M41" s="18">
        <f>($K41+$J41*AreaType!D41)*E$2</f>
        <v>44318268.538627744</v>
      </c>
      <c r="N41" s="18">
        <f>($K41+$J41*AreaType!E41)*F$2</f>
        <v>18827769.312336843</v>
      </c>
      <c r="O41" s="18">
        <f>($K41+$J41*AreaType!F41)*G$2</f>
        <v>77713914.709351048</v>
      </c>
      <c r="P41" s="18">
        <f>($K41+$J41*AreaType!G41)*H$2</f>
        <v>29205787.317817684</v>
      </c>
    </row>
    <row r="42" spans="1:16" x14ac:dyDescent="0.25">
      <c r="A42">
        <f t="shared" si="8"/>
        <v>39</v>
      </c>
      <c r="B42">
        <f t="shared" si="8"/>
        <v>2056</v>
      </c>
      <c r="C42" s="18">
        <f>Miles!C42</f>
        <v>147907055.57348281</v>
      </c>
      <c r="D42" s="18">
        <f t="shared" si="0"/>
        <v>14790705.557348281</v>
      </c>
      <c r="E42" s="18">
        <f t="shared" si="1"/>
        <v>36976763.893370703</v>
      </c>
      <c r="F42" s="18">
        <f t="shared" si="2"/>
        <v>14790705.557348281</v>
      </c>
      <c r="G42" s="18">
        <f t="shared" si="3"/>
        <v>59162822.229393125</v>
      </c>
      <c r="H42" s="109">
        <f t="shared" si="4"/>
        <v>22186058.336022422</v>
      </c>
      <c r="I42" s="20">
        <f>Miles!F42</f>
        <v>199035804.29660028</v>
      </c>
      <c r="J42" s="20">
        <f>Miles!S42</f>
        <v>184466416.48909849</v>
      </c>
      <c r="K42" s="20">
        <f t="shared" si="5"/>
        <v>14569387.807501793</v>
      </c>
      <c r="L42" s="18">
        <f>($K42+$J42*AreaType!C42)*D$2</f>
        <v>17396337.867606819</v>
      </c>
      <c r="M42" s="18">
        <f>($K42+$J42*AreaType!D42)*E$2</f>
        <v>45212414.866301715</v>
      </c>
      <c r="N42" s="18">
        <f>($K42+$J42*AreaType!E42)*F$2</f>
        <v>19230783.79170607</v>
      </c>
      <c r="O42" s="18">
        <f>($K42+$J42*AreaType!F42)*G$2</f>
        <v>79425006.470631883</v>
      </c>
      <c r="P42" s="18">
        <f>($K42+$J42*AreaType!G42)*H$2</f>
        <v>29850046.153139811</v>
      </c>
    </row>
    <row r="43" spans="1:16" x14ac:dyDescent="0.25">
      <c r="A43">
        <f t="shared" si="8"/>
        <v>40</v>
      </c>
      <c r="B43">
        <f t="shared" si="8"/>
        <v>2057</v>
      </c>
      <c r="C43" s="18">
        <f>Miles!C43</f>
        <v>150125661.40708503</v>
      </c>
      <c r="D43" s="18">
        <f t="shared" si="0"/>
        <v>15012566.140708504</v>
      </c>
      <c r="E43" s="18">
        <f t="shared" si="1"/>
        <v>37531415.351771258</v>
      </c>
      <c r="F43" s="18">
        <f t="shared" si="2"/>
        <v>15012566.140708504</v>
      </c>
      <c r="G43" s="18">
        <f t="shared" si="3"/>
        <v>60050264.562834017</v>
      </c>
      <c r="H43" s="109">
        <f t="shared" si="4"/>
        <v>22518849.211062755</v>
      </c>
      <c r="I43" s="20">
        <f>Miles!F43</f>
        <v>203298246.64713654</v>
      </c>
      <c r="J43" s="20">
        <f>Miles!S43</f>
        <v>191595538.65689296</v>
      </c>
      <c r="K43" s="20">
        <f t="shared" si="5"/>
        <v>11702707.990243584</v>
      </c>
      <c r="L43" s="18">
        <f>($K43+$J43*AreaType!C43)*D$2</f>
        <v>17725684.039211437</v>
      </c>
      <c r="M43" s="18">
        <f>($K43+$J43*AreaType!D43)*E$2</f>
        <v>46102314.272014663</v>
      </c>
      <c r="N43" s="18">
        <f>($K43+$J43*AreaType!E43)*F$2</f>
        <v>19631026.277946308</v>
      </c>
      <c r="O43" s="18">
        <f>($K43+$J43*AreaType!F43)*G$2</f>
        <v>81122666.894610167</v>
      </c>
      <c r="P43" s="18">
        <f>($K43+$J43*AreaType!G43)*H$2</f>
        <v>30489206.728701107</v>
      </c>
    </row>
    <row r="44" spans="1:16" x14ac:dyDescent="0.25">
      <c r="A44">
        <f t="shared" si="8"/>
        <v>41</v>
      </c>
      <c r="B44">
        <f t="shared" si="8"/>
        <v>2058</v>
      </c>
      <c r="C44" s="18">
        <f>Miles!C44</f>
        <v>152377546.32819128</v>
      </c>
      <c r="D44" s="18">
        <f t="shared" si="0"/>
        <v>15237754.632819129</v>
      </c>
      <c r="E44" s="18">
        <f t="shared" si="1"/>
        <v>38094386.58204782</v>
      </c>
      <c r="F44" s="18">
        <f t="shared" si="2"/>
        <v>15237754.632819129</v>
      </c>
      <c r="G44" s="18">
        <f t="shared" si="3"/>
        <v>60951018.531276517</v>
      </c>
      <c r="H44" s="109">
        <f t="shared" si="4"/>
        <v>22856631.949228693</v>
      </c>
      <c r="I44" s="20">
        <f>Miles!F44</f>
        <v>207529355.66037938</v>
      </c>
      <c r="J44" s="20">
        <f>Miles!S44</f>
        <v>198542482.40651849</v>
      </c>
      <c r="K44" s="20">
        <f t="shared" si="5"/>
        <v>8986873.2538608909</v>
      </c>
      <c r="L44" s="18">
        <f>($K44+$J44*AreaType!C44)*D$2</f>
        <v>18054373.021485325</v>
      </c>
      <c r="M44" s="18">
        <f>($K44+$J44*AreaType!D44)*E$2</f>
        <v>46988870.487411276</v>
      </c>
      <c r="N44" s="18">
        <f>($K44+$J44*AreaType!E44)*F$2</f>
        <v>20028799.882174678</v>
      </c>
      <c r="O44" s="18">
        <f>($K44+$J44*AreaType!F44)*G$2</f>
        <v>82807980.950779125</v>
      </c>
      <c r="P44" s="18">
        <f>($K44+$J44*AreaType!G44)*H$2</f>
        <v>31123672.562118299</v>
      </c>
    </row>
    <row r="45" spans="1:16" x14ac:dyDescent="0.25">
      <c r="A45">
        <f t="shared" si="8"/>
        <v>42</v>
      </c>
      <c r="B45">
        <f t="shared" si="8"/>
        <v>2059</v>
      </c>
      <c r="C45" s="18">
        <f>Miles!C45</f>
        <v>154663209.52311414</v>
      </c>
      <c r="D45" s="18">
        <f t="shared" si="0"/>
        <v>15466320.952311415</v>
      </c>
      <c r="E45" s="18">
        <f t="shared" si="1"/>
        <v>38665802.380778536</v>
      </c>
      <c r="F45" s="18">
        <f t="shared" si="2"/>
        <v>15466320.952311415</v>
      </c>
      <c r="G45" s="18">
        <f t="shared" si="3"/>
        <v>61865283.809245661</v>
      </c>
      <c r="H45" s="109">
        <f t="shared" si="4"/>
        <v>23199481.428467121</v>
      </c>
      <c r="I45" s="20">
        <f>Miles!F45</f>
        <v>211733260.0233717</v>
      </c>
      <c r="J45" s="20">
        <f>Miles!S45</f>
        <v>205307523.02303371</v>
      </c>
      <c r="K45" s="20">
        <f t="shared" si="5"/>
        <v>6425737.0003379881</v>
      </c>
      <c r="L45" s="18">
        <f>($K45+$J45*AreaType!C45)*D$2</f>
        <v>18382813.941495515</v>
      </c>
      <c r="M45" s="18">
        <f>($K45+$J45*AreaType!D45)*E$2</f>
        <v>47873108.899312705</v>
      </c>
      <c r="N45" s="18">
        <f>($K45+$J45*AreaType!E45)*F$2</f>
        <v>20424516.469059795</v>
      </c>
      <c r="O45" s="18">
        <f>($K45+$J45*AreaType!F45)*G$2</f>
        <v>84482599.831434757</v>
      </c>
      <c r="P45" s="18">
        <f>($K45+$J45*AreaType!G45)*H$2</f>
        <v>31754062.948501926</v>
      </c>
    </row>
    <row r="46" spans="1:16" x14ac:dyDescent="0.25">
      <c r="A46">
        <f t="shared" si="8"/>
        <v>43</v>
      </c>
      <c r="B46">
        <f t="shared" si="8"/>
        <v>2060</v>
      </c>
      <c r="C46" s="18">
        <f>Miles!C46</f>
        <v>156983157.66596085</v>
      </c>
      <c r="D46" s="18">
        <f t="shared" si="0"/>
        <v>15698315.766596086</v>
      </c>
      <c r="E46" s="18">
        <f t="shared" si="1"/>
        <v>39245789.416490212</v>
      </c>
      <c r="F46" s="18">
        <f t="shared" si="2"/>
        <v>15698315.766596086</v>
      </c>
      <c r="G46" s="18">
        <f t="shared" si="3"/>
        <v>62793263.066384345</v>
      </c>
      <c r="H46" s="109">
        <f t="shared" si="4"/>
        <v>23547473.649894126</v>
      </c>
      <c r="I46" s="20">
        <f>Miles!F46</f>
        <v>215915007.56565294</v>
      </c>
      <c r="J46" s="20">
        <f>Miles!S46</f>
        <v>211897619.0765202</v>
      </c>
      <c r="K46" s="20">
        <f t="shared" si="5"/>
        <v>4017388.4891327322</v>
      </c>
      <c r="L46" s="18">
        <f>($K46+$J46*AreaType!C46)*D$2</f>
        <v>18711417.002253372</v>
      </c>
      <c r="M46" s="18">
        <f>($K46+$J46*AreaType!D46)*E$2</f>
        <v>48756119.957512178</v>
      </c>
      <c r="N46" s="18">
        <f>($K46+$J46*AreaType!E46)*F$2</f>
        <v>20818655.441854276</v>
      </c>
      <c r="O46" s="18">
        <f>($K46+$J46*AreaType!F46)*G$2</f>
        <v>86148535.526911795</v>
      </c>
      <c r="P46" s="18">
        <f>($K46+$J46*AreaType!G46)*H$2</f>
        <v>32381134.861428741</v>
      </c>
    </row>
    <row r="47" spans="1:16" x14ac:dyDescent="0.25">
      <c r="A47">
        <f t="shared" si="8"/>
        <v>44</v>
      </c>
      <c r="B47">
        <f t="shared" si="8"/>
        <v>2061</v>
      </c>
      <c r="C47" s="18">
        <f>Miles!C47</f>
        <v>159337905.03095025</v>
      </c>
      <c r="D47" s="18">
        <f t="shared" si="0"/>
        <v>15933790.503095025</v>
      </c>
      <c r="E47" s="18">
        <f t="shared" si="1"/>
        <v>39834476.257737562</v>
      </c>
      <c r="F47" s="18">
        <f t="shared" si="2"/>
        <v>15933790.503095025</v>
      </c>
      <c r="G47" s="18">
        <f t="shared" si="3"/>
        <v>63735162.012380101</v>
      </c>
      <c r="H47" s="109">
        <f t="shared" si="4"/>
        <v>23900685.754642535</v>
      </c>
      <c r="I47" s="20">
        <f>Miles!F47</f>
        <v>220080159.19988137</v>
      </c>
      <c r="J47" s="20">
        <f>Miles!S47</f>
        <v>218324051.46280614</v>
      </c>
      <c r="K47" s="20">
        <f t="shared" si="5"/>
        <v>1756107.7370752394</v>
      </c>
      <c r="L47" s="18">
        <f>($K47+$J47*AreaType!C47)*D$2</f>
        <v>19040584.966615699</v>
      </c>
      <c r="M47" s="18">
        <f>($K47+$J47*AreaType!D47)*E$2</f>
        <v>49639015.850397073</v>
      </c>
      <c r="N47" s="18">
        <f>($K47+$J47*AreaType!E47)*F$2</f>
        <v>21211731.747484881</v>
      </c>
      <c r="O47" s="18">
        <f>($K47+$J47*AreaType!F47)*G$2</f>
        <v>87808000.824851304</v>
      </c>
      <c r="P47" s="18">
        <f>($K47+$J47*AreaType!G47)*H$2</f>
        <v>33005722.112182483</v>
      </c>
    </row>
    <row r="48" spans="1:16" x14ac:dyDescent="0.25">
      <c r="A48">
        <f t="shared" si="8"/>
        <v>45</v>
      </c>
      <c r="B48">
        <f t="shared" si="8"/>
        <v>2062</v>
      </c>
      <c r="C48" s="18">
        <f>Miles!C48</f>
        <v>161727973.6064145</v>
      </c>
      <c r="D48" s="18">
        <f t="shared" si="0"/>
        <v>16172797.36064145</v>
      </c>
      <c r="E48" s="18">
        <f t="shared" si="1"/>
        <v>40431993.401603624</v>
      </c>
      <c r="F48" s="18">
        <f t="shared" si="2"/>
        <v>16172797.36064145</v>
      </c>
      <c r="G48" s="18">
        <f t="shared" si="3"/>
        <v>64691189.442565799</v>
      </c>
      <c r="H48" s="109">
        <f t="shared" si="4"/>
        <v>24259196.040962175</v>
      </c>
      <c r="I48" s="20">
        <f>Miles!F48</f>
        <v>223968234.1301688</v>
      </c>
      <c r="J48" s="20">
        <f>Miles!S48</f>
        <v>223317732.43818521</v>
      </c>
      <c r="K48" s="20">
        <f t="shared" si="5"/>
        <v>650501.69198358059</v>
      </c>
      <c r="L48" s="18">
        <f>($K48+$J48*AreaType!C48)*D$2</f>
        <v>19361519.023812149</v>
      </c>
      <c r="M48" s="18">
        <f>($K48+$J48*AreaType!D48)*E$2</f>
        <v>50487955.532607771</v>
      </c>
      <c r="N48" s="18">
        <f>($K48+$J48*AreaType!E48)*F$2</f>
        <v>21582325.996958539</v>
      </c>
      <c r="O48" s="18">
        <f>($K48+$J48*AreaType!F48)*G$2</f>
        <v>89358105.853519544</v>
      </c>
      <c r="P48" s="18">
        <f>($K48+$J48*AreaType!G48)*H$2</f>
        <v>33588789.212691158</v>
      </c>
    </row>
    <row r="49" spans="1:16" x14ac:dyDescent="0.25">
      <c r="A49">
        <f t="shared" si="8"/>
        <v>46</v>
      </c>
      <c r="B49">
        <f t="shared" si="8"/>
        <v>2063</v>
      </c>
      <c r="C49" s="18">
        <f>Miles!C49</f>
        <v>164153893.2105107</v>
      </c>
      <c r="D49" s="18">
        <f t="shared" si="0"/>
        <v>16415389.32105107</v>
      </c>
      <c r="E49" s="18">
        <f t="shared" si="1"/>
        <v>41038473.302627675</v>
      </c>
      <c r="F49" s="18">
        <f t="shared" si="2"/>
        <v>16415389.32105107</v>
      </c>
      <c r="G49" s="18">
        <f t="shared" si="3"/>
        <v>65661557.284204282</v>
      </c>
      <c r="H49" s="109">
        <f t="shared" si="4"/>
        <v>24623083.981576603</v>
      </c>
      <c r="I49" s="20">
        <f>Miles!F49</f>
        <v>227396257.44533804</v>
      </c>
      <c r="J49" s="20">
        <f>Miles!S49</f>
        <v>226933552.92402354</v>
      </c>
      <c r="K49" s="20">
        <f t="shared" si="5"/>
        <v>462704.52131450176</v>
      </c>
      <c r="L49" s="18">
        <f>($K49+$J49*AreaType!C49)*D$2</f>
        <v>19655175.612752274</v>
      </c>
      <c r="M49" s="18">
        <f>($K49+$J49*AreaType!D49)*E$2</f>
        <v>51255842.382060476</v>
      </c>
      <c r="N49" s="18">
        <f>($K49+$J49*AreaType!E49)*F$2</f>
        <v>21911940.497798108</v>
      </c>
      <c r="O49" s="18">
        <f>($K49+$J49*AreaType!F49)*G$2</f>
        <v>90725604.314677194</v>
      </c>
      <c r="P49" s="18">
        <f>($K49+$J49*AreaType!G49)*H$2</f>
        <v>34102888.341890946</v>
      </c>
    </row>
    <row r="50" spans="1:16" x14ac:dyDescent="0.25">
      <c r="A50">
        <f t="shared" si="8"/>
        <v>47</v>
      </c>
      <c r="B50">
        <f t="shared" si="8"/>
        <v>2064</v>
      </c>
      <c r="C50" s="18">
        <f>Miles!C50</f>
        <v>166616201.60866836</v>
      </c>
      <c r="D50" s="18">
        <f t="shared" si="0"/>
        <v>16661620.160866836</v>
      </c>
      <c r="E50" s="18">
        <f t="shared" si="1"/>
        <v>41654050.402167089</v>
      </c>
      <c r="F50" s="18">
        <f t="shared" si="2"/>
        <v>16661620.160866836</v>
      </c>
      <c r="G50" s="18">
        <f t="shared" si="3"/>
        <v>66646480.643467344</v>
      </c>
      <c r="H50" s="109">
        <f t="shared" si="4"/>
        <v>24992430.241300251</v>
      </c>
      <c r="I50" s="20">
        <f>Miles!F50</f>
        <v>230872875.27554253</v>
      </c>
      <c r="J50" s="20">
        <f>Miles!S50</f>
        <v>230590274.1878643</v>
      </c>
      <c r="K50" s="20">
        <f t="shared" si="5"/>
        <v>282601.08767822385</v>
      </c>
      <c r="L50" s="18">
        <f>($K50+$J50*AreaType!C50)*D$2</f>
        <v>19953135.735357977</v>
      </c>
      <c r="M50" s="18">
        <f>($K50+$J50*AreaType!D50)*E$2</f>
        <v>52034869.780472659</v>
      </c>
      <c r="N50" s="18">
        <f>($K50+$J50*AreaType!E50)*F$2</f>
        <v>22246265.274445951</v>
      </c>
      <c r="O50" s="18">
        <f>($K50+$J50*AreaType!F50)*G$2</f>
        <v>92112498.60596478</v>
      </c>
      <c r="P50" s="18">
        <f>($K50+$J50*AreaType!G50)*H$2</f>
        <v>34624275.467774287</v>
      </c>
    </row>
    <row r="51" spans="1:16" x14ac:dyDescent="0.25">
      <c r="A51">
        <f t="shared" si="8"/>
        <v>48</v>
      </c>
      <c r="B51">
        <f t="shared" si="8"/>
        <v>2065</v>
      </c>
      <c r="C51" s="18">
        <f>Miles!C51</f>
        <v>169115444.63279837</v>
      </c>
      <c r="D51" s="18">
        <f t="shared" si="0"/>
        <v>16911544.46327984</v>
      </c>
      <c r="E51" s="18">
        <f t="shared" si="1"/>
        <v>42278861.158199593</v>
      </c>
      <c r="F51" s="18">
        <f t="shared" si="2"/>
        <v>16911544.46327984</v>
      </c>
      <c r="G51" s="18">
        <f t="shared" si="3"/>
        <v>67646177.853119358</v>
      </c>
      <c r="H51" s="109">
        <f t="shared" si="4"/>
        <v>25367316.694919754</v>
      </c>
      <c r="I51" s="20">
        <f>Miles!F51</f>
        <v>234398739.68907604</v>
      </c>
      <c r="J51" s="20">
        <f>Miles!S51</f>
        <v>234288682.45818919</v>
      </c>
      <c r="K51" s="20">
        <f t="shared" si="5"/>
        <v>110057.23088684678</v>
      </c>
      <c r="L51" s="18">
        <f>($K51+$J51*AreaType!C51)*D$2</f>
        <v>20255453.912147537</v>
      </c>
      <c r="M51" s="18">
        <f>($K51+$J51*AreaType!D51)*E$2</f>
        <v>52825181.3667766</v>
      </c>
      <c r="N51" s="18">
        <f>($K51+$J51*AreaType!E51)*F$2</f>
        <v>22585362.666153222</v>
      </c>
      <c r="O51" s="18">
        <f>($K51+$J51*AreaType!F51)*G$2</f>
        <v>93519048.747804761</v>
      </c>
      <c r="P51" s="18">
        <f>($K51+$J51*AreaType!G51)*H$2</f>
        <v>35153048.37789131</v>
      </c>
    </row>
    <row r="52" spans="1:16" x14ac:dyDescent="0.25">
      <c r="A52">
        <f t="shared" si="8"/>
        <v>49</v>
      </c>
      <c r="B52">
        <f t="shared" si="8"/>
        <v>2066</v>
      </c>
      <c r="C52" s="18">
        <f>Miles!C52</f>
        <v>171652176.30229032</v>
      </c>
      <c r="D52" s="18">
        <f t="shared" si="0"/>
        <v>17165217.630229034</v>
      </c>
      <c r="E52" s="18">
        <f t="shared" si="1"/>
        <v>42913044.07557258</v>
      </c>
      <c r="F52" s="18">
        <f t="shared" si="2"/>
        <v>17165217.630229034</v>
      </c>
      <c r="G52" s="18">
        <f t="shared" si="3"/>
        <v>68660870.520916134</v>
      </c>
      <c r="H52" s="109">
        <f t="shared" si="4"/>
        <v>25747826.445343547</v>
      </c>
      <c r="I52" s="20">
        <f>Miles!F52</f>
        <v>238029722.66922104</v>
      </c>
      <c r="J52" s="20">
        <f>Miles!S52</f>
        <v>238029722.66922104</v>
      </c>
      <c r="K52" s="20">
        <f t="shared" si="5"/>
        <v>0</v>
      </c>
      <c r="L52" s="18">
        <f>($K52+$J52*AreaType!C52)*D$2</f>
        <v>20567704.498031165</v>
      </c>
      <c r="M52" s="18">
        <f>($K52+$J52*AreaType!D52)*E$2</f>
        <v>53640721.847037844</v>
      </c>
      <c r="N52" s="18">
        <f>($K52+$J52*AreaType!E52)*F$2</f>
        <v>22934816.42482914</v>
      </c>
      <c r="O52" s="18">
        <f>($K52+$J52*AreaType!F52)*G$2</f>
        <v>94967602.563737616</v>
      </c>
      <c r="P52" s="18">
        <f>($K52+$J52*AreaType!G52)*H$2</f>
        <v>35697587.842459537</v>
      </c>
    </row>
    <row r="53" spans="1:16" x14ac:dyDescent="0.25">
      <c r="A53">
        <f t="shared" si="8"/>
        <v>50</v>
      </c>
      <c r="B53">
        <f t="shared" si="8"/>
        <v>2067</v>
      </c>
      <c r="C53" s="18">
        <f>Miles!C53</f>
        <v>174226958.94682467</v>
      </c>
      <c r="D53" s="18">
        <f t="shared" si="0"/>
        <v>17422695.894682467</v>
      </c>
      <c r="E53" s="18">
        <f t="shared" si="1"/>
        <v>43556739.736706167</v>
      </c>
      <c r="F53" s="18">
        <f t="shared" si="2"/>
        <v>17422695.894682467</v>
      </c>
      <c r="G53" s="18">
        <f t="shared" si="3"/>
        <v>69690783.578729868</v>
      </c>
      <c r="H53" s="109">
        <f t="shared" si="4"/>
        <v>26134043.8420237</v>
      </c>
      <c r="I53" s="20">
        <f>Miles!F53</f>
        <v>241611671.46723285</v>
      </c>
      <c r="J53" s="20">
        <f>Miles!S53</f>
        <v>241611671.46723285</v>
      </c>
      <c r="K53" s="20">
        <f t="shared" si="5"/>
        <v>0</v>
      </c>
      <c r="L53" s="18">
        <f>($K53+$J53*AreaType!C53)*D$2</f>
        <v>20877214.01465134</v>
      </c>
      <c r="M53" s="18">
        <f>($K53+$J53*AreaType!D53)*E$2</f>
        <v>54447924.901303001</v>
      </c>
      <c r="N53" s="18">
        <f>($K53+$J53*AreaType!E53)*F$2</f>
        <v>23279947.012741894</v>
      </c>
      <c r="O53" s="18">
        <f>($K53+$J53*AreaType!F53)*G$2</f>
        <v>96396705.980061635</v>
      </c>
      <c r="P53" s="18">
        <f>($K53+$J53*AreaType!G53)*H$2</f>
        <v>36234776.771767795</v>
      </c>
    </row>
    <row r="54" spans="1:16" x14ac:dyDescent="0.25">
      <c r="A54">
        <f t="shared" ref="A54:B56" si="9">A53+1</f>
        <v>51</v>
      </c>
      <c r="B54">
        <f t="shared" si="9"/>
        <v>2068</v>
      </c>
      <c r="C54" s="18">
        <f>Miles!C54</f>
        <v>176840363.33102703</v>
      </c>
      <c r="D54" s="18">
        <f t="shared" si="0"/>
        <v>17684036.333102703</v>
      </c>
      <c r="E54" s="18">
        <f t="shared" si="1"/>
        <v>44210090.832756758</v>
      </c>
      <c r="F54" s="18">
        <f t="shared" si="2"/>
        <v>17684036.333102703</v>
      </c>
      <c r="G54" s="18">
        <f t="shared" si="3"/>
        <v>70736145.332410812</v>
      </c>
      <c r="H54" s="109">
        <f t="shared" si="4"/>
        <v>26526054.499654055</v>
      </c>
      <c r="I54" s="20">
        <f>Miles!F54</f>
        <v>245214073.65627828</v>
      </c>
      <c r="J54" s="20">
        <f>Miles!S54</f>
        <v>245214073.65627828</v>
      </c>
      <c r="K54" s="20">
        <f t="shared" si="5"/>
        <v>0</v>
      </c>
      <c r="L54" s="18">
        <f>($K54+$J54*AreaType!C54)*D$2</f>
        <v>21188490.870652683</v>
      </c>
      <c r="M54" s="18">
        <f>($K54+$J54*AreaType!D54)*E$2</f>
        <v>55259737.189435929</v>
      </c>
      <c r="N54" s="18">
        <f>($K54+$J54*AreaType!E54)*F$2</f>
        <v>23627048.340961203</v>
      </c>
      <c r="O54" s="18">
        <f>($K54+$J54*AreaType!F54)*G$2</f>
        <v>97833969.761776075</v>
      </c>
      <c r="P54" s="18">
        <f>($K54+$J54*AreaType!G54)*H$2</f>
        <v>36775033.119358562</v>
      </c>
    </row>
    <row r="55" spans="1:16" x14ac:dyDescent="0.25">
      <c r="A55">
        <f t="shared" si="9"/>
        <v>52</v>
      </c>
      <c r="B55">
        <f t="shared" si="9"/>
        <v>2069</v>
      </c>
      <c r="C55" s="18">
        <f>Miles!C55</f>
        <v>179492968.78099242</v>
      </c>
      <c r="D55" s="18">
        <f t="shared" si="0"/>
        <v>17949296.878099244</v>
      </c>
      <c r="E55" s="18">
        <f t="shared" si="1"/>
        <v>44873242.195248105</v>
      </c>
      <c r="F55" s="18">
        <f t="shared" si="2"/>
        <v>17949296.878099244</v>
      </c>
      <c r="G55" s="18">
        <f t="shared" si="3"/>
        <v>71797187.512396976</v>
      </c>
      <c r="H55" s="109">
        <f t="shared" si="4"/>
        <v>26923945.317148861</v>
      </c>
      <c r="I55" s="20">
        <f>Miles!F55</f>
        <v>248874375.37385312</v>
      </c>
      <c r="J55" s="20">
        <f>Miles!S55</f>
        <v>248874375.37385312</v>
      </c>
      <c r="K55" s="20">
        <f t="shared" si="5"/>
        <v>0</v>
      </c>
      <c r="L55" s="18">
        <f>($K55+$J55*AreaType!C55)*D$2</f>
        <v>21504770.716952946</v>
      </c>
      <c r="M55" s="18">
        <f>($K55+$J55*AreaType!D55)*E$2</f>
        <v>56084597.312394239</v>
      </c>
      <c r="N55" s="18">
        <f>($K55+$J55*AreaType!E55)*F$2</f>
        <v>23979728.447507072</v>
      </c>
      <c r="O55" s="18">
        <f>($K55+$J55*AreaType!F55)*G$2</f>
        <v>99294333.933443293</v>
      </c>
      <c r="P55" s="18">
        <f>($K55+$J55*AreaType!G55)*H$2</f>
        <v>37323972.72500021</v>
      </c>
    </row>
    <row r="56" spans="1:16" x14ac:dyDescent="0.25">
      <c r="A56">
        <f t="shared" si="9"/>
        <v>53</v>
      </c>
      <c r="B56">
        <f t="shared" si="9"/>
        <v>2070</v>
      </c>
      <c r="C56" s="18">
        <f>Miles!C56</f>
        <v>182185363.31270728</v>
      </c>
      <c r="D56" s="18">
        <f t="shared" si="0"/>
        <v>18218536.331270728</v>
      </c>
      <c r="E56" s="18">
        <f t="shared" si="1"/>
        <v>45546340.828176819</v>
      </c>
      <c r="F56" s="18">
        <f t="shared" si="2"/>
        <v>18218536.331270728</v>
      </c>
      <c r="G56" s="18">
        <f t="shared" si="3"/>
        <v>72874145.325082913</v>
      </c>
      <c r="H56" s="109">
        <f t="shared" si="4"/>
        <v>27327804.496906091</v>
      </c>
      <c r="I56" s="20">
        <f>Miles!F56</f>
        <v>252592798.55777335</v>
      </c>
      <c r="J56" s="20">
        <f>Miles!S56</f>
        <v>252592798.55777335</v>
      </c>
      <c r="K56" s="20">
        <f t="shared" si="5"/>
        <v>0</v>
      </c>
      <c r="L56" s="18">
        <f>($K56+$J56*AreaType!C56)*D$2</f>
        <v>21826072.730784971</v>
      </c>
      <c r="M56" s="18">
        <f>($K56+$J56*AreaType!D56)*E$2</f>
        <v>56922555.284539685</v>
      </c>
      <c r="N56" s="18">
        <f>($K56+$J56*AreaType!E56)*F$2</f>
        <v>24338008.716696609</v>
      </c>
      <c r="O56" s="18">
        <f>($K56+$J56*AreaType!F56)*G$2</f>
        <v>100777887.04241806</v>
      </c>
      <c r="P56" s="18">
        <f>($K56+$J56*AreaType!G56)*H$2</f>
        <v>37881628.872959062</v>
      </c>
    </row>
  </sheetData>
  <mergeCells count="1">
    <mergeCell ref="C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1:AJ29"/>
  <sheetViews>
    <sheetView workbookViewId="0">
      <selection activeCell="W4" sqref="W4"/>
    </sheetView>
  </sheetViews>
  <sheetFormatPr defaultRowHeight="15" x14ac:dyDescent="0.25"/>
  <cols>
    <col min="23" max="23" width="10.5703125" customWidth="1"/>
    <col min="24" max="24" width="10" customWidth="1"/>
    <col min="27" max="27" width="11.42578125" customWidth="1"/>
    <col min="29" max="29" width="9.5703125" customWidth="1"/>
    <col min="30" max="30" width="9.42578125" customWidth="1"/>
    <col min="32" max="32" width="11.140625" customWidth="1"/>
    <col min="35" max="35" width="11.5703125" customWidth="1"/>
  </cols>
  <sheetData>
    <row r="1" spans="16:36" x14ac:dyDescent="0.25"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10</v>
      </c>
      <c r="AF1">
        <v>11</v>
      </c>
      <c r="AG1">
        <v>12</v>
      </c>
      <c r="AH1">
        <v>13</v>
      </c>
      <c r="AI1">
        <v>14</v>
      </c>
      <c r="AJ1">
        <v>15</v>
      </c>
    </row>
    <row r="2" spans="16:36" ht="23.25" x14ac:dyDescent="0.35">
      <c r="P2" s="181">
        <f>E28</f>
        <v>2060</v>
      </c>
      <c r="Q2" s="181"/>
      <c r="W2" s="178" t="s">
        <v>206</v>
      </c>
      <c r="X2" s="178"/>
      <c r="Y2" s="178"/>
      <c r="Z2" s="178"/>
      <c r="AA2" s="178"/>
      <c r="AB2" s="178"/>
      <c r="AC2" s="178" t="s">
        <v>208</v>
      </c>
      <c r="AD2" s="178"/>
      <c r="AE2" s="178"/>
      <c r="AF2" s="178"/>
      <c r="AG2" s="178"/>
      <c r="AH2" s="178"/>
      <c r="AI2" s="178"/>
      <c r="AJ2" s="178"/>
    </row>
    <row r="3" spans="16:36" ht="38.25" customHeight="1" x14ac:dyDescent="0.25">
      <c r="V3" s="113" t="s">
        <v>97</v>
      </c>
      <c r="W3" s="113" t="s">
        <v>115</v>
      </c>
      <c r="X3" s="113" t="s">
        <v>236</v>
      </c>
      <c r="Y3" s="113" t="str">
        <f>City!$A11</f>
        <v>Urban</v>
      </c>
      <c r="Z3" s="114" t="s">
        <v>238</v>
      </c>
      <c r="AA3" s="114" t="s">
        <v>237</v>
      </c>
      <c r="AB3" s="118" t="str">
        <f>City!$A14</f>
        <v>Rural</v>
      </c>
      <c r="AC3" s="113" t="s">
        <v>228</v>
      </c>
      <c r="AD3" s="113" t="s">
        <v>229</v>
      </c>
      <c r="AE3" s="114" t="s">
        <v>233</v>
      </c>
      <c r="AF3" s="116" t="str">
        <f>City!$A$10</f>
        <v>Downtown</v>
      </c>
      <c r="AG3" s="116" t="str">
        <f>City!$A$11</f>
        <v>Urban</v>
      </c>
      <c r="AH3" s="115" t="s">
        <v>234</v>
      </c>
      <c r="AI3" s="115" t="s">
        <v>235</v>
      </c>
      <c r="AJ3" s="79" t="str">
        <f>City!$A$14</f>
        <v>Rural</v>
      </c>
    </row>
    <row r="4" spans="16:36" x14ac:dyDescent="0.25">
      <c r="V4">
        <f>VLOOKUP($E28,'AT-Miles'!$B4:$P56,V1)</f>
        <v>2060</v>
      </c>
      <c r="W4">
        <f>VLOOKUP($E28,'AT-Miles'!$B4:$P56,W1)</f>
        <v>156983157.66596085</v>
      </c>
      <c r="X4">
        <f>VLOOKUP($E28,'AT-Miles'!$B4:$P56,X1)</f>
        <v>15698315.766596086</v>
      </c>
      <c r="Y4">
        <f>VLOOKUP($E28,'AT-Miles'!$B4:$P56,Y1)</f>
        <v>39245789.416490212</v>
      </c>
      <c r="Z4">
        <f>VLOOKUP($E28,'AT-Miles'!$B4:$P56,Z1)</f>
        <v>15698315.766596086</v>
      </c>
      <c r="AA4">
        <f>VLOOKUP($E28,'AT-Miles'!$B4:$P56,AA1)</f>
        <v>62793263.066384345</v>
      </c>
      <c r="AB4">
        <f>VLOOKUP($E28,'AT-Miles'!$B4:$P56,AB1)</f>
        <v>23547473.649894126</v>
      </c>
      <c r="AC4">
        <f>VLOOKUP($E28,'AT-Miles'!$B4:$P56,AC1)</f>
        <v>215915007.56565294</v>
      </c>
      <c r="AD4">
        <f>VLOOKUP($E28,'AT-Miles'!$B4:$P56,AD1)</f>
        <v>211897619.0765202</v>
      </c>
      <c r="AE4">
        <f>VLOOKUP($E28,'AT-Miles'!$B4:$P56,AE1)</f>
        <v>4017388.4891327322</v>
      </c>
      <c r="AF4">
        <f>VLOOKUP($E28,'AT-Miles'!$B4:$P56,AF1)</f>
        <v>18711417.002253372</v>
      </c>
      <c r="AG4">
        <f>VLOOKUP($E28,'AT-Miles'!$B4:$P56,AG1)</f>
        <v>48756119.957512178</v>
      </c>
      <c r="AH4">
        <f>VLOOKUP($E28,'AT-Miles'!$B4:$P56,AH1)</f>
        <v>20818655.441854276</v>
      </c>
      <c r="AI4">
        <f>VLOOKUP($E28,'AT-Miles'!$B4:$P56,AI1)</f>
        <v>86148535.526911795</v>
      </c>
      <c r="AJ4">
        <f>VLOOKUP($E28,'AT-Miles'!$B4:$P56,AJ1)</f>
        <v>32381134.861428741</v>
      </c>
    </row>
    <row r="6" spans="16:36" x14ac:dyDescent="0.25">
      <c r="V6" s="116"/>
      <c r="W6" s="116"/>
      <c r="X6" s="116"/>
      <c r="Y6" s="116"/>
    </row>
    <row r="27" spans="4:25" ht="18" customHeight="1" x14ac:dyDescent="0.25">
      <c r="J27" s="24"/>
    </row>
    <row r="28" spans="4:25" ht="18" customHeight="1" x14ac:dyDescent="0.25">
      <c r="D28" s="12" t="s">
        <v>118</v>
      </c>
      <c r="E28" s="25">
        <v>2060</v>
      </c>
      <c r="G28" t="s">
        <v>119</v>
      </c>
      <c r="J28" s="24">
        <f>AD4/AC4</f>
        <v>0.98139365792851996</v>
      </c>
      <c r="Y28" s="41" t="s">
        <v>152</v>
      </c>
    </row>
    <row r="29" spans="4:25" ht="18" customHeight="1" x14ac:dyDescent="0.3">
      <c r="G29" t="s">
        <v>120</v>
      </c>
      <c r="J29" s="24">
        <f>(AC4-W4)/W4</f>
        <v>0.37540237294175965</v>
      </c>
      <c r="K29" s="42" t="str">
        <f>IF(J29&gt;=0,Y28,Y29)</f>
        <v>↑↑</v>
      </c>
      <c r="Y29" s="41" t="s">
        <v>153</v>
      </c>
    </row>
  </sheetData>
  <mergeCells count="3">
    <mergeCell ref="P2:Q2"/>
    <mergeCell ref="W2:AB2"/>
    <mergeCell ref="AC2:AJ2"/>
  </mergeCell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X59"/>
  <sheetViews>
    <sheetView workbookViewId="0">
      <selection activeCell="T4" sqref="T4"/>
    </sheetView>
  </sheetViews>
  <sheetFormatPr defaultRowHeight="15" x14ac:dyDescent="0.25"/>
  <cols>
    <col min="1" max="1" width="3" bestFit="1" customWidth="1"/>
    <col min="3" max="3" width="11.140625" customWidth="1"/>
    <col min="4" max="5" width="10.28515625" customWidth="1"/>
    <col min="6" max="6" width="10.7109375" customWidth="1"/>
    <col min="7" max="7" width="12.28515625" customWidth="1"/>
    <col min="8" max="8" width="10.85546875" customWidth="1"/>
    <col min="9" max="9" width="10.5703125" bestFit="1" customWidth="1"/>
    <col min="10" max="10" width="10" customWidth="1"/>
    <col min="11" max="11" width="13.28515625" bestFit="1" customWidth="1"/>
    <col min="12" max="12" width="10.28515625" customWidth="1"/>
    <col min="13" max="13" width="11.28515625" customWidth="1"/>
    <col min="14" max="19" width="11.140625" customWidth="1"/>
    <col min="20" max="20" width="10.5703125" bestFit="1" customWidth="1"/>
    <col min="21" max="21" width="13.140625" customWidth="1"/>
  </cols>
  <sheetData>
    <row r="1" spans="1:24" ht="19.5" customHeight="1" x14ac:dyDescent="0.25">
      <c r="D1" s="178" t="s">
        <v>241</v>
      </c>
      <c r="E1" s="178"/>
      <c r="F1" s="178"/>
      <c r="G1" s="178"/>
      <c r="H1" s="178"/>
      <c r="I1" s="113"/>
      <c r="J1" s="172" t="s">
        <v>242</v>
      </c>
      <c r="K1" s="172"/>
      <c r="L1" s="172"/>
      <c r="M1" s="172"/>
      <c r="N1" s="172"/>
      <c r="O1" s="129"/>
      <c r="P1" s="129"/>
      <c r="Q1" s="129"/>
      <c r="R1" s="129"/>
      <c r="S1" s="129"/>
      <c r="V1" s="14">
        <f>City!B34</f>
        <v>7.0999999999999994E-2</v>
      </c>
      <c r="W1" t="s">
        <v>243</v>
      </c>
    </row>
    <row r="2" spans="1:24" x14ac:dyDescent="0.25">
      <c r="C2" s="12" t="s">
        <v>217</v>
      </c>
      <c r="D2" s="27">
        <f>City!$B$10</f>
        <v>0.1</v>
      </c>
      <c r="E2" s="27">
        <f>City!$B$11</f>
        <v>0.25</v>
      </c>
      <c r="F2" s="27">
        <f>City!$B$12</f>
        <v>0.1</v>
      </c>
      <c r="G2" s="27">
        <f>City!$B$13</f>
        <v>0.4</v>
      </c>
      <c r="H2" s="119">
        <f>City!$B$14</f>
        <v>0.15</v>
      </c>
      <c r="I2" s="113"/>
      <c r="J2" s="113"/>
      <c r="K2" s="113"/>
      <c r="L2" s="113"/>
      <c r="M2" s="113"/>
      <c r="N2" s="113"/>
      <c r="O2" s="129"/>
      <c r="P2" s="129"/>
      <c r="Q2" s="129"/>
      <c r="R2" s="129"/>
      <c r="S2" s="129"/>
    </row>
    <row r="3" spans="1:24" ht="36.75" customHeight="1" x14ac:dyDescent="0.25">
      <c r="B3" s="113" t="s">
        <v>97</v>
      </c>
      <c r="C3" s="113" t="s">
        <v>115</v>
      </c>
      <c r="D3" s="113" t="str">
        <f>City!$A$10</f>
        <v>Downtown</v>
      </c>
      <c r="E3" s="113" t="str">
        <f>City!$A$11</f>
        <v>Urban</v>
      </c>
      <c r="F3" s="114" t="str">
        <f>City!$A$12</f>
        <v>Suburban Business</v>
      </c>
      <c r="G3" s="114" t="str">
        <f>City!$A$13</f>
        <v>Suburban Residential</v>
      </c>
      <c r="H3" s="117" t="str">
        <f>City!$A$14</f>
        <v>Rural</v>
      </c>
      <c r="I3" s="137" t="s">
        <v>247</v>
      </c>
      <c r="J3" s="113" t="str">
        <f>City!$A$10</f>
        <v>Downtown</v>
      </c>
      <c r="K3" s="113" t="str">
        <f>City!$A$11</f>
        <v>Urban</v>
      </c>
      <c r="L3" s="114" t="str">
        <f>City!$A$12</f>
        <v>Suburban Business</v>
      </c>
      <c r="M3" s="114" t="str">
        <f>City!$A$13</f>
        <v>Suburban Residential</v>
      </c>
      <c r="N3" s="117" t="str">
        <f>City!$A$14</f>
        <v>Rural</v>
      </c>
      <c r="O3" s="129" t="str">
        <f>City!$A$10</f>
        <v>Downtown</v>
      </c>
      <c r="P3" s="129" t="str">
        <f>City!$A$11</f>
        <v>Urban</v>
      </c>
      <c r="Q3" s="130" t="str">
        <f>City!$A$12</f>
        <v>Suburban Business</v>
      </c>
      <c r="R3" s="130" t="str">
        <f>City!$A$13</f>
        <v>Suburban Residential</v>
      </c>
      <c r="S3" s="132" t="str">
        <f>City!$A$14</f>
        <v>Rural</v>
      </c>
      <c r="T3" t="s">
        <v>115</v>
      </c>
      <c r="U3" t="s">
        <v>98</v>
      </c>
      <c r="V3" s="131"/>
      <c r="W3" s="136" t="s">
        <v>137</v>
      </c>
      <c r="X3" s="131"/>
    </row>
    <row r="4" spans="1:24" x14ac:dyDescent="0.25">
      <c r="A4">
        <v>1</v>
      </c>
      <c r="B4">
        <v>2018</v>
      </c>
      <c r="C4" s="18">
        <f>City!B30</f>
        <v>3600000</v>
      </c>
      <c r="D4" s="18">
        <f>$C4*D$2</f>
        <v>360000</v>
      </c>
      <c r="E4" s="18">
        <f>$C4*E$2</f>
        <v>900000</v>
      </c>
      <c r="F4" s="18">
        <f>$C4*F$2</f>
        <v>360000</v>
      </c>
      <c r="G4" s="18">
        <f>$C4*G$2</f>
        <v>1440000</v>
      </c>
      <c r="H4" s="18">
        <f>$C4*H$2</f>
        <v>540000</v>
      </c>
      <c r="I4" s="16">
        <f>Delay!O6</f>
        <v>3.6786587875356532E-5</v>
      </c>
      <c r="J4" s="62">
        <f>($V$1*(1+Dedicate!$E5*$V$4)*(1+RideSource!C7*$V$5)*(1+Connect!$E5*$V$6)*(1+EV!$C5*$V$7)*(1+ShareRide!C5*$V$8))</f>
        <v>7.0999999999999994E-2</v>
      </c>
      <c r="K4" s="62">
        <f>($V$1*(1+Dedicate!$E5*$V$4)*(1+RideSource!D7*$V$5)*(1+Connect!$E5*$V$6)*(1+EV!$C5*$V$7)*(1+ShareRide!D5*$V$8))</f>
        <v>7.0999999999999994E-2</v>
      </c>
      <c r="L4" s="62">
        <f>($V$1*(1+Dedicate!$E5*$V$4)*(1+RideSource!E7*$V$5)*(1+Connect!$E5*$V$6)*(1+EV!$C5*$V$7)*(1+ShareRide!E5*$V$8))</f>
        <v>7.0999999999999994E-2</v>
      </c>
      <c r="M4" s="62">
        <f>($V$1*(1+Dedicate!$E5*$V$4)*(1+RideSource!F7*$V$5)*(1+Connect!$E5*$V$6)*(1+EV!$C5*$V$7)*(1+ShareRide!F5*$V$8))</f>
        <v>7.0999999999999994E-2</v>
      </c>
      <c r="N4" s="62">
        <f>($V$1*(1+Dedicate!$E5*$V$4)*(1+RideSource!G7*$V$5)*(1+Connect!$E5*$V$6)*(1+EV!$C5*$V$7)*(1+ShareRide!G5*$V$8))</f>
        <v>7.0999999999999994E-2</v>
      </c>
      <c r="O4" s="18">
        <f>D4*(1-$I4*J4)</f>
        <v>359999.05973481387</v>
      </c>
      <c r="P4" s="18">
        <f>E4*(1-$I4*K4)</f>
        <v>899997.64933703467</v>
      </c>
      <c r="Q4" s="18">
        <f>F4*(1-$I4*L4)</f>
        <v>359999.05973481387</v>
      </c>
      <c r="R4" s="18">
        <f>G4*(1-$I4*M4)</f>
        <v>1439996.2389392555</v>
      </c>
      <c r="S4" s="18">
        <f>H4*(1-$I4*N4)</f>
        <v>539998.5896022208</v>
      </c>
      <c r="T4" s="20">
        <f>SUM(O4:S4)</f>
        <v>3599990.5973481387</v>
      </c>
      <c r="U4" s="20">
        <f>T4*I4</f>
        <v>132.43137045980455</v>
      </c>
      <c r="V4" s="13">
        <v>0.1</v>
      </c>
      <c r="W4" s="2" t="s">
        <v>121</v>
      </c>
      <c r="X4" s="46"/>
    </row>
    <row r="5" spans="1:24" x14ac:dyDescent="0.25">
      <c r="A5">
        <v>2</v>
      </c>
      <c r="B5">
        <v>2019</v>
      </c>
      <c r="C5" s="18">
        <f>C4*(1+City!$B$8)</f>
        <v>3653999.9999999995</v>
      </c>
      <c r="D5" s="18">
        <f t="shared" ref="D5:H36" si="0">$C5*D$2</f>
        <v>365400</v>
      </c>
      <c r="E5" s="18">
        <f t="shared" si="0"/>
        <v>913499.99999999988</v>
      </c>
      <c r="F5" s="18">
        <f t="shared" si="0"/>
        <v>365400</v>
      </c>
      <c r="G5" s="18">
        <f t="shared" si="0"/>
        <v>1461600</v>
      </c>
      <c r="H5" s="18">
        <f t="shared" si="0"/>
        <v>548099.99999999988</v>
      </c>
      <c r="I5" s="16">
        <f>Delay!O7</f>
        <v>6.1351009702589312E-4</v>
      </c>
      <c r="J5" s="62">
        <f>($V$1*(1+Dedicate!$E6*$V$4)*(1+RideSource!C8*$V$5)*(1+Connect!$E6*$V$6)*(1+EV!$C6*$V$7)*(1+ShareRide!C6*$V$8))</f>
        <v>7.0999999999999994E-2</v>
      </c>
      <c r="K5" s="62">
        <f>($V$1*(1+Dedicate!$E6*$V$4)*(1+RideSource!D8*$V$5)*(1+Connect!$E6*$V$6)*(1+EV!$C6*$V$7)*(1+ShareRide!D6*$V$8))</f>
        <v>7.0999999999999994E-2</v>
      </c>
      <c r="L5" s="62">
        <f>($V$1*(1+Dedicate!$E6*$V$4)*(1+RideSource!E8*$V$5)*(1+Connect!$E6*$V$6)*(1+EV!$C6*$V$7)*(1+ShareRide!E6*$V$8))</f>
        <v>7.0999999999999994E-2</v>
      </c>
      <c r="M5" s="62">
        <f>($V$1*(1+Dedicate!$E6*$V$4)*(1+RideSource!F8*$V$5)*(1+Connect!$E6*$V$6)*(1+EV!$C6*$V$7)*(1+ShareRide!F6*$V$8))</f>
        <v>7.0999999999999994E-2</v>
      </c>
      <c r="N5" s="62">
        <f>($V$1*(1+Dedicate!$E6*$V$4)*(1+RideSource!G8*$V$5)*(1+Connect!$E6*$V$6)*(1+EV!$C6*$V$7)*(1+ShareRide!G6*$V$8))</f>
        <v>7.0999999999999994E-2</v>
      </c>
      <c r="O5" s="18">
        <f t="shared" ref="O5:O56" si="1">D5*(1-$I5*J5)</f>
        <v>365384.08346214885</v>
      </c>
      <c r="P5" s="18">
        <f t="shared" ref="P5:P56" si="2">E5*(1-$I5*K5)</f>
        <v>913460.20865537191</v>
      </c>
      <c r="Q5" s="18">
        <f t="shared" ref="Q5:Q56" si="3">F5*(1-$I5*L5)</f>
        <v>365384.08346214885</v>
      </c>
      <c r="R5" s="18">
        <f t="shared" ref="R5:R56" si="4">G5*(1-$I5*M5)</f>
        <v>1461536.3338485954</v>
      </c>
      <c r="S5" s="18">
        <f t="shared" ref="S5:S56" si="5">H5*(1-$I5*N5)</f>
        <v>548076.12519322312</v>
      </c>
      <c r="T5" s="20">
        <f t="shared" ref="T5:T56" si="6">SUM(O5:S5)</f>
        <v>3653840.8346214881</v>
      </c>
      <c r="U5" s="20">
        <f t="shared" ref="U5:U56" si="7">T5*I5</f>
        <v>2241.6682449657997</v>
      </c>
      <c r="V5" s="16">
        <v>1</v>
      </c>
      <c r="W5" s="2" t="s">
        <v>164</v>
      </c>
      <c r="X5" s="46"/>
    </row>
    <row r="6" spans="1:24" x14ac:dyDescent="0.25">
      <c r="A6">
        <v>3</v>
      </c>
      <c r="B6">
        <v>2020</v>
      </c>
      <c r="C6" s="18">
        <f>C5*(1+City!$B$8)</f>
        <v>3708809.9999999991</v>
      </c>
      <c r="D6" s="18">
        <f t="shared" si="0"/>
        <v>370880.99999999994</v>
      </c>
      <c r="E6" s="18">
        <f t="shared" si="0"/>
        <v>927202.49999999977</v>
      </c>
      <c r="F6" s="18">
        <f t="shared" si="0"/>
        <v>370880.99999999994</v>
      </c>
      <c r="G6" s="18">
        <f t="shared" si="0"/>
        <v>1483523.9999999998</v>
      </c>
      <c r="H6" s="18">
        <f t="shared" si="0"/>
        <v>556321.49999999988</v>
      </c>
      <c r="I6" s="16">
        <f>Delay!O8</f>
        <v>3.339980411580323E-3</v>
      </c>
      <c r="J6" s="62">
        <f>($V$1*(1+Dedicate!$E7*$V$4)*(1+RideSource!C9*$V$5)*(1+Connect!$E7*$V$6)*(1+EV!$C7*$V$7)*(1+ShareRide!C7*$V$8))</f>
        <v>7.0999999999999994E-2</v>
      </c>
      <c r="K6" s="62">
        <f>($V$1*(1+Dedicate!$E7*$V$4)*(1+RideSource!D9*$V$5)*(1+Connect!$E7*$V$6)*(1+EV!$C7*$V$7)*(1+ShareRide!D7*$V$8))</f>
        <v>7.0999999999999994E-2</v>
      </c>
      <c r="L6" s="62">
        <f>($V$1*(1+Dedicate!$E7*$V$4)*(1+RideSource!E9*$V$5)*(1+Connect!$E7*$V$6)*(1+EV!$C7*$V$7)*(1+ShareRide!E7*$V$8))</f>
        <v>7.0999999999999994E-2</v>
      </c>
      <c r="M6" s="62">
        <f>($V$1*(1+Dedicate!$E7*$V$4)*(1+RideSource!F9*$V$5)*(1+Connect!$E7*$V$6)*(1+EV!$C7*$V$7)*(1+ShareRide!F7*$V$8))</f>
        <v>7.0999999999999994E-2</v>
      </c>
      <c r="N6" s="62">
        <f>($V$1*(1+Dedicate!$E7*$V$4)*(1+RideSource!G9*$V$5)*(1+Connect!$E7*$V$6)*(1+EV!$C7*$V$7)*(1+ShareRide!G7*$V$8))</f>
        <v>7.0999999999999994E-2</v>
      </c>
      <c r="O6" s="18">
        <f t="shared" si="1"/>
        <v>370793.04979547299</v>
      </c>
      <c r="P6" s="18">
        <f t="shared" si="2"/>
        <v>926982.62448868237</v>
      </c>
      <c r="Q6" s="18">
        <f t="shared" si="3"/>
        <v>370793.04979547299</v>
      </c>
      <c r="R6" s="18">
        <f t="shared" si="4"/>
        <v>1483172.199181892</v>
      </c>
      <c r="S6" s="18">
        <f t="shared" si="5"/>
        <v>556189.57469320949</v>
      </c>
      <c r="T6" s="20">
        <f t="shared" si="6"/>
        <v>3707930.4979547299</v>
      </c>
      <c r="U6" s="20">
        <f t="shared" si="7"/>
        <v>12384.415230670071</v>
      </c>
      <c r="V6" s="16">
        <v>0.1</v>
      </c>
      <c r="W6" s="2" t="s">
        <v>244</v>
      </c>
      <c r="X6" s="46"/>
    </row>
    <row r="7" spans="1:24" x14ac:dyDescent="0.25">
      <c r="A7">
        <v>4</v>
      </c>
      <c r="B7">
        <v>2021</v>
      </c>
      <c r="C7" s="18">
        <f>C6*(1+City!$B$8)</f>
        <v>3764442.1499999985</v>
      </c>
      <c r="D7" s="18">
        <f t="shared" si="0"/>
        <v>376444.21499999985</v>
      </c>
      <c r="E7" s="18">
        <f t="shared" si="0"/>
        <v>941110.53749999963</v>
      </c>
      <c r="F7" s="18">
        <f t="shared" si="0"/>
        <v>376444.21499999985</v>
      </c>
      <c r="G7" s="18">
        <f t="shared" si="0"/>
        <v>1505776.8599999994</v>
      </c>
      <c r="H7" s="18">
        <f t="shared" si="0"/>
        <v>564666.32249999978</v>
      </c>
      <c r="I7" s="16">
        <f>Delay!O9</f>
        <v>9.11998112535241E-3</v>
      </c>
      <c r="J7" s="62">
        <f>($V$1*(1+Dedicate!$E8*$V$4)*(1+RideSource!C10*$V$5)*(1+Connect!$E8*$V$6)*(1+EV!$C8*$V$7)*(1+ShareRide!C8*$V$8))</f>
        <v>7.0999999999999994E-2</v>
      </c>
      <c r="K7" s="62">
        <f>($V$1*(1+Dedicate!$E8*$V$4)*(1+RideSource!D10*$V$5)*(1+Connect!$E8*$V$6)*(1+EV!$C8*$V$7)*(1+ShareRide!D8*$V$8))</f>
        <v>7.0999999999999994E-2</v>
      </c>
      <c r="L7" s="62">
        <f>($V$1*(1+Dedicate!$E8*$V$4)*(1+RideSource!E10*$V$5)*(1+Connect!$E8*$V$6)*(1+EV!$C8*$V$7)*(1+ShareRide!E8*$V$8))</f>
        <v>7.0999999999999994E-2</v>
      </c>
      <c r="M7" s="62">
        <f>($V$1*(1+Dedicate!$E8*$V$4)*(1+RideSource!F10*$V$5)*(1+Connect!$E8*$V$6)*(1+EV!$C8*$V$7)*(1+ShareRide!F8*$V$8))</f>
        <v>7.0999999999999994E-2</v>
      </c>
      <c r="N7" s="62">
        <f>($V$1*(1+Dedicate!$E8*$V$4)*(1+RideSource!G10*$V$5)*(1+Connect!$E8*$V$6)*(1+EV!$C8*$V$7)*(1+ShareRide!G8*$V$8))</f>
        <v>7.0999999999999994E-2</v>
      </c>
      <c r="O7" s="18">
        <f t="shared" si="1"/>
        <v>376200.46034637594</v>
      </c>
      <c r="P7" s="18">
        <f t="shared" si="2"/>
        <v>940501.15086593991</v>
      </c>
      <c r="Q7" s="18">
        <f t="shared" si="3"/>
        <v>376200.46034637594</v>
      </c>
      <c r="R7" s="18">
        <f t="shared" si="4"/>
        <v>1504801.8413855038</v>
      </c>
      <c r="S7" s="18">
        <f t="shared" si="5"/>
        <v>564300.69051956397</v>
      </c>
      <c r="T7" s="20">
        <f t="shared" si="6"/>
        <v>3762004.6034637596</v>
      </c>
      <c r="U7" s="20">
        <f t="shared" si="7"/>
        <v>34309.410977078369</v>
      </c>
      <c r="V7" s="16">
        <v>0.04</v>
      </c>
      <c r="W7" t="s">
        <v>166</v>
      </c>
      <c r="X7" s="46"/>
    </row>
    <row r="8" spans="1:24" x14ac:dyDescent="0.25">
      <c r="A8">
        <v>5</v>
      </c>
      <c r="B8">
        <v>2022</v>
      </c>
      <c r="C8" s="18">
        <f>C7*(1+City!$B$8)</f>
        <v>3820908.7822499983</v>
      </c>
      <c r="D8" s="18">
        <f t="shared" si="0"/>
        <v>382090.87822499988</v>
      </c>
      <c r="E8" s="18">
        <f t="shared" si="0"/>
        <v>955227.19556249958</v>
      </c>
      <c r="F8" s="18">
        <f t="shared" si="0"/>
        <v>382090.87822499988</v>
      </c>
      <c r="G8" s="18">
        <f t="shared" si="0"/>
        <v>1528363.5128999995</v>
      </c>
      <c r="H8" s="18">
        <f t="shared" si="0"/>
        <v>573136.3173374997</v>
      </c>
      <c r="I8" s="16">
        <f>Delay!O10</f>
        <v>1.7535100534181232E-2</v>
      </c>
      <c r="J8" s="62">
        <f>($V$1*(1+Dedicate!$E9*$V$4)*(1+RideSource!C11*$V$5)*(1+Connect!$E9*$V$6)*(1+EV!$C9*$V$7)*(1+ShareRide!C9*$V$8))</f>
        <v>7.0999999999999994E-2</v>
      </c>
      <c r="K8" s="62">
        <f>($V$1*(1+Dedicate!$E9*$V$4)*(1+RideSource!D11*$V$5)*(1+Connect!$E9*$V$6)*(1+EV!$C9*$V$7)*(1+ShareRide!D9*$V$8))</f>
        <v>7.0999999999999994E-2</v>
      </c>
      <c r="L8" s="62">
        <f>($V$1*(1+Dedicate!$E9*$V$4)*(1+RideSource!E11*$V$5)*(1+Connect!$E9*$V$6)*(1+EV!$C9*$V$7)*(1+ShareRide!E9*$V$8))</f>
        <v>7.0999999999999994E-2</v>
      </c>
      <c r="M8" s="62">
        <f>($V$1*(1+Dedicate!$E9*$V$4)*(1+RideSource!F11*$V$5)*(1+Connect!$E9*$V$6)*(1+EV!$C9*$V$7)*(1+ShareRide!F9*$V$8))</f>
        <v>7.0999999999999994E-2</v>
      </c>
      <c r="N8" s="62">
        <f>($V$1*(1+Dedicate!$E9*$V$4)*(1+RideSource!G11*$V$5)*(1+Connect!$E9*$V$6)*(1+EV!$C9*$V$7)*(1+ShareRide!G9*$V$8))</f>
        <v>7.0999999999999994E-2</v>
      </c>
      <c r="O8" s="18">
        <f t="shared" si="1"/>
        <v>381615.17808563617</v>
      </c>
      <c r="P8" s="18">
        <f t="shared" si="2"/>
        <v>954037.9452140904</v>
      </c>
      <c r="Q8" s="18">
        <f t="shared" si="3"/>
        <v>381615.17808563617</v>
      </c>
      <c r="R8" s="18">
        <f t="shared" si="4"/>
        <v>1526460.7123425447</v>
      </c>
      <c r="S8" s="18">
        <f t="shared" si="5"/>
        <v>572422.76712845417</v>
      </c>
      <c r="T8" s="20">
        <f t="shared" si="6"/>
        <v>3816151.7808563611</v>
      </c>
      <c r="U8" s="20">
        <f t="shared" si="7"/>
        <v>66916.605131011034</v>
      </c>
      <c r="V8" s="16">
        <v>0.05</v>
      </c>
      <c r="W8" s="2" t="s">
        <v>167</v>
      </c>
      <c r="X8" s="46"/>
    </row>
    <row r="9" spans="1:24" x14ac:dyDescent="0.25">
      <c r="A9">
        <v>6</v>
      </c>
      <c r="B9">
        <v>2023</v>
      </c>
      <c r="C9" s="18">
        <f>C8*(1+City!$B$8)</f>
        <v>3878222.4139837478</v>
      </c>
      <c r="D9" s="18">
        <f t="shared" si="0"/>
        <v>387822.24139837478</v>
      </c>
      <c r="E9" s="18">
        <f t="shared" si="0"/>
        <v>969555.60349593696</v>
      </c>
      <c r="F9" s="18">
        <f t="shared" si="0"/>
        <v>387822.24139837478</v>
      </c>
      <c r="G9" s="18">
        <f t="shared" si="0"/>
        <v>1551288.9655934991</v>
      </c>
      <c r="H9" s="18">
        <f t="shared" si="0"/>
        <v>581733.36209756217</v>
      </c>
      <c r="I9" s="16">
        <f>Delay!O11</f>
        <v>2.7785143774418028E-2</v>
      </c>
      <c r="J9" s="62">
        <f>($V$1*(1+Dedicate!$E10*$V$4)*(1+RideSource!C12*$V$5)*(1+Connect!$E10*$V$6)*(1+EV!$C10*$V$7)*(1+ShareRide!C10*$V$8))</f>
        <v>7.3981999999999992E-2</v>
      </c>
      <c r="K9" s="62">
        <f>($V$1*(1+Dedicate!$E10*$V$4)*(1+RideSource!D12*$V$5)*(1+Connect!$E10*$V$6)*(1+EV!$C10*$V$7)*(1+ShareRide!D10*$V$8))</f>
        <v>7.3981999999999992E-2</v>
      </c>
      <c r="L9" s="62">
        <f>($V$1*(1+Dedicate!$E10*$V$4)*(1+RideSource!E12*$V$5)*(1+Connect!$E10*$V$6)*(1+EV!$C10*$V$7)*(1+ShareRide!E10*$V$8))</f>
        <v>7.3981999999999992E-2</v>
      </c>
      <c r="M9" s="62">
        <f>($V$1*(1+Dedicate!$E10*$V$4)*(1+RideSource!F12*$V$5)*(1+Connect!$E10*$V$6)*(1+EV!$C10*$V$7)*(1+ShareRide!F10*$V$8))</f>
        <v>7.3981999999999992E-2</v>
      </c>
      <c r="N9" s="62">
        <f>($V$1*(1+Dedicate!$E10*$V$4)*(1+RideSource!G12*$V$5)*(1+Connect!$E10*$V$6)*(1+EV!$C10*$V$7)*(1+ShareRide!G10*$V$8))</f>
        <v>7.3981999999999992E-2</v>
      </c>
      <c r="O9" s="18">
        <f t="shared" si="1"/>
        <v>387025.03380243934</v>
      </c>
      <c r="P9" s="18">
        <f t="shared" si="2"/>
        <v>967562.58450609841</v>
      </c>
      <c r="Q9" s="18">
        <f t="shared" si="3"/>
        <v>387025.03380243934</v>
      </c>
      <c r="R9" s="18">
        <f t="shared" si="4"/>
        <v>1548100.1352097574</v>
      </c>
      <c r="S9" s="18">
        <f t="shared" si="5"/>
        <v>580537.55070365907</v>
      </c>
      <c r="T9" s="20">
        <f t="shared" si="6"/>
        <v>3870250.3380243937</v>
      </c>
      <c r="U9" s="20">
        <f t="shared" si="7"/>
        <v>107535.46208499775</v>
      </c>
      <c r="V9" s="13"/>
      <c r="W9" s="2"/>
      <c r="X9" s="45"/>
    </row>
    <row r="10" spans="1:24" x14ac:dyDescent="0.25">
      <c r="A10">
        <v>7</v>
      </c>
      <c r="B10">
        <v>2024</v>
      </c>
      <c r="C10" s="18">
        <f>C9*(1+City!$B$8)</f>
        <v>3936395.7501935037</v>
      </c>
      <c r="D10" s="18">
        <f t="shared" si="0"/>
        <v>393639.57501935039</v>
      </c>
      <c r="E10" s="18">
        <f t="shared" si="0"/>
        <v>984098.93754837592</v>
      </c>
      <c r="F10" s="18">
        <f t="shared" si="0"/>
        <v>393639.57501935039</v>
      </c>
      <c r="G10" s="18">
        <f t="shared" si="0"/>
        <v>1574558.3000774016</v>
      </c>
      <c r="H10" s="18">
        <f t="shared" si="0"/>
        <v>590459.36252902553</v>
      </c>
      <c r="I10" s="16">
        <f>Delay!O12</f>
        <v>3.91012857265488E-2</v>
      </c>
      <c r="J10" s="62">
        <f>($V$1*(1+Dedicate!$E11*$V$4)*(1+RideSource!C13*$V$5)*(1+Connect!$E11*$V$6)*(1+EV!$C11*$V$7)*(1+ShareRide!C11*$V$8))</f>
        <v>7.3981999999999992E-2</v>
      </c>
      <c r="K10" s="62">
        <f>($V$1*(1+Dedicate!$E11*$V$4)*(1+RideSource!D13*$V$5)*(1+Connect!$E11*$V$6)*(1+EV!$C11*$V$7)*(1+ShareRide!D11*$V$8))</f>
        <v>7.3981999999999992E-2</v>
      </c>
      <c r="L10" s="62">
        <f>($V$1*(1+Dedicate!$E11*$V$4)*(1+RideSource!E13*$V$5)*(1+Connect!$E11*$V$6)*(1+EV!$C11*$V$7)*(1+ShareRide!E11*$V$8))</f>
        <v>7.3981999999999992E-2</v>
      </c>
      <c r="M10" s="62">
        <f>($V$1*(1+Dedicate!$E11*$V$4)*(1+RideSource!F13*$V$5)*(1+Connect!$E11*$V$6)*(1+EV!$C11*$V$7)*(1+ShareRide!F11*$V$8))</f>
        <v>7.3981999999999992E-2</v>
      </c>
      <c r="N10" s="62">
        <f>($V$1*(1+Dedicate!$E11*$V$4)*(1+RideSource!G13*$V$5)*(1+Connect!$E11*$V$6)*(1+EV!$C11*$V$7)*(1+ShareRide!G11*$V$8))</f>
        <v>7.3981999999999992E-2</v>
      </c>
      <c r="O10" s="18">
        <f t="shared" si="1"/>
        <v>392500.85787328129</v>
      </c>
      <c r="P10" s="18">
        <f t="shared" si="2"/>
        <v>981252.14468320319</v>
      </c>
      <c r="Q10" s="18">
        <f t="shared" si="3"/>
        <v>392500.85787328129</v>
      </c>
      <c r="R10" s="18">
        <f t="shared" si="4"/>
        <v>1570003.4314931252</v>
      </c>
      <c r="S10" s="18">
        <f t="shared" si="5"/>
        <v>588751.28680992185</v>
      </c>
      <c r="T10" s="20">
        <f t="shared" si="6"/>
        <v>3925008.5787328123</v>
      </c>
      <c r="U10" s="20">
        <f t="shared" si="7"/>
        <v>153472.88191618692</v>
      </c>
      <c r="V10" s="16"/>
      <c r="W10" s="2"/>
      <c r="X10" s="46"/>
    </row>
    <row r="11" spans="1:24" x14ac:dyDescent="0.25">
      <c r="A11">
        <v>8</v>
      </c>
      <c r="B11">
        <v>2025</v>
      </c>
      <c r="C11" s="18">
        <f>C10*(1+City!$B$8)</f>
        <v>3995441.6864464059</v>
      </c>
      <c r="D11" s="18">
        <f t="shared" si="0"/>
        <v>399544.16864464059</v>
      </c>
      <c r="E11" s="18">
        <f t="shared" si="0"/>
        <v>998860.42161160149</v>
      </c>
      <c r="F11" s="18">
        <f t="shared" si="0"/>
        <v>399544.16864464059</v>
      </c>
      <c r="G11" s="18">
        <f t="shared" si="0"/>
        <v>1598176.6745785624</v>
      </c>
      <c r="H11" s="18">
        <f t="shared" si="0"/>
        <v>599316.25296696089</v>
      </c>
      <c r="I11" s="16">
        <f>Delay!O13</f>
        <v>5.1181923898384454E-2</v>
      </c>
      <c r="J11" s="62">
        <f>($V$1*(1+Dedicate!$E12*$V$4)*(1+RideSource!C14*$V$5)*(1+Connect!$E12*$V$6)*(1+EV!$C12*$V$7)*(1+ShareRide!C12*$V$8))</f>
        <v>7.3981999999999992E-2</v>
      </c>
      <c r="K11" s="62">
        <f>($V$1*(1+Dedicate!$E12*$V$4)*(1+RideSource!D14*$V$5)*(1+Connect!$E12*$V$6)*(1+EV!$C12*$V$7)*(1+ShareRide!D12*$V$8))</f>
        <v>7.3981999999999992E-2</v>
      </c>
      <c r="L11" s="62">
        <f>($V$1*(1+Dedicate!$E12*$V$4)*(1+RideSource!E14*$V$5)*(1+Connect!$E12*$V$6)*(1+EV!$C12*$V$7)*(1+ShareRide!E12*$V$8))</f>
        <v>7.3981999999999992E-2</v>
      </c>
      <c r="M11" s="62">
        <f>($V$1*(1+Dedicate!$E12*$V$4)*(1+RideSource!F14*$V$5)*(1+Connect!$E12*$V$6)*(1+EV!$C12*$V$7)*(1+ShareRide!F12*$V$8))</f>
        <v>7.3981999999999992E-2</v>
      </c>
      <c r="N11" s="62">
        <f>($V$1*(1+Dedicate!$E12*$V$4)*(1+RideSource!G14*$V$5)*(1+Connect!$E12*$V$6)*(1+EV!$C12*$V$7)*(1+ShareRide!G12*$V$8))</f>
        <v>7.3981999999999992E-2</v>
      </c>
      <c r="O11" s="18">
        <f t="shared" si="1"/>
        <v>398031.27823125944</v>
      </c>
      <c r="P11" s="18">
        <f t="shared" si="2"/>
        <v>995078.19557814859</v>
      </c>
      <c r="Q11" s="18">
        <f t="shared" si="3"/>
        <v>398031.27823125944</v>
      </c>
      <c r="R11" s="18">
        <f t="shared" si="4"/>
        <v>1592125.1129250377</v>
      </c>
      <c r="S11" s="18">
        <f t="shared" si="5"/>
        <v>597046.91734688915</v>
      </c>
      <c r="T11" s="20">
        <f t="shared" si="6"/>
        <v>3980312.7823125944</v>
      </c>
      <c r="U11" s="20">
        <f t="shared" si="7"/>
        <v>203720.0659160901</v>
      </c>
      <c r="V11">
        <f>(1+RideSource!C7*I$4)*(1+Curb!J5*I$5)*(1+VMT_fee!L5*I$6)*(1+NOVMT!L5*I$7)*(1+Satellite!C5*I$8)*(1+ShareRide!C5*I$9)*(1+Pricing!N6*I$10)</f>
        <v>1</v>
      </c>
    </row>
    <row r="12" spans="1:24" x14ac:dyDescent="0.25">
      <c r="A12">
        <v>9</v>
      </c>
      <c r="B12">
        <v>2026</v>
      </c>
      <c r="C12" s="18">
        <f>C11*(1+City!$B$8)</f>
        <v>4055373.3117431016</v>
      </c>
      <c r="D12" s="18">
        <f t="shared" si="0"/>
        <v>405537.33117431018</v>
      </c>
      <c r="E12" s="18">
        <f t="shared" si="0"/>
        <v>1013843.3279357754</v>
      </c>
      <c r="F12" s="18">
        <f t="shared" si="0"/>
        <v>405537.33117431018</v>
      </c>
      <c r="G12" s="18">
        <f t="shared" si="0"/>
        <v>1622149.3246972407</v>
      </c>
      <c r="H12" s="18">
        <f t="shared" si="0"/>
        <v>608305.99676146521</v>
      </c>
      <c r="I12" s="16">
        <f>Delay!O14</f>
        <v>7.0044275123424191E-2</v>
      </c>
      <c r="J12" s="62">
        <f>($V$1*(1+Dedicate!$E13*$V$4)*(1+RideSource!C15*$V$5)*(1+Connect!$E13*$V$6)*(1+EV!$C13*$V$7)*(1+ShareRide!C13*$V$8))</f>
        <v>7.4262850468400005E-2</v>
      </c>
      <c r="K12" s="62">
        <f>($V$1*(1+Dedicate!$E13*$V$4)*(1+RideSource!D15*$V$5)*(1+Connect!$E13*$V$6)*(1+EV!$C13*$V$7)*(1+ShareRide!D13*$V$8))</f>
        <v>7.4262850468400005E-2</v>
      </c>
      <c r="L12" s="62">
        <f>($V$1*(1+Dedicate!$E13*$V$4)*(1+RideSource!E15*$V$5)*(1+Connect!$E13*$V$6)*(1+EV!$C13*$V$7)*(1+ShareRide!E13*$V$8))</f>
        <v>7.4262850468400005E-2</v>
      </c>
      <c r="M12" s="62">
        <f>($V$1*(1+Dedicate!$E13*$V$4)*(1+RideSource!F15*$V$5)*(1+Connect!$E13*$V$6)*(1+EV!$C13*$V$7)*(1+ShareRide!F13*$V$8))</f>
        <v>7.4262850468400005E-2</v>
      </c>
      <c r="N12" s="62">
        <f>($V$1*(1+Dedicate!$E13*$V$4)*(1+RideSource!G15*$V$5)*(1+Connect!$E13*$V$6)*(1+EV!$C13*$V$7)*(1+ShareRide!G13*$V$8))</f>
        <v>7.4262850468400005E-2</v>
      </c>
      <c r="O12" s="18">
        <f t="shared" si="1"/>
        <v>403427.85269592988</v>
      </c>
      <c r="P12" s="18">
        <f t="shared" si="2"/>
        <v>1008569.6317398245</v>
      </c>
      <c r="Q12" s="18">
        <f t="shared" si="3"/>
        <v>403427.85269592988</v>
      </c>
      <c r="R12" s="18">
        <f t="shared" si="4"/>
        <v>1613711.4107837195</v>
      </c>
      <c r="S12" s="18">
        <f t="shared" si="5"/>
        <v>605141.77904389473</v>
      </c>
      <c r="T12" s="20">
        <f t="shared" si="6"/>
        <v>4034278.5269592986</v>
      </c>
      <c r="U12" s="20">
        <f t="shared" si="7"/>
        <v>282578.11506685958</v>
      </c>
    </row>
    <row r="13" spans="1:24" x14ac:dyDescent="0.25">
      <c r="A13">
        <v>10</v>
      </c>
      <c r="B13">
        <v>2027</v>
      </c>
      <c r="C13" s="18">
        <f>C12*(1+City!$B$8)</f>
        <v>4116203.9114192477</v>
      </c>
      <c r="D13" s="18">
        <f t="shared" si="0"/>
        <v>411620.39114192477</v>
      </c>
      <c r="E13" s="18">
        <f t="shared" si="0"/>
        <v>1029050.9778548119</v>
      </c>
      <c r="F13" s="18">
        <f t="shared" si="0"/>
        <v>411620.39114192477</v>
      </c>
      <c r="G13" s="18">
        <f t="shared" si="0"/>
        <v>1646481.5645676991</v>
      </c>
      <c r="H13" s="18">
        <f t="shared" si="0"/>
        <v>617430.58671288716</v>
      </c>
      <c r="I13" s="16">
        <f>Delay!O15</f>
        <v>9.2304927530064571E-2</v>
      </c>
      <c r="J13" s="62">
        <f>($V$1*(1+Dedicate!$E14*$V$4)*(1+RideSource!C16*$V$5)*(1+Connect!$E14*$V$6)*(1+EV!$C14*$V$7)*(1+ShareRide!C14*$V$8))</f>
        <v>8.2205237117897137E-2</v>
      </c>
      <c r="K13" s="62">
        <f>($V$1*(1+Dedicate!$E14*$V$4)*(1+RideSource!D16*$V$5)*(1+Connect!$E14*$V$6)*(1+EV!$C14*$V$7)*(1+ShareRide!D14*$V$8))</f>
        <v>7.4732033743542842E-2</v>
      </c>
      <c r="L13" s="62">
        <f>($V$1*(1+Dedicate!$E14*$V$4)*(1+RideSource!E16*$V$5)*(1+Connect!$E14*$V$6)*(1+EV!$C14*$V$7)*(1+ShareRide!E14*$V$8))</f>
        <v>7.4732033743542842E-2</v>
      </c>
      <c r="M13" s="62">
        <f>($V$1*(1+Dedicate!$E14*$V$4)*(1+RideSource!F16*$V$5)*(1+Connect!$E14*$V$6)*(1+EV!$C14*$V$7)*(1+ShareRide!F14*$V$8))</f>
        <v>7.4732033743542842E-2</v>
      </c>
      <c r="N13" s="62">
        <f>($V$1*(1+Dedicate!$E14*$V$4)*(1+RideSource!G16*$V$5)*(1+Connect!$E14*$V$6)*(1+EV!$C14*$V$7)*(1+ShareRide!G14*$V$8))</f>
        <v>7.4732033743542842E-2</v>
      </c>
      <c r="O13" s="18">
        <f t="shared" si="1"/>
        <v>408497.036831012</v>
      </c>
      <c r="P13" s="18">
        <f t="shared" si="2"/>
        <v>1021952.4453300101</v>
      </c>
      <c r="Q13" s="18">
        <f t="shared" si="3"/>
        <v>408780.97813200409</v>
      </c>
      <c r="R13" s="18">
        <f t="shared" si="4"/>
        <v>1635123.9125280164</v>
      </c>
      <c r="S13" s="18">
        <f t="shared" si="5"/>
        <v>613171.46719800611</v>
      </c>
      <c r="T13" s="20">
        <f t="shared" si="6"/>
        <v>4087525.8400190491</v>
      </c>
      <c r="U13" s="20">
        <f t="shared" si="7"/>
        <v>377298.77644022461</v>
      </c>
      <c r="V13" s="16"/>
      <c r="W13" s="2"/>
      <c r="X13" s="46"/>
    </row>
    <row r="14" spans="1:24" x14ac:dyDescent="0.25">
      <c r="A14">
        <v>11</v>
      </c>
      <c r="B14">
        <v>2028</v>
      </c>
      <c r="C14" s="18">
        <f>C13*(1+City!$B$8)</f>
        <v>4177946.9700905359</v>
      </c>
      <c r="D14" s="18">
        <f t="shared" si="0"/>
        <v>417794.69700905361</v>
      </c>
      <c r="E14" s="18">
        <f t="shared" si="0"/>
        <v>1044486.742522634</v>
      </c>
      <c r="F14" s="18">
        <f t="shared" si="0"/>
        <v>417794.69700905361</v>
      </c>
      <c r="G14" s="18">
        <f t="shared" si="0"/>
        <v>1671178.7880362144</v>
      </c>
      <c r="H14" s="18">
        <f t="shared" si="0"/>
        <v>626692.04551358032</v>
      </c>
      <c r="I14" s="16">
        <f>Delay!O16</f>
        <v>0.1148339006241916</v>
      </c>
      <c r="J14" s="62">
        <f>($V$1*(1+Dedicate!$E15*$V$4)*(1+RideSource!C17*$V$5)*(1+Connect!$E15*$V$6)*(1+EV!$C15*$V$7)*(1+ShareRide!C15*$V$8))</f>
        <v>8.5231017651400232E-2</v>
      </c>
      <c r="K14" s="62">
        <f>($V$1*(1+Dedicate!$E15*$V$4)*(1+RideSource!D17*$V$5)*(1+Connect!$E15*$V$6)*(1+EV!$C15*$V$7)*(1+ShareRide!D15*$V$8))</f>
        <v>7.5202590970114294E-2</v>
      </c>
      <c r="L14" s="62">
        <f>($V$1*(1+Dedicate!$E15*$V$4)*(1+RideSource!E17*$V$5)*(1+Connect!$E15*$V$6)*(1+EV!$C15*$V$7)*(1+ShareRide!E15*$V$8))</f>
        <v>7.5202590970114294E-2</v>
      </c>
      <c r="M14" s="62">
        <f>($V$1*(1+Dedicate!$E15*$V$4)*(1+RideSource!F17*$V$5)*(1+Connect!$E15*$V$6)*(1+EV!$C15*$V$7)*(1+ShareRide!F15*$V$8))</f>
        <v>7.5202590970114294E-2</v>
      </c>
      <c r="N14" s="62">
        <f>($V$1*(1+Dedicate!$E15*$V$4)*(1+RideSource!G17*$V$5)*(1+Connect!$E15*$V$6)*(1+EV!$C15*$V$7)*(1+ShareRide!G15*$V$8))</f>
        <v>7.5202590970114294E-2</v>
      </c>
      <c r="O14" s="18">
        <f t="shared" si="1"/>
        <v>413705.56892541226</v>
      </c>
      <c r="P14" s="18">
        <f t="shared" si="2"/>
        <v>1035466.7567483167</v>
      </c>
      <c r="Q14" s="18">
        <f t="shared" si="3"/>
        <v>414186.70269932674</v>
      </c>
      <c r="R14" s="18">
        <f t="shared" si="4"/>
        <v>1656746.8107973069</v>
      </c>
      <c r="S14" s="18">
        <f t="shared" si="5"/>
        <v>621280.05404899002</v>
      </c>
      <c r="T14" s="20">
        <f t="shared" si="6"/>
        <v>4141385.8932193527</v>
      </c>
      <c r="U14" s="20">
        <f t="shared" si="7"/>
        <v>475571.49610838015</v>
      </c>
    </row>
    <row r="15" spans="1:24" x14ac:dyDescent="0.25">
      <c r="A15">
        <v>12</v>
      </c>
      <c r="B15">
        <v>2029</v>
      </c>
      <c r="C15" s="18">
        <f>C14*(1+City!$B$8)</f>
        <v>4240616.1746418932</v>
      </c>
      <c r="D15" s="18">
        <f t="shared" si="0"/>
        <v>424061.61746418936</v>
      </c>
      <c r="E15" s="18">
        <f t="shared" si="0"/>
        <v>1060154.0436604733</v>
      </c>
      <c r="F15" s="18">
        <f t="shared" si="0"/>
        <v>424061.61746418936</v>
      </c>
      <c r="G15" s="18">
        <f t="shared" si="0"/>
        <v>1696246.4698567574</v>
      </c>
      <c r="H15" s="18">
        <f t="shared" si="0"/>
        <v>636092.42619628401</v>
      </c>
      <c r="I15" s="16">
        <f>Delay!O17</f>
        <v>0.138684881825729</v>
      </c>
      <c r="J15" s="62">
        <f>($V$1*(1+Dedicate!$E16*$V$4)*(1+RideSource!C18*$V$5)*(1+Connect!$E16*$V$6)*(1+EV!$C16*$V$7)*(1+ShareRide!C16*$V$8))</f>
        <v>8.9131566608166887E-2</v>
      </c>
      <c r="K15" s="62">
        <f>($V$1*(1+Dedicate!$E16*$V$4)*(1+RideSource!D18*$V$5)*(1+Connect!$E16*$V$6)*(1+EV!$C16*$V$7)*(1+ShareRide!D16*$V$8))</f>
        <v>7.5674522148114279E-2</v>
      </c>
      <c r="L15" s="62">
        <f>($V$1*(1+Dedicate!$E16*$V$4)*(1+RideSource!E18*$V$5)*(1+Connect!$E16*$V$6)*(1+EV!$C16*$V$7)*(1+ShareRide!E16*$V$8))</f>
        <v>7.5674522148114279E-2</v>
      </c>
      <c r="M15" s="62">
        <f>($V$1*(1+Dedicate!$E16*$V$4)*(1+RideSource!F18*$V$5)*(1+Connect!$E16*$V$6)*(1+EV!$C16*$V$7)*(1+ShareRide!F16*$V$8))</f>
        <v>7.5674522148114279E-2</v>
      </c>
      <c r="N15" s="62">
        <f>($V$1*(1+Dedicate!$E16*$V$4)*(1+RideSource!G18*$V$5)*(1+Connect!$E16*$V$6)*(1+EV!$C16*$V$7)*(1+ShareRide!G16*$V$8))</f>
        <v>7.5674522148114279E-2</v>
      </c>
      <c r="O15" s="18">
        <f t="shared" si="1"/>
        <v>418819.70666677662</v>
      </c>
      <c r="P15" s="18">
        <f t="shared" si="2"/>
        <v>1049027.8200947782</v>
      </c>
      <c r="Q15" s="18">
        <f t="shared" si="3"/>
        <v>419611.12803791132</v>
      </c>
      <c r="R15" s="18">
        <f t="shared" si="4"/>
        <v>1678444.5121516453</v>
      </c>
      <c r="S15" s="18">
        <f t="shared" si="5"/>
        <v>629416.69205686694</v>
      </c>
      <c r="T15" s="20">
        <f t="shared" si="6"/>
        <v>4195319.8590079788</v>
      </c>
      <c r="U15" s="20">
        <f t="shared" si="7"/>
        <v>581827.43886765558</v>
      </c>
    </row>
    <row r="16" spans="1:24" x14ac:dyDescent="0.25">
      <c r="A16">
        <v>13</v>
      </c>
      <c r="B16">
        <v>2030</v>
      </c>
      <c r="C16" s="18">
        <f>C15*(1+City!$B$8)</f>
        <v>4304225.4172615213</v>
      </c>
      <c r="D16" s="18">
        <f t="shared" si="0"/>
        <v>430422.54172615218</v>
      </c>
      <c r="E16" s="18">
        <f t="shared" si="0"/>
        <v>1076056.3543153803</v>
      </c>
      <c r="F16" s="18">
        <f t="shared" si="0"/>
        <v>430422.54172615218</v>
      </c>
      <c r="G16" s="18">
        <f t="shared" si="0"/>
        <v>1721690.1669046087</v>
      </c>
      <c r="H16" s="18">
        <f t="shared" si="0"/>
        <v>645633.81258922815</v>
      </c>
      <c r="I16" s="16">
        <f>Delay!O18</f>
        <v>0.16329507413798119</v>
      </c>
      <c r="J16" s="62">
        <f>($V$1*(1+Dedicate!$E17*$V$4)*(1+RideSource!C19*$V$5)*(1+Connect!$E17*$V$6)*(1+EV!$C17*$V$7)*(1+ShareRide!C17*$V$8))</f>
        <v>9.4205322812465894E-2</v>
      </c>
      <c r="K16" s="62">
        <f>($V$1*(1+Dedicate!$E17*$V$4)*(1+RideSource!D19*$V$5)*(1+Connect!$E17*$V$6)*(1+EV!$C17*$V$7)*(1+ShareRide!D17*$V$8))</f>
        <v>8.3762610005297153E-2</v>
      </c>
      <c r="L16" s="62">
        <f>($V$1*(1+Dedicate!$E17*$V$4)*(1+RideSource!E19*$V$5)*(1+Connect!$E17*$V$6)*(1+EV!$C17*$V$7)*(1+ShareRide!E17*$V$8))</f>
        <v>7.6147827277542865E-2</v>
      </c>
      <c r="M16" s="62">
        <f>($V$1*(1+Dedicate!$E17*$V$4)*(1+RideSource!F19*$V$5)*(1+Connect!$E17*$V$6)*(1+EV!$C17*$V$7)*(1+ShareRide!F17*$V$8))</f>
        <v>7.6147827277542865E-2</v>
      </c>
      <c r="N16" s="62">
        <f>($V$1*(1+Dedicate!$E17*$V$4)*(1+RideSource!G19*$V$5)*(1+Connect!$E17*$V$6)*(1+EV!$C17*$V$7)*(1+ShareRide!G17*$V$8))</f>
        <v>7.6147827277542865E-2</v>
      </c>
      <c r="O16" s="18">
        <f t="shared" si="1"/>
        <v>423801.23763040494</v>
      </c>
      <c r="P16" s="18">
        <f t="shared" si="2"/>
        <v>1061338.0322466097</v>
      </c>
      <c r="Q16" s="18">
        <f t="shared" si="3"/>
        <v>425070.42461023555</v>
      </c>
      <c r="R16" s="18">
        <f t="shared" si="4"/>
        <v>1700281.6984409422</v>
      </c>
      <c r="S16" s="18">
        <f t="shared" si="5"/>
        <v>637605.63691535324</v>
      </c>
      <c r="T16" s="20">
        <f t="shared" si="6"/>
        <v>4248097.0298435455</v>
      </c>
      <c r="U16" s="20">
        <f t="shared" si="7"/>
        <v>693693.31943363952</v>
      </c>
    </row>
    <row r="17" spans="1:21" x14ac:dyDescent="0.25">
      <c r="A17">
        <v>14</v>
      </c>
      <c r="B17">
        <v>2031</v>
      </c>
      <c r="C17" s="18">
        <f>C16*(1+City!$B$8)</f>
        <v>4368788.798520444</v>
      </c>
      <c r="D17" s="18">
        <f t="shared" si="0"/>
        <v>436878.8798520444</v>
      </c>
      <c r="E17" s="18">
        <f t="shared" si="0"/>
        <v>1092197.199630111</v>
      </c>
      <c r="F17" s="18">
        <f t="shared" si="0"/>
        <v>436878.8798520444</v>
      </c>
      <c r="G17" s="18">
        <f t="shared" si="0"/>
        <v>1747515.5194081776</v>
      </c>
      <c r="H17" s="18">
        <f t="shared" si="0"/>
        <v>655318.31977806659</v>
      </c>
      <c r="I17" s="16">
        <f>Delay!O19</f>
        <v>0.18756456926067244</v>
      </c>
      <c r="J17" s="62">
        <f>($V$1*(1+Dedicate!$E18*$V$4)*(1+RideSource!C20*$V$5)*(1+Connect!$E18*$V$6)*(1+EV!$C18*$V$7)*(1+ShareRide!C18*$V$8))</f>
        <v>0.1007139997267968</v>
      </c>
      <c r="K17" s="62">
        <f>($V$1*(1+Dedicate!$E18*$V$4)*(1+RideSource!D20*$V$5)*(1+Connect!$E18*$V$6)*(1+EV!$C18*$V$7)*(1+ShareRide!D18*$V$8))</f>
        <v>8.6440198664387888E-2</v>
      </c>
      <c r="L17" s="62">
        <f>($V$1*(1+Dedicate!$E18*$V$4)*(1+RideSource!E20*$V$5)*(1+Connect!$E18*$V$6)*(1+EV!$C18*$V$7)*(1+ShareRide!E18*$V$8))</f>
        <v>7.6517151762857144E-2</v>
      </c>
      <c r="M17" s="62">
        <f>($V$1*(1+Dedicate!$E18*$V$4)*(1+RideSource!F20*$V$5)*(1+Connect!$E18*$V$6)*(1+EV!$C18*$V$7)*(1+ShareRide!F18*$V$8))</f>
        <v>7.6517151762857144E-2</v>
      </c>
      <c r="N17" s="62">
        <f>($V$1*(1+Dedicate!$E18*$V$4)*(1+RideSource!G20*$V$5)*(1+Connect!$E18*$V$6)*(1+EV!$C18*$V$7)*(1+ShareRide!G18*$V$8))</f>
        <v>7.6517151762857144E-2</v>
      </c>
      <c r="O17" s="18">
        <f t="shared" si="1"/>
        <v>428626.07268135028</v>
      </c>
      <c r="P17" s="18">
        <f t="shared" si="2"/>
        <v>1074489.2768659266</v>
      </c>
      <c r="Q17" s="18">
        <f t="shared" si="3"/>
        <v>430608.83496789134</v>
      </c>
      <c r="R17" s="18">
        <f t="shared" si="4"/>
        <v>1722435.3398715653</v>
      </c>
      <c r="S17" s="18">
        <f t="shared" si="5"/>
        <v>645913.25245183695</v>
      </c>
      <c r="T17" s="20">
        <f t="shared" si="6"/>
        <v>4302072.7768385699</v>
      </c>
      <c r="U17" s="20">
        <f t="shared" si="7"/>
        <v>806916.42731579137</v>
      </c>
    </row>
    <row r="18" spans="1:21" x14ac:dyDescent="0.25">
      <c r="A18">
        <v>15</v>
      </c>
      <c r="B18">
        <v>2032</v>
      </c>
      <c r="C18" s="18">
        <f>C17*(1+City!$B$8)</f>
        <v>4434320.63049825</v>
      </c>
      <c r="D18" s="18">
        <f t="shared" si="0"/>
        <v>443432.06304982502</v>
      </c>
      <c r="E18" s="18">
        <f t="shared" si="0"/>
        <v>1108580.1576245625</v>
      </c>
      <c r="F18" s="18">
        <f t="shared" si="0"/>
        <v>443432.06304982502</v>
      </c>
      <c r="G18" s="18">
        <f t="shared" si="0"/>
        <v>1773728.2521993001</v>
      </c>
      <c r="H18" s="18">
        <f t="shared" si="0"/>
        <v>665148.09457473748</v>
      </c>
      <c r="I18" s="16">
        <f>Delay!O20</f>
        <v>0.21166409945950956</v>
      </c>
      <c r="J18" s="62">
        <f>($V$1*(1+Dedicate!$E19*$V$4)*(1+RideSource!C21*$V$5)*(1+Connect!$E19*$V$6)*(1+EV!$C19*$V$7)*(1+ShareRide!C19*$V$8))</f>
        <v>0.10920977027128947</v>
      </c>
      <c r="K18" s="62">
        <f>($V$1*(1+Dedicate!$E19*$V$4)*(1+RideSource!D21*$V$5)*(1+Connect!$E19*$V$6)*(1+EV!$C19*$V$7)*(1+ShareRide!D19*$V$8))</f>
        <v>8.9735461000280917E-2</v>
      </c>
      <c r="L18" s="62">
        <f>($V$1*(1+Dedicate!$E19*$V$4)*(1+RideSource!E21*$V$5)*(1+Connect!$E19*$V$6)*(1+EV!$C19*$V$7)*(1+ShareRide!E19*$V$8))</f>
        <v>8.4498166105571426E-2</v>
      </c>
      <c r="M18" s="62">
        <f>($V$1*(1+Dedicate!$E19*$V$4)*(1+RideSource!F21*$V$5)*(1+Connect!$E19*$V$6)*(1+EV!$C19*$V$7)*(1+ShareRide!F19*$V$8))</f>
        <v>7.6816514641428565E-2</v>
      </c>
      <c r="N18" s="62">
        <f>($V$1*(1+Dedicate!$E19*$V$4)*(1+RideSource!G21*$V$5)*(1+Connect!$E19*$V$6)*(1+EV!$C19*$V$7)*(1+ShareRide!G19*$V$8))</f>
        <v>7.6816514641428565E-2</v>
      </c>
      <c r="O18" s="18">
        <f t="shared" si="1"/>
        <v>433181.78163134528</v>
      </c>
      <c r="P18" s="18">
        <f t="shared" si="2"/>
        <v>1087524.0349400956</v>
      </c>
      <c r="Q18" s="18">
        <f t="shared" si="3"/>
        <v>435501.179395588</v>
      </c>
      <c r="R18" s="18">
        <f t="shared" si="4"/>
        <v>1744888.6752748017</v>
      </c>
      <c r="S18" s="18">
        <f t="shared" si="5"/>
        <v>654333.25322805066</v>
      </c>
      <c r="T18" s="20">
        <f t="shared" si="6"/>
        <v>4355428.9244698817</v>
      </c>
      <c r="U18" s="20">
        <f t="shared" si="7"/>
        <v>921887.94105781778</v>
      </c>
    </row>
    <row r="19" spans="1:21" x14ac:dyDescent="0.25">
      <c r="A19">
        <v>16</v>
      </c>
      <c r="B19">
        <v>2033</v>
      </c>
      <c r="C19" s="18">
        <f>C18*(1+City!$B$8)</f>
        <v>4500835.4399557235</v>
      </c>
      <c r="D19" s="18">
        <f t="shared" si="0"/>
        <v>450083.54399557237</v>
      </c>
      <c r="E19" s="18">
        <f t="shared" si="0"/>
        <v>1125208.8599889309</v>
      </c>
      <c r="F19" s="18">
        <f t="shared" si="0"/>
        <v>450083.54399557237</v>
      </c>
      <c r="G19" s="18">
        <f t="shared" si="0"/>
        <v>1800334.1759822895</v>
      </c>
      <c r="H19" s="18">
        <f t="shared" si="0"/>
        <v>675125.3159933585</v>
      </c>
      <c r="I19" s="16">
        <f>Delay!O21</f>
        <v>0.23943255976210523</v>
      </c>
      <c r="J19" s="62">
        <f>($V$1*(1+Dedicate!$E20*$V$4)*(1+RideSource!C22*$V$5)*(1+Connect!$E20*$V$6)*(1+EV!$C20*$V$7)*(1+ShareRide!C20*$V$8))</f>
        <v>0.12349335533475879</v>
      </c>
      <c r="K19" s="62">
        <f>($V$1*(1+Dedicate!$E20*$V$4)*(1+RideSource!D22*$V$5)*(1+Connect!$E20*$V$6)*(1+EV!$C20*$V$7)*(1+ShareRide!D20*$V$8))</f>
        <v>9.6283343911099523E-2</v>
      </c>
      <c r="L19" s="62">
        <f>($V$1*(1+Dedicate!$E20*$V$4)*(1+RideSource!E22*$V$5)*(1+Connect!$E20*$V$6)*(1+EV!$C20*$V$7)*(1+ShareRide!E20*$V$8))</f>
        <v>8.736513444942931E-2</v>
      </c>
      <c r="M19" s="62">
        <f>($V$1*(1+Dedicate!$E20*$V$4)*(1+RideSource!F22*$V$5)*(1+Connect!$E20*$V$6)*(1+EV!$C20*$V$7)*(1+ShareRide!F20*$V$8))</f>
        <v>7.7115877520000001E-2</v>
      </c>
      <c r="N19" s="62">
        <f>($V$1*(1+Dedicate!$E20*$V$4)*(1+RideSource!G22*$V$5)*(1+Connect!$E20*$V$6)*(1+EV!$C20*$V$7)*(1+ShareRide!G20*$V$8))</f>
        <v>7.7115877520000001E-2</v>
      </c>
      <c r="O19" s="18">
        <f t="shared" si="1"/>
        <v>436775.32515749097</v>
      </c>
      <c r="P19" s="18">
        <f t="shared" si="2"/>
        <v>1099269.0066308752</v>
      </c>
      <c r="Q19" s="18">
        <f t="shared" si="3"/>
        <v>440668.67041861196</v>
      </c>
      <c r="R19" s="18">
        <f t="shared" si="4"/>
        <v>1767092.712224345</v>
      </c>
      <c r="S19" s="18">
        <f t="shared" si="5"/>
        <v>662659.76708412927</v>
      </c>
      <c r="T19" s="20">
        <f t="shared" si="6"/>
        <v>4406465.4815154523</v>
      </c>
      <c r="U19" s="20">
        <f t="shared" si="7"/>
        <v>1055051.3097426023</v>
      </c>
    </row>
    <row r="20" spans="1:21" x14ac:dyDescent="0.25">
      <c r="A20">
        <v>17</v>
      </c>
      <c r="B20">
        <v>2034</v>
      </c>
      <c r="C20" s="18">
        <f>C19*(1+City!$B$8)</f>
        <v>4568347.9715550588</v>
      </c>
      <c r="D20" s="18">
        <f t="shared" si="0"/>
        <v>456834.79715550592</v>
      </c>
      <c r="E20" s="18">
        <f t="shared" si="0"/>
        <v>1142086.9928887647</v>
      </c>
      <c r="F20" s="18">
        <f t="shared" si="0"/>
        <v>456834.79715550592</v>
      </c>
      <c r="G20" s="18">
        <f t="shared" si="0"/>
        <v>1827339.1886220237</v>
      </c>
      <c r="H20" s="18">
        <f t="shared" si="0"/>
        <v>685252.19573325885</v>
      </c>
      <c r="I20" s="16">
        <f>Delay!O22</f>
        <v>0.26361839217356808</v>
      </c>
      <c r="J20" s="62">
        <f>($V$1*(1+Dedicate!$E21*$V$4)*(1+RideSource!C23*$V$5)*(1+Connect!$E21*$V$6)*(1+EV!$C21*$V$7)*(1+ShareRide!C21*$V$8))</f>
        <v>0.13885519290972864</v>
      </c>
      <c r="K20" s="62">
        <f>($V$1*(1+Dedicate!$E21*$V$4)*(1+RideSource!D23*$V$5)*(1+Connect!$E21*$V$6)*(1+EV!$C21*$V$7)*(1+ShareRide!D21*$V$8))</f>
        <v>0.10179436640427252</v>
      </c>
      <c r="L20" s="62">
        <f>($V$1*(1+Dedicate!$E21*$V$4)*(1+RideSource!E23*$V$5)*(1+Connect!$E21*$V$6)*(1+EV!$C21*$V$7)*(1+ShareRide!E21*$V$8))</f>
        <v>8.9467951297789436E-2</v>
      </c>
      <c r="M20" s="62">
        <f>($V$1*(1+Dedicate!$E21*$V$4)*(1+RideSource!F23*$V$5)*(1+Connect!$E21*$V$6)*(1+EV!$C21*$V$7)*(1+ShareRide!F21*$V$8))</f>
        <v>7.7415240398571422E-2</v>
      </c>
      <c r="N20" s="62">
        <f>($V$1*(1+Dedicate!$E21*$V$4)*(1+RideSource!G23*$V$5)*(1+Connect!$E21*$V$6)*(1+EV!$C21*$V$7)*(1+ShareRide!G21*$V$8))</f>
        <v>7.7415240398571422E-2</v>
      </c>
      <c r="O20" s="18">
        <f t="shared" si="1"/>
        <v>440112.45867591538</v>
      </c>
      <c r="P20" s="18">
        <f t="shared" si="2"/>
        <v>1111439.2400993831</v>
      </c>
      <c r="Q20" s="18">
        <f t="shared" si="3"/>
        <v>446060.16688546771</v>
      </c>
      <c r="R20" s="18">
        <f t="shared" si="4"/>
        <v>1790046.7020741019</v>
      </c>
      <c r="S20" s="18">
        <f t="shared" si="5"/>
        <v>671267.51327778818</v>
      </c>
      <c r="T20" s="20">
        <f t="shared" si="6"/>
        <v>4458926.0810126569</v>
      </c>
      <c r="U20" s="20">
        <f t="shared" si="7"/>
        <v>1175454.9242973456</v>
      </c>
    </row>
    <row r="21" spans="1:21" x14ac:dyDescent="0.25">
      <c r="A21">
        <v>18</v>
      </c>
      <c r="B21">
        <v>2035</v>
      </c>
      <c r="C21" s="18">
        <f>C20*(1+City!$B$8)</f>
        <v>4636873.1911283843</v>
      </c>
      <c r="D21" s="18">
        <f t="shared" si="0"/>
        <v>463687.31911283848</v>
      </c>
      <c r="E21" s="18">
        <f t="shared" si="0"/>
        <v>1159218.2977820961</v>
      </c>
      <c r="F21" s="18">
        <f t="shared" si="0"/>
        <v>463687.31911283848</v>
      </c>
      <c r="G21" s="18">
        <f t="shared" si="0"/>
        <v>1854749.2764513539</v>
      </c>
      <c r="H21" s="18">
        <f t="shared" si="0"/>
        <v>695530.9786692576</v>
      </c>
      <c r="I21" s="16">
        <f>Delay!O23</f>
        <v>0.28658589012553326</v>
      </c>
      <c r="J21" s="62">
        <f>($V$1*(1+Dedicate!$E22*$V$4)*(1+RideSource!C24*$V$5)*(1+Connect!$E22*$V$6)*(1+EV!$C22*$V$7)*(1+ShareRide!C22*$V$8))</f>
        <v>0.15931493671814284</v>
      </c>
      <c r="K21" s="62">
        <f>($V$1*(1+Dedicate!$E22*$V$4)*(1+RideSource!D24*$V$5)*(1+Connect!$E22*$V$6)*(1+EV!$C22*$V$7)*(1+ShareRide!D22*$V$8))</f>
        <v>0.10887595658175807</v>
      </c>
      <c r="L21" s="62">
        <f>($V$1*(1+Dedicate!$E22*$V$4)*(1+RideSource!E24*$V$5)*(1+Connect!$E22*$V$6)*(1+EV!$C22*$V$7)*(1+ShareRide!E22*$V$8))</f>
        <v>9.1919396908101456E-2</v>
      </c>
      <c r="M21" s="62">
        <f>($V$1*(1+Dedicate!$E22*$V$4)*(1+RideSource!F24*$V$5)*(1+Connect!$E22*$V$6)*(1+EV!$C22*$V$7)*(1+ShareRide!F22*$V$8))</f>
        <v>7.7714603277142857E-2</v>
      </c>
      <c r="N21" s="62">
        <f>($V$1*(1+Dedicate!$E22*$V$4)*(1+RideSource!G24*$V$5)*(1+Connect!$E22*$V$6)*(1+EV!$C22*$V$7)*(1+ShareRide!G22*$V$8))</f>
        <v>7.7714603277142857E-2</v>
      </c>
      <c r="O21" s="18">
        <f t="shared" si="1"/>
        <v>442516.5557045819</v>
      </c>
      <c r="P21" s="18">
        <f t="shared" si="2"/>
        <v>1123048.005700225</v>
      </c>
      <c r="Q21" s="18">
        <f t="shared" si="3"/>
        <v>451472.49579081766</v>
      </c>
      <c r="R21" s="18">
        <f t="shared" si="4"/>
        <v>1813440.4698010972</v>
      </c>
      <c r="S21" s="18">
        <f t="shared" si="5"/>
        <v>680040.17617541132</v>
      </c>
      <c r="T21" s="20">
        <f t="shared" si="6"/>
        <v>4510517.7031721333</v>
      </c>
      <c r="U21" s="20">
        <f t="shared" si="7"/>
        <v>1292650.7308905616</v>
      </c>
    </row>
    <row r="22" spans="1:21" x14ac:dyDescent="0.25">
      <c r="A22">
        <v>19</v>
      </c>
      <c r="B22">
        <v>2036</v>
      </c>
      <c r="C22" s="18">
        <f>C21*(1+City!$B$8)</f>
        <v>4706426.2889953097</v>
      </c>
      <c r="D22" s="18">
        <f t="shared" si="0"/>
        <v>470642.62889953097</v>
      </c>
      <c r="E22" s="18">
        <f t="shared" si="0"/>
        <v>1176606.5722488274</v>
      </c>
      <c r="F22" s="18">
        <f t="shared" si="0"/>
        <v>470642.62889953097</v>
      </c>
      <c r="G22" s="18">
        <f t="shared" si="0"/>
        <v>1882570.5155981239</v>
      </c>
      <c r="H22" s="18">
        <f t="shared" si="0"/>
        <v>705963.94334929646</v>
      </c>
      <c r="I22" s="16">
        <f>Delay!O24</f>
        <v>0.32215563491296184</v>
      </c>
      <c r="J22" s="62">
        <f>($V$1*(1+Dedicate!$E23*$V$4)*(1+RideSource!C25*$V$5)*(1+Connect!$E23*$V$6)*(1+EV!$C23*$V$7)*(1+ShareRide!C23*$V$8))</f>
        <v>0.15992863061921428</v>
      </c>
      <c r="K22" s="62">
        <f>($V$1*(1+Dedicate!$E23*$V$4)*(1+RideSource!D25*$V$5)*(1+Connect!$E23*$V$6)*(1+EV!$C23*$V$7)*(1+ShareRide!D23*$V$8))</f>
        <v>0.11800196839460944</v>
      </c>
      <c r="L22" s="62">
        <f>($V$1*(1+Dedicate!$E23*$V$4)*(1+RideSource!E25*$V$5)*(1+Connect!$E23*$V$6)*(1+EV!$C23*$V$7)*(1+ShareRide!E23*$V$8))</f>
        <v>9.4786968879192843E-2</v>
      </c>
      <c r="M22" s="62">
        <f>($V$1*(1+Dedicate!$E23*$V$4)*(1+RideSource!F25*$V$5)*(1+Connect!$E23*$V$6)*(1+EV!$C23*$V$7)*(1+ShareRide!F23*$V$8))</f>
        <v>7.8013966155714293E-2</v>
      </c>
      <c r="N22" s="62">
        <f>($V$1*(1+Dedicate!$E23*$V$4)*(1+RideSource!G25*$V$5)*(1+Connect!$E23*$V$6)*(1+EV!$C23*$V$7)*(1+ShareRide!G23*$V$8))</f>
        <v>7.8013966155714293E-2</v>
      </c>
      <c r="O22" s="18">
        <f t="shared" si="1"/>
        <v>446394.22194869298</v>
      </c>
      <c r="P22" s="18">
        <f t="shared" si="2"/>
        <v>1131877.874523571</v>
      </c>
      <c r="Q22" s="18">
        <f t="shared" si="3"/>
        <v>456271.01209696109</v>
      </c>
      <c r="R22" s="18">
        <f t="shared" si="4"/>
        <v>1835256.5508160009</v>
      </c>
      <c r="S22" s="18">
        <f t="shared" si="5"/>
        <v>688221.2065560004</v>
      </c>
      <c r="T22" s="20">
        <f t="shared" si="6"/>
        <v>4558020.8659412265</v>
      </c>
      <c r="U22" s="20">
        <f t="shared" si="7"/>
        <v>1468392.106013824</v>
      </c>
    </row>
    <row r="23" spans="1:21" x14ac:dyDescent="0.25">
      <c r="A23">
        <v>20</v>
      </c>
      <c r="B23">
        <v>2037</v>
      </c>
      <c r="C23" s="18">
        <f>C22*(1+City!$B$8)</f>
        <v>4777022.6833302388</v>
      </c>
      <c r="D23" s="18">
        <f t="shared" si="0"/>
        <v>477702.26833302388</v>
      </c>
      <c r="E23" s="18">
        <f t="shared" si="0"/>
        <v>1194255.6708325597</v>
      </c>
      <c r="F23" s="18">
        <f t="shared" si="0"/>
        <v>477702.26833302388</v>
      </c>
      <c r="G23" s="18">
        <f t="shared" si="0"/>
        <v>1910809.0733320955</v>
      </c>
      <c r="H23" s="18">
        <f t="shared" si="0"/>
        <v>716553.40249953582</v>
      </c>
      <c r="I23" s="16">
        <f>Delay!O25</f>
        <v>0.34819628776599093</v>
      </c>
      <c r="J23" s="62">
        <f>($V$1*(1+Dedicate!$E24*$V$4)*(1+RideSource!C26*$V$5)*(1+Connect!$E24*$V$6)*(1+EV!$C24*$V$7)*(1+ShareRide!C24*$V$8))</f>
        <v>0.16054232452028569</v>
      </c>
      <c r="K23" s="62">
        <f>($V$1*(1+Dedicate!$E24*$V$4)*(1+RideSource!D26*$V$5)*(1+Connect!$E24*$V$6)*(1+EV!$C24*$V$7)*(1+ShareRide!D24*$V$8))</f>
        <v>0.12978918442241072</v>
      </c>
      <c r="L23" s="62">
        <f>($V$1*(1+Dedicate!$E24*$V$4)*(1+RideSource!E26*$V$5)*(1+Connect!$E24*$V$6)*(1+EV!$C24*$V$7)*(1+ShareRide!E24*$V$8))</f>
        <v>9.8151226184856458E-2</v>
      </c>
      <c r="M23" s="62">
        <f>($V$1*(1+Dedicate!$E24*$V$4)*(1+RideSource!F26*$V$5)*(1+Connect!$E24*$V$6)*(1+EV!$C24*$V$7)*(1+ShareRide!F24*$V$8))</f>
        <v>7.8313329034285714E-2</v>
      </c>
      <c r="N23" s="62">
        <f>($V$1*(1+Dedicate!$E24*$V$4)*(1+RideSource!G26*$V$5)*(1+Connect!$E24*$V$6)*(1+EV!$C24*$V$7)*(1+ShareRide!G24*$V$8))</f>
        <v>7.8313329034285714E-2</v>
      </c>
      <c r="O23" s="18">
        <f t="shared" si="1"/>
        <v>450998.59620284545</v>
      </c>
      <c r="P23" s="18">
        <f t="shared" si="2"/>
        <v>1140284.7345511839</v>
      </c>
      <c r="Q23" s="18">
        <f t="shared" si="3"/>
        <v>461376.36691701307</v>
      </c>
      <c r="R23" s="18">
        <f t="shared" si="4"/>
        <v>1858704.3472244304</v>
      </c>
      <c r="S23" s="18">
        <f t="shared" si="5"/>
        <v>697014.13020916132</v>
      </c>
      <c r="T23" s="20">
        <f t="shared" si="6"/>
        <v>4608378.1751046339</v>
      </c>
      <c r="U23" s="20">
        <f t="shared" si="7"/>
        <v>1604620.1731932452</v>
      </c>
    </row>
    <row r="24" spans="1:21" x14ac:dyDescent="0.25">
      <c r="A24">
        <v>21</v>
      </c>
      <c r="B24">
        <v>2038</v>
      </c>
      <c r="C24" s="18">
        <f>C23*(1+City!$B$8)</f>
        <v>4848678.0235801917</v>
      </c>
      <c r="D24" s="18">
        <f t="shared" si="0"/>
        <v>484867.80235801917</v>
      </c>
      <c r="E24" s="18">
        <f t="shared" si="0"/>
        <v>1212169.5058950479</v>
      </c>
      <c r="F24" s="18">
        <f t="shared" si="0"/>
        <v>484867.80235801917</v>
      </c>
      <c r="G24" s="18">
        <f t="shared" si="0"/>
        <v>1939471.2094320767</v>
      </c>
      <c r="H24" s="18">
        <f t="shared" si="0"/>
        <v>727301.70353702875</v>
      </c>
      <c r="I24" s="16">
        <f>Delay!O26</f>
        <v>0.39639242505596872</v>
      </c>
      <c r="J24" s="62">
        <f>($V$1*(1+Dedicate!$E25*$V$4)*(1+RideSource!C27*$V$5)*(1+Connect!$E25*$V$6)*(1+EV!$C25*$V$7)*(1+ShareRide!C25*$V$8))</f>
        <v>0.16112314196237115</v>
      </c>
      <c r="K24" s="62">
        <f>($V$1*(1+Dedicate!$E25*$V$4)*(1+RideSource!D27*$V$5)*(1+Connect!$E25*$V$6)*(1+EV!$C25*$V$7)*(1+ShareRide!D25*$V$8))</f>
        <v>0.14501082776613405</v>
      </c>
      <c r="L24" s="62">
        <f>($V$1*(1+Dedicate!$E25*$V$4)*(1+RideSource!E27*$V$5)*(1+Connect!$E25*$V$6)*(1+EV!$C25*$V$7)*(1+ShareRide!E25*$V$8))</f>
        <v>0.10208748491873626</v>
      </c>
      <c r="M24" s="62">
        <f>($V$1*(1+Dedicate!$E25*$V$4)*(1+RideSource!F27*$V$5)*(1+Connect!$E25*$V$6)*(1+EV!$C25*$V$7)*(1+ShareRide!F25*$V$8))</f>
        <v>7.8596654615790809E-2</v>
      </c>
      <c r="N24" s="62">
        <f>($V$1*(1+Dedicate!$E25*$V$4)*(1+RideSource!G27*$V$5)*(1+Connect!$E25*$V$6)*(1+EV!$C25*$V$7)*(1+ShareRide!G25*$V$8))</f>
        <v>7.8596654615790809E-2</v>
      </c>
      <c r="O24" s="18">
        <f t="shared" si="1"/>
        <v>453900.26896316436</v>
      </c>
      <c r="P24" s="18">
        <f t="shared" si="2"/>
        <v>1142492.5557566246</v>
      </c>
      <c r="Q24" s="18">
        <f t="shared" si="3"/>
        <v>465246.79968941421</v>
      </c>
      <c r="R24" s="18">
        <f t="shared" si="4"/>
        <v>1879046.7540274819</v>
      </c>
      <c r="S24" s="18">
        <f t="shared" si="5"/>
        <v>704642.53276030568</v>
      </c>
      <c r="T24" s="20">
        <f t="shared" si="6"/>
        <v>4645328.9111969909</v>
      </c>
      <c r="U24" s="20">
        <f t="shared" si="7"/>
        <v>1841373.192291978</v>
      </c>
    </row>
    <row r="25" spans="1:21" x14ac:dyDescent="0.25">
      <c r="A25">
        <v>22</v>
      </c>
      <c r="B25">
        <v>2039</v>
      </c>
      <c r="C25" s="18">
        <f>C24*(1+City!$B$8)</f>
        <v>4921408.1939338939</v>
      </c>
      <c r="D25" s="18">
        <f t="shared" si="0"/>
        <v>492140.81939338939</v>
      </c>
      <c r="E25" s="18">
        <f t="shared" si="0"/>
        <v>1230352.0484834735</v>
      </c>
      <c r="F25" s="18">
        <f t="shared" si="0"/>
        <v>492140.81939338939</v>
      </c>
      <c r="G25" s="18">
        <f t="shared" si="0"/>
        <v>1968563.2775735576</v>
      </c>
      <c r="H25" s="18">
        <f t="shared" si="0"/>
        <v>738211.22909008409</v>
      </c>
      <c r="I25" s="16">
        <f>Delay!O27</f>
        <v>0.42459628644638808</v>
      </c>
      <c r="J25" s="62">
        <f>($V$1*(1+Dedicate!$E26*$V$4)*(1+RideSource!C28*$V$5)*(1+Connect!$E26*$V$6)*(1+EV!$C26*$V$7)*(1+ShareRide!C26*$V$8))</f>
        <v>0.16140807127358289</v>
      </c>
      <c r="K25" s="62">
        <f>($V$1*(1+Dedicate!$E26*$V$4)*(1+RideSource!D28*$V$5)*(1+Connect!$E26*$V$6)*(1+EV!$C26*$V$7)*(1+ShareRide!D26*$V$8))</f>
        <v>0.1452672641462246</v>
      </c>
      <c r="L25" s="62">
        <f>($V$1*(1+Dedicate!$E26*$V$4)*(1+RideSource!E28*$V$5)*(1+Connect!$E26*$V$6)*(1+EV!$C26*$V$7)*(1+ShareRide!E26*$V$8))</f>
        <v>0.10653429117947624</v>
      </c>
      <c r="M25" s="62">
        <f>($V$1*(1+Dedicate!$E26*$V$4)*(1+RideSource!F28*$V$5)*(1+Connect!$E26*$V$6)*(1+EV!$C26*$V$7)*(1+ShareRide!F26*$V$8))</f>
        <v>7.873564452369898E-2</v>
      </c>
      <c r="N25" s="62">
        <f>($V$1*(1+Dedicate!$E26*$V$4)*(1+RideSource!G28*$V$5)*(1+Connect!$E26*$V$6)*(1+EV!$C26*$V$7)*(1+ShareRide!G26*$V$8))</f>
        <v>7.873564452369898E-2</v>
      </c>
      <c r="O25" s="18">
        <f t="shared" si="1"/>
        <v>458412.80088891304</v>
      </c>
      <c r="P25" s="18">
        <f t="shared" si="2"/>
        <v>1154464.0068484016</v>
      </c>
      <c r="Q25" s="18">
        <f t="shared" si="3"/>
        <v>469879.28986818821</v>
      </c>
      <c r="R25" s="18">
        <f t="shared" si="4"/>
        <v>1902752.5097599453</v>
      </c>
      <c r="S25" s="18">
        <f t="shared" si="5"/>
        <v>713532.19115997944</v>
      </c>
      <c r="T25" s="20">
        <f t="shared" si="6"/>
        <v>4699040.7985254275</v>
      </c>
      <c r="U25" s="20">
        <f t="shared" si="7"/>
        <v>1995195.2729139666</v>
      </c>
    </row>
    <row r="26" spans="1:21" x14ac:dyDescent="0.25">
      <c r="A26">
        <v>23</v>
      </c>
      <c r="B26">
        <v>2040</v>
      </c>
      <c r="C26" s="18">
        <f>C25*(1+City!$B$8)</f>
        <v>4995229.3168429015</v>
      </c>
      <c r="D26" s="18">
        <f t="shared" si="0"/>
        <v>499522.93168429018</v>
      </c>
      <c r="E26" s="18">
        <f t="shared" si="0"/>
        <v>1248807.3292107254</v>
      </c>
      <c r="F26" s="18">
        <f t="shared" si="0"/>
        <v>499522.93168429018</v>
      </c>
      <c r="G26" s="18">
        <f t="shared" si="0"/>
        <v>1998091.7267371607</v>
      </c>
      <c r="H26" s="18">
        <f t="shared" si="0"/>
        <v>749284.3975264352</v>
      </c>
      <c r="I26" s="16">
        <f>Delay!O28</f>
        <v>0.45396821767515028</v>
      </c>
      <c r="J26" s="62">
        <f>($V$1*(1+Dedicate!$E27*$V$4)*(1+RideSource!C29*$V$5)*(1+Connect!$E27*$V$6)*(1+EV!$C27*$V$7)*(1+ShareRide!C27*$V$8))</f>
        <v>0.16169300058479466</v>
      </c>
      <c r="K26" s="62">
        <f>($V$1*(1+Dedicate!$E27*$V$4)*(1+RideSource!D29*$V$5)*(1+Connect!$E27*$V$6)*(1+EV!$C27*$V$7)*(1+ShareRide!D27*$V$8))</f>
        <v>0.14552370052631519</v>
      </c>
      <c r="L26" s="62">
        <f>($V$1*(1+Dedicate!$E27*$V$4)*(1+RideSource!E29*$V$5)*(1+Connect!$E27*$V$6)*(1+EV!$C27*$V$7)*(1+ShareRide!E27*$V$8))</f>
        <v>0.11180479430680312</v>
      </c>
      <c r="M26" s="62">
        <f>($V$1*(1+Dedicate!$E27*$V$4)*(1+RideSource!F29*$V$5)*(1+Connect!$E27*$V$6)*(1+EV!$C27*$V$7)*(1+ShareRide!F27*$V$8))</f>
        <v>7.8874634431607152E-2</v>
      </c>
      <c r="N26" s="62">
        <f>($V$1*(1+Dedicate!$E27*$V$4)*(1+RideSource!G29*$V$5)*(1+Connect!$E27*$V$6)*(1+EV!$C27*$V$7)*(1+ShareRide!G27*$V$8))</f>
        <v>7.8874634431607152E-2</v>
      </c>
      <c r="O26" s="18">
        <f t="shared" si="1"/>
        <v>462856.20851741551</v>
      </c>
      <c r="P26" s="18">
        <f t="shared" si="2"/>
        <v>1166307.2020852575</v>
      </c>
      <c r="Q26" s="18">
        <f t="shared" si="3"/>
        <v>474169.23407987808</v>
      </c>
      <c r="R26" s="18">
        <f t="shared" si="4"/>
        <v>1926546.901045698</v>
      </c>
      <c r="S26" s="18">
        <f t="shared" si="5"/>
        <v>722455.08789213665</v>
      </c>
      <c r="T26" s="20">
        <f t="shared" si="6"/>
        <v>4752334.6336203851</v>
      </c>
      <c r="U26" s="20">
        <f t="shared" si="7"/>
        <v>2157408.8834205344</v>
      </c>
    </row>
    <row r="27" spans="1:21" x14ac:dyDescent="0.25">
      <c r="A27">
        <v>24</v>
      </c>
      <c r="B27">
        <v>2041</v>
      </c>
      <c r="C27" s="18">
        <f>C26*(1+City!$B$8)</f>
        <v>5070157.7565955445</v>
      </c>
      <c r="D27" s="18">
        <f t="shared" si="0"/>
        <v>507015.77565955446</v>
      </c>
      <c r="E27" s="18">
        <f t="shared" si="0"/>
        <v>1267539.4391488861</v>
      </c>
      <c r="F27" s="18">
        <f t="shared" si="0"/>
        <v>507015.77565955446</v>
      </c>
      <c r="G27" s="18">
        <f t="shared" si="0"/>
        <v>2028063.1026382179</v>
      </c>
      <c r="H27" s="18">
        <f t="shared" si="0"/>
        <v>760523.66348933161</v>
      </c>
      <c r="I27" s="16">
        <f>Delay!O29</f>
        <v>0.48441809138137076</v>
      </c>
      <c r="J27" s="62">
        <f>($V$1*(1+Dedicate!$E28*$V$4)*(1+RideSource!C30*$V$5)*(1+Connect!$E28*$V$6)*(1+EV!$C28*$V$7)*(1+ShareRide!C28*$V$8))</f>
        <v>0.16197792989600637</v>
      </c>
      <c r="K27" s="62">
        <f>($V$1*(1+Dedicate!$E28*$V$4)*(1+RideSource!D30*$V$5)*(1+Connect!$E28*$V$6)*(1+EV!$C28*$V$7)*(1+ShareRide!D28*$V$8))</f>
        <v>0.14578013690640573</v>
      </c>
      <c r="L27" s="62">
        <f>($V$1*(1+Dedicate!$E28*$V$4)*(1+RideSource!E30*$V$5)*(1+Connect!$E28*$V$6)*(1+EV!$C28*$V$7)*(1+ShareRide!E28*$V$8))</f>
        <v>0.11200181250126294</v>
      </c>
      <c r="M27" s="62">
        <f>($V$1*(1+Dedicate!$E28*$V$4)*(1+RideSource!F30*$V$5)*(1+Connect!$E28*$V$6)*(1+EV!$C28*$V$7)*(1+ShareRide!F28*$V$8))</f>
        <v>7.9013624339515309E-2</v>
      </c>
      <c r="N27" s="62">
        <f>($V$1*(1+Dedicate!$E28*$V$4)*(1+RideSource!G30*$V$5)*(1+Connect!$E28*$V$6)*(1+EV!$C28*$V$7)*(1+ShareRide!G28*$V$8))</f>
        <v>7.9013624339515309E-2</v>
      </c>
      <c r="O27" s="18">
        <f t="shared" si="1"/>
        <v>467232.76272121473</v>
      </c>
      <c r="P27" s="18">
        <f t="shared" si="2"/>
        <v>1178027.6600376219</v>
      </c>
      <c r="Q27" s="18">
        <f t="shared" si="3"/>
        <v>479507.27768877562</v>
      </c>
      <c r="R27" s="18">
        <f t="shared" si="4"/>
        <v>1950437.7115390184</v>
      </c>
      <c r="S27" s="18">
        <f t="shared" si="5"/>
        <v>731414.14182713185</v>
      </c>
      <c r="T27" s="20">
        <f t="shared" si="6"/>
        <v>4806619.553813762</v>
      </c>
      <c r="U27" s="20">
        <f t="shared" si="7"/>
        <v>2328413.4702548385</v>
      </c>
    </row>
    <row r="28" spans="1:21" x14ac:dyDescent="0.25">
      <c r="A28">
        <v>25</v>
      </c>
      <c r="B28">
        <v>2042</v>
      </c>
      <c r="C28" s="18">
        <f>C27*(1+City!$B$8)</f>
        <v>5146210.122944477</v>
      </c>
      <c r="D28" s="18">
        <f t="shared" si="0"/>
        <v>514621.01229444775</v>
      </c>
      <c r="E28" s="18">
        <f t="shared" si="0"/>
        <v>1286552.5307361193</v>
      </c>
      <c r="F28" s="18">
        <f t="shared" si="0"/>
        <v>514621.01229444775</v>
      </c>
      <c r="G28" s="18">
        <f t="shared" si="0"/>
        <v>2058484.049177791</v>
      </c>
      <c r="H28" s="18">
        <f t="shared" si="0"/>
        <v>771931.51844167151</v>
      </c>
      <c r="I28" s="16">
        <f>Delay!O30</f>
        <v>0.51606095862198809</v>
      </c>
      <c r="J28" s="62">
        <f>($V$1*(1+Dedicate!$E29*$V$4)*(1+RideSource!C31*$V$5)*(1+Connect!$E29*$V$6)*(1+EV!$C29*$V$7)*(1+ShareRide!C29*$V$8))</f>
        <v>0.16226285920721809</v>
      </c>
      <c r="K28" s="62">
        <f>($V$1*(1+Dedicate!$E29*$V$4)*(1+RideSource!D31*$V$5)*(1+Connect!$E29*$V$6)*(1+EV!$C29*$V$7)*(1+ShareRide!D29*$V$8))</f>
        <v>0.14603657328649627</v>
      </c>
      <c r="L28" s="62">
        <f>($V$1*(1+Dedicate!$E29*$V$4)*(1+RideSource!E31*$V$5)*(1+Connect!$E29*$V$6)*(1+EV!$C29*$V$7)*(1+ShareRide!E29*$V$8))</f>
        <v>0.11219883069572276</v>
      </c>
      <c r="M28" s="62">
        <f>($V$1*(1+Dedicate!$E29*$V$4)*(1+RideSource!F31*$V$5)*(1+Connect!$E29*$V$6)*(1+EV!$C29*$V$7)*(1+ShareRide!F29*$V$8))</f>
        <v>7.9152614247423467E-2</v>
      </c>
      <c r="N28" s="62">
        <f>($V$1*(1+Dedicate!$E29*$V$4)*(1+RideSource!G31*$V$5)*(1+Connect!$E29*$V$6)*(1+EV!$C29*$V$7)*(1+ShareRide!G29*$V$8))</f>
        <v>7.9152614247423467E-2</v>
      </c>
      <c r="O28" s="18">
        <f t="shared" si="1"/>
        <v>471527.9215518703</v>
      </c>
      <c r="P28" s="18">
        <f t="shared" si="2"/>
        <v>1189593.0765653201</v>
      </c>
      <c r="Q28" s="18">
        <f t="shared" si="3"/>
        <v>484823.71662244608</v>
      </c>
      <c r="R28" s="18">
        <f t="shared" si="4"/>
        <v>1974399.9696800788</v>
      </c>
      <c r="S28" s="18">
        <f t="shared" si="5"/>
        <v>740399.98863002949</v>
      </c>
      <c r="T28" s="20">
        <f t="shared" si="6"/>
        <v>4860744.6730497451</v>
      </c>
      <c r="U28" s="20">
        <f t="shared" si="7"/>
        <v>2508440.5555907735</v>
      </c>
    </row>
    <row r="29" spans="1:21" x14ac:dyDescent="0.25">
      <c r="A29">
        <v>26</v>
      </c>
      <c r="B29">
        <v>2043</v>
      </c>
      <c r="C29" s="18">
        <f>C28*(1+City!$B$8)</f>
        <v>5223403.2747886432</v>
      </c>
      <c r="D29" s="18">
        <f t="shared" si="0"/>
        <v>522340.32747886435</v>
      </c>
      <c r="E29" s="18">
        <f t="shared" si="0"/>
        <v>1305850.8186971608</v>
      </c>
      <c r="F29" s="18">
        <f t="shared" si="0"/>
        <v>522340.32747886435</v>
      </c>
      <c r="G29" s="18">
        <f t="shared" si="0"/>
        <v>2089361.3099154574</v>
      </c>
      <c r="H29" s="18">
        <f t="shared" si="0"/>
        <v>783510.49121829646</v>
      </c>
      <c r="I29" s="16">
        <f>Delay!O31</f>
        <v>0.54877311807895601</v>
      </c>
      <c r="J29" s="62">
        <f>($V$1*(1+Dedicate!$E30*$V$4)*(1+RideSource!C32*$V$5)*(1+Connect!$E30*$V$6)*(1+EV!$C30*$V$7)*(1+ShareRide!C30*$V$8))</f>
        <v>0.16254778851842983</v>
      </c>
      <c r="K29" s="62">
        <f>($V$1*(1+Dedicate!$E30*$V$4)*(1+RideSource!D32*$V$5)*(1+Connect!$E30*$V$6)*(1+EV!$C30*$V$7)*(1+ShareRide!D30*$V$8))</f>
        <v>0.14629300966658684</v>
      </c>
      <c r="L29" s="62">
        <f>($V$1*(1+Dedicate!$E30*$V$4)*(1+RideSource!E32*$V$5)*(1+Connect!$E30*$V$6)*(1+EV!$C30*$V$7)*(1+ShareRide!E30*$V$8))</f>
        <v>0.1123958488901826</v>
      </c>
      <c r="M29" s="62">
        <f>($V$1*(1+Dedicate!$E30*$V$4)*(1+RideSource!F32*$V$5)*(1+Connect!$E30*$V$6)*(1+EV!$C30*$V$7)*(1+ShareRide!F30*$V$8))</f>
        <v>7.9291604155331624E-2</v>
      </c>
      <c r="N29" s="62">
        <f>($V$1*(1+Dedicate!$E30*$V$4)*(1+RideSource!G32*$V$5)*(1+Connect!$E30*$V$6)*(1+EV!$C30*$V$7)*(1+ShareRide!G30*$V$8))</f>
        <v>7.9291604155331624E-2</v>
      </c>
      <c r="O29" s="18">
        <f t="shared" si="1"/>
        <v>475746.60041647439</v>
      </c>
      <c r="P29" s="18">
        <f t="shared" si="2"/>
        <v>1201014.9328067834</v>
      </c>
      <c r="Q29" s="18">
        <f t="shared" si="3"/>
        <v>490122.4698637728</v>
      </c>
      <c r="R29" s="18">
        <f t="shared" si="4"/>
        <v>1998446.7205254282</v>
      </c>
      <c r="S29" s="18">
        <f t="shared" si="5"/>
        <v>749417.52019703551</v>
      </c>
      <c r="T29" s="20">
        <f t="shared" si="6"/>
        <v>4914748.2438094942</v>
      </c>
      <c r="U29" s="20">
        <f t="shared" si="7"/>
        <v>2697081.7183284094</v>
      </c>
    </row>
    <row r="30" spans="1:21" x14ac:dyDescent="0.25">
      <c r="A30">
        <v>27</v>
      </c>
      <c r="B30">
        <v>2044</v>
      </c>
      <c r="C30" s="18">
        <f>C29*(1+City!$B$8)</f>
        <v>5301754.323910472</v>
      </c>
      <c r="D30" s="18">
        <f t="shared" si="0"/>
        <v>530175.43239104724</v>
      </c>
      <c r="E30" s="18">
        <f t="shared" si="0"/>
        <v>1325438.580977618</v>
      </c>
      <c r="F30" s="18">
        <f t="shared" si="0"/>
        <v>530175.43239104724</v>
      </c>
      <c r="G30" s="18">
        <f t="shared" si="0"/>
        <v>2120701.729564189</v>
      </c>
      <c r="H30" s="18">
        <f t="shared" si="0"/>
        <v>795263.14858657075</v>
      </c>
      <c r="I30" s="16">
        <f>Delay!O32</f>
        <v>0.58233768663644281</v>
      </c>
      <c r="J30" s="62">
        <f>($V$1*(1+Dedicate!$E31*$V$4)*(1+RideSource!C33*$V$5)*(1+Connect!$E31*$V$6)*(1+EV!$C31*$V$7)*(1+ShareRide!C31*$V$8))</f>
        <v>0.16283271782964157</v>
      </c>
      <c r="K30" s="62">
        <f>($V$1*(1+Dedicate!$E31*$V$4)*(1+RideSource!D33*$V$5)*(1+Connect!$E31*$V$6)*(1+EV!$C31*$V$7)*(1+ShareRide!D31*$V$8))</f>
        <v>0.14654944604667741</v>
      </c>
      <c r="L30" s="62">
        <f>($V$1*(1+Dedicate!$E31*$V$4)*(1+RideSource!E33*$V$5)*(1+Connect!$E31*$V$6)*(1+EV!$C31*$V$7)*(1+ShareRide!E31*$V$8))</f>
        <v>0.1125928670846424</v>
      </c>
      <c r="M30" s="62">
        <f>($V$1*(1+Dedicate!$E31*$V$4)*(1+RideSource!F33*$V$5)*(1+Connect!$E31*$V$6)*(1+EV!$C31*$V$7)*(1+ShareRide!F31*$V$8))</f>
        <v>7.9430594063239796E-2</v>
      </c>
      <c r="N30" s="62">
        <f>($V$1*(1+Dedicate!$E31*$V$4)*(1+RideSource!G33*$V$5)*(1+Connect!$E31*$V$6)*(1+EV!$C31*$V$7)*(1+ShareRide!G31*$V$8))</f>
        <v>7.9430594063239796E-2</v>
      </c>
      <c r="O30" s="18">
        <f t="shared" si="1"/>
        <v>479902.27430411446</v>
      </c>
      <c r="P30" s="18">
        <f t="shared" si="2"/>
        <v>1212323.9752820192</v>
      </c>
      <c r="Q30" s="18">
        <f t="shared" si="3"/>
        <v>495413.38283581444</v>
      </c>
      <c r="R30" s="18">
        <f t="shared" si="4"/>
        <v>2022607.7625652957</v>
      </c>
      <c r="S30" s="18">
        <f t="shared" si="5"/>
        <v>758477.9109619857</v>
      </c>
      <c r="T30" s="20">
        <f t="shared" si="6"/>
        <v>4968725.3059492297</v>
      </c>
      <c r="U30" s="20">
        <f t="shared" si="7"/>
        <v>2893476.0001984262</v>
      </c>
    </row>
    <row r="31" spans="1:21" x14ac:dyDescent="0.25">
      <c r="A31">
        <v>28</v>
      </c>
      <c r="B31">
        <v>2045</v>
      </c>
      <c r="C31" s="18">
        <f>C30*(1+City!$B$8)</f>
        <v>5381280.6387691284</v>
      </c>
      <c r="D31" s="18">
        <f t="shared" si="0"/>
        <v>538128.06387691281</v>
      </c>
      <c r="E31" s="18">
        <f t="shared" si="0"/>
        <v>1345320.1596922821</v>
      </c>
      <c r="F31" s="18">
        <f t="shared" si="0"/>
        <v>538128.06387691281</v>
      </c>
      <c r="G31" s="18">
        <f t="shared" si="0"/>
        <v>2152512.2555076513</v>
      </c>
      <c r="H31" s="18">
        <f t="shared" si="0"/>
        <v>807192.09581536928</v>
      </c>
      <c r="I31" s="16">
        <f>Delay!O33</f>
        <v>0.61645714700899856</v>
      </c>
      <c r="J31" s="62">
        <f>($V$1*(1+Dedicate!$E32*$V$4)*(1+RideSource!C34*$V$5)*(1+Connect!$E32*$V$6)*(1+EV!$C32*$V$7)*(1+ShareRide!C32*$V$8))</f>
        <v>0.16311764714085331</v>
      </c>
      <c r="K31" s="62">
        <f>($V$1*(1+Dedicate!$E32*$V$4)*(1+RideSource!D34*$V$5)*(1+Connect!$E32*$V$6)*(1+EV!$C32*$V$7)*(1+ShareRide!D32*$V$8))</f>
        <v>0.14680588242676798</v>
      </c>
      <c r="L31" s="62">
        <f>($V$1*(1+Dedicate!$E32*$V$4)*(1+RideSource!E34*$V$5)*(1+Connect!$E32*$V$6)*(1+EV!$C32*$V$7)*(1+ShareRide!E32*$V$8))</f>
        <v>0.11278988527910223</v>
      </c>
      <c r="M31" s="62">
        <f>($V$1*(1+Dedicate!$E32*$V$4)*(1+RideSource!F34*$V$5)*(1+Connect!$E32*$V$6)*(1+EV!$C32*$V$7)*(1+ShareRide!F32*$V$8))</f>
        <v>7.9569583971147967E-2</v>
      </c>
      <c r="N31" s="62">
        <f>($V$1*(1+Dedicate!$E32*$V$4)*(1+RideSource!G34*$V$5)*(1+Connect!$E32*$V$6)*(1+EV!$C32*$V$7)*(1+ShareRide!G32*$V$8))</f>
        <v>7.9569583971147967E-2</v>
      </c>
      <c r="O31" s="18">
        <f t="shared" si="1"/>
        <v>484016.57522052649</v>
      </c>
      <c r="P31" s="18">
        <f t="shared" si="2"/>
        <v>1223569.3102154129</v>
      </c>
      <c r="Q31" s="18">
        <f t="shared" si="3"/>
        <v>500711.94915963104</v>
      </c>
      <c r="R31" s="18">
        <f t="shared" si="4"/>
        <v>2046928.8630073853</v>
      </c>
      <c r="S31" s="18">
        <f t="shared" si="5"/>
        <v>767598.3236277696</v>
      </c>
      <c r="T31" s="20">
        <f t="shared" si="6"/>
        <v>5022825.0212307256</v>
      </c>
      <c r="U31" s="20">
        <f t="shared" si="7"/>
        <v>3096356.3825133056</v>
      </c>
    </row>
    <row r="32" spans="1:21" x14ac:dyDescent="0.25">
      <c r="A32">
        <v>29</v>
      </c>
      <c r="B32">
        <v>2046</v>
      </c>
      <c r="C32" s="18">
        <f>C31*(1+City!$B$8)</f>
        <v>5461999.8483506646</v>
      </c>
      <c r="D32" s="18">
        <f t="shared" si="0"/>
        <v>546199.98483506648</v>
      </c>
      <c r="E32" s="18">
        <f t="shared" si="0"/>
        <v>1365499.9620876662</v>
      </c>
      <c r="F32" s="18">
        <f t="shared" si="0"/>
        <v>546199.98483506648</v>
      </c>
      <c r="G32" s="18">
        <f t="shared" si="0"/>
        <v>2184799.9393402659</v>
      </c>
      <c r="H32" s="18">
        <f t="shared" si="0"/>
        <v>819299.97725259967</v>
      </c>
      <c r="I32" s="16">
        <f>Delay!O34</f>
        <v>0.65076958473948221</v>
      </c>
      <c r="J32" s="62">
        <f>($V$1*(1+Dedicate!$E33*$V$4)*(1+RideSource!C35*$V$5)*(1+Connect!$E33*$V$6)*(1+EV!$C33*$V$7)*(1+ShareRide!C33*$V$8))</f>
        <v>0.16340257645206505</v>
      </c>
      <c r="K32" s="62">
        <f>($V$1*(1+Dedicate!$E33*$V$4)*(1+RideSource!D35*$V$5)*(1+Connect!$E33*$V$6)*(1+EV!$C33*$V$7)*(1+ShareRide!D33*$V$8))</f>
        <v>0.14706231880685855</v>
      </c>
      <c r="L32" s="62">
        <f>($V$1*(1+Dedicate!$E33*$V$4)*(1+RideSource!E35*$V$5)*(1+Connect!$E33*$V$6)*(1+EV!$C33*$V$7)*(1+ShareRide!E33*$V$8))</f>
        <v>0.11298690347356206</v>
      </c>
      <c r="M32" s="62">
        <f>($V$1*(1+Dedicate!$E33*$V$4)*(1+RideSource!F35*$V$5)*(1+Connect!$E33*$V$6)*(1+EV!$C33*$V$7)*(1+ShareRide!F33*$V$8))</f>
        <v>7.9708573879056124E-2</v>
      </c>
      <c r="N32" s="62">
        <f>($V$1*(1+Dedicate!$E33*$V$4)*(1+RideSource!G35*$V$5)*(1+Connect!$E33*$V$6)*(1+EV!$C33*$V$7)*(1+ShareRide!G33*$V$8))</f>
        <v>7.9708573879056124E-2</v>
      </c>
      <c r="O32" s="18">
        <f t="shared" si="1"/>
        <v>488118.4839169046</v>
      </c>
      <c r="P32" s="18">
        <f t="shared" si="2"/>
        <v>1234816.585021802</v>
      </c>
      <c r="Q32" s="18">
        <f t="shared" si="3"/>
        <v>506038.75188311801</v>
      </c>
      <c r="R32" s="18">
        <f t="shared" si="4"/>
        <v>2071470.1814511695</v>
      </c>
      <c r="S32" s="18">
        <f t="shared" si="5"/>
        <v>776801.31804418855</v>
      </c>
      <c r="T32" s="20">
        <f t="shared" si="6"/>
        <v>5077245.3203171827</v>
      </c>
      <c r="U32" s="20">
        <f t="shared" si="7"/>
        <v>3304116.8287232923</v>
      </c>
    </row>
    <row r="33" spans="1:21" x14ac:dyDescent="0.25">
      <c r="A33">
        <v>30</v>
      </c>
      <c r="B33">
        <v>2047</v>
      </c>
      <c r="C33" s="18">
        <f>C32*(1+City!$B$8)</f>
        <v>5543929.8460759241</v>
      </c>
      <c r="D33" s="18">
        <f t="shared" si="0"/>
        <v>554392.98460759246</v>
      </c>
      <c r="E33" s="18">
        <f t="shared" si="0"/>
        <v>1385982.461518981</v>
      </c>
      <c r="F33" s="18">
        <f t="shared" si="0"/>
        <v>554392.98460759246</v>
      </c>
      <c r="G33" s="18">
        <f t="shared" si="0"/>
        <v>2217571.9384303698</v>
      </c>
      <c r="H33" s="18">
        <f t="shared" si="0"/>
        <v>831589.47691138857</v>
      </c>
      <c r="I33" s="16">
        <f>Delay!O35</f>
        <v>0.68487012142884907</v>
      </c>
      <c r="J33" s="62">
        <f>($V$1*(1+Dedicate!$E34*$V$4)*(1+RideSource!C36*$V$5)*(1+Connect!$E34*$V$6)*(1+EV!$C34*$V$7)*(1+ShareRide!C34*$V$8))</f>
        <v>0.16368750576327676</v>
      </c>
      <c r="K33" s="62">
        <f>($V$1*(1+Dedicate!$E34*$V$4)*(1+RideSource!D36*$V$5)*(1+Connect!$E34*$V$6)*(1+EV!$C34*$V$7)*(1+ShareRide!D34*$V$8))</f>
        <v>0.14731875518694909</v>
      </c>
      <c r="L33" s="62">
        <f>($V$1*(1+Dedicate!$E34*$V$4)*(1+RideSource!E36*$V$5)*(1+Connect!$E34*$V$6)*(1+EV!$C34*$V$7)*(1+ShareRide!E34*$V$8))</f>
        <v>0.11318392166802187</v>
      </c>
      <c r="M33" s="62">
        <f>($V$1*(1+Dedicate!$E34*$V$4)*(1+RideSource!F36*$V$5)*(1+Connect!$E34*$V$6)*(1+EV!$C34*$V$7)*(1+ShareRide!F34*$V$8))</f>
        <v>7.9847563786964282E-2</v>
      </c>
      <c r="N33" s="62">
        <f>($V$1*(1+Dedicate!$E34*$V$4)*(1+RideSource!G36*$V$5)*(1+Connect!$E34*$V$6)*(1+EV!$C34*$V$7)*(1+ShareRide!G34*$V$8))</f>
        <v>7.9847563786964282E-2</v>
      </c>
      <c r="O33" s="18">
        <f t="shared" si="1"/>
        <v>492242.93539368932</v>
      </c>
      <c r="P33" s="18">
        <f t="shared" si="2"/>
        <v>1246144.850787699</v>
      </c>
      <c r="Q33" s="18">
        <f t="shared" si="3"/>
        <v>511418.49935846677</v>
      </c>
      <c r="R33" s="18">
        <f t="shared" si="4"/>
        <v>2096303.549720315</v>
      </c>
      <c r="S33" s="18">
        <f t="shared" si="5"/>
        <v>786113.83114511799</v>
      </c>
      <c r="T33" s="20">
        <f t="shared" si="6"/>
        <v>5132223.6664052885</v>
      </c>
      <c r="U33" s="20">
        <f t="shared" si="7"/>
        <v>3514906.645611003</v>
      </c>
    </row>
    <row r="34" spans="1:21" x14ac:dyDescent="0.25">
      <c r="A34">
        <v>31</v>
      </c>
      <c r="B34">
        <v>2048</v>
      </c>
      <c r="C34" s="18">
        <f>C33*(1+City!$B$8)</f>
        <v>5627088.793767062</v>
      </c>
      <c r="D34" s="18">
        <f t="shared" si="0"/>
        <v>562708.8793767062</v>
      </c>
      <c r="E34" s="18">
        <f t="shared" si="0"/>
        <v>1406772.1984417655</v>
      </c>
      <c r="F34" s="18">
        <f t="shared" si="0"/>
        <v>562708.8793767062</v>
      </c>
      <c r="G34" s="18">
        <f t="shared" si="0"/>
        <v>2250835.5175068248</v>
      </c>
      <c r="H34" s="18">
        <f t="shared" si="0"/>
        <v>844063.3190650593</v>
      </c>
      <c r="I34" s="16">
        <f>Delay!O36</f>
        <v>0.71833861418558509</v>
      </c>
      <c r="J34" s="62">
        <f>($V$1*(1+Dedicate!$E35*$V$4)*(1+RideSource!C37*$V$5)*(1+Connect!$E35*$V$6)*(1+EV!$C35*$V$7)*(1+ShareRide!C35*$V$8))</f>
        <v>0.16397243507448855</v>
      </c>
      <c r="K34" s="62">
        <f>($V$1*(1+Dedicate!$E35*$V$4)*(1+RideSource!D37*$V$5)*(1+Connect!$E35*$V$6)*(1+EV!$C35*$V$7)*(1+ShareRide!D35*$V$8))</f>
        <v>0.14757519156703969</v>
      </c>
      <c r="L34" s="62">
        <f>($V$1*(1+Dedicate!$E35*$V$4)*(1+RideSource!E37*$V$5)*(1+Connect!$E35*$V$6)*(1+EV!$C35*$V$7)*(1+ShareRide!E35*$V$8))</f>
        <v>0.1133809398624817</v>
      </c>
      <c r="M34" s="62">
        <f>($V$1*(1+Dedicate!$E35*$V$4)*(1+RideSource!F37*$V$5)*(1+Connect!$E35*$V$6)*(1+EV!$C35*$V$7)*(1+ShareRide!F35*$V$8))</f>
        <v>7.9986553694872467E-2</v>
      </c>
      <c r="N34" s="62">
        <f>($V$1*(1+Dedicate!$E35*$V$4)*(1+RideSource!G37*$V$5)*(1+Connect!$E35*$V$6)*(1+EV!$C35*$V$7)*(1+ShareRide!G35*$V$8))</f>
        <v>7.9986553694872467E-2</v>
      </c>
      <c r="O34" s="18">
        <f t="shared" si="1"/>
        <v>496428.67682468443</v>
      </c>
      <c r="P34" s="18">
        <f t="shared" si="2"/>
        <v>1257641.7426997167</v>
      </c>
      <c r="Q34" s="18">
        <f t="shared" si="3"/>
        <v>516878.54419744236</v>
      </c>
      <c r="R34" s="18">
        <f t="shared" si="4"/>
        <v>2121508.2930150754</v>
      </c>
      <c r="S34" s="18">
        <f t="shared" si="5"/>
        <v>795565.60988065321</v>
      </c>
      <c r="T34" s="20">
        <f t="shared" si="6"/>
        <v>5188022.8666175725</v>
      </c>
      <c r="U34" s="20">
        <f t="shared" si="7"/>
        <v>3726757.1563691935</v>
      </c>
    </row>
    <row r="35" spans="1:21" x14ac:dyDescent="0.25">
      <c r="A35">
        <v>32</v>
      </c>
      <c r="B35">
        <v>2049</v>
      </c>
      <c r="C35" s="18">
        <f>C34*(1+City!$B$8)</f>
        <v>5711495.1256735669</v>
      </c>
      <c r="D35" s="18">
        <f t="shared" si="0"/>
        <v>571149.51256735669</v>
      </c>
      <c r="E35" s="18">
        <f t="shared" si="0"/>
        <v>1427873.7814183917</v>
      </c>
      <c r="F35" s="18">
        <f t="shared" si="0"/>
        <v>571149.51256735669</v>
      </c>
      <c r="G35" s="18">
        <f t="shared" si="0"/>
        <v>2284598.0502694268</v>
      </c>
      <c r="H35" s="18">
        <f t="shared" si="0"/>
        <v>856724.26885103504</v>
      </c>
      <c r="I35" s="16">
        <f>Delay!O37</f>
        <v>0.7507718870485881</v>
      </c>
      <c r="J35" s="62">
        <f>($V$1*(1+Dedicate!$E36*$V$4)*(1+RideSource!C38*$V$5)*(1+Connect!$E36*$V$6)*(1+EV!$C36*$V$7)*(1+ShareRide!C36*$V$8))</f>
        <v>0.16425736438570024</v>
      </c>
      <c r="K35" s="62">
        <f>($V$1*(1+Dedicate!$E36*$V$4)*(1+RideSource!D38*$V$5)*(1+Connect!$E36*$V$6)*(1+EV!$C36*$V$7)*(1+ShareRide!D36*$V$8))</f>
        <v>0.1478316279471302</v>
      </c>
      <c r="L35" s="62">
        <f>($V$1*(1+Dedicate!$E36*$V$4)*(1+RideSource!E38*$V$5)*(1+Connect!$E36*$V$6)*(1+EV!$C36*$V$7)*(1+ShareRide!E36*$V$8))</f>
        <v>0.11357795805694151</v>
      </c>
      <c r="M35" s="62">
        <f>($V$1*(1+Dedicate!$E36*$V$4)*(1+RideSource!F38*$V$5)*(1+Connect!$E36*$V$6)*(1+EV!$C36*$V$7)*(1+ShareRide!F36*$V$8))</f>
        <v>8.0125543602780611E-2</v>
      </c>
      <c r="N35" s="62">
        <f>($V$1*(1+Dedicate!$E36*$V$4)*(1+RideSource!G38*$V$5)*(1+Connect!$E36*$V$6)*(1+EV!$C36*$V$7)*(1+ShareRide!G36*$V$8))</f>
        <v>8.0125543602780611E-2</v>
      </c>
      <c r="O35" s="18">
        <f t="shared" si="1"/>
        <v>500715.46238408017</v>
      </c>
      <c r="P35" s="18">
        <f t="shared" si="2"/>
        <v>1269397.1685060197</v>
      </c>
      <c r="Q35" s="18">
        <f t="shared" si="3"/>
        <v>522446.94372111553</v>
      </c>
      <c r="R35" s="18">
        <f t="shared" si="4"/>
        <v>2147165.7572288872</v>
      </c>
      <c r="S35" s="18">
        <f t="shared" si="5"/>
        <v>805187.15896083275</v>
      </c>
      <c r="T35" s="20">
        <f t="shared" si="6"/>
        <v>5244912.4908009358</v>
      </c>
      <c r="U35" s="20">
        <f t="shared" si="7"/>
        <v>3937732.8481233292</v>
      </c>
    </row>
    <row r="36" spans="1:21" x14ac:dyDescent="0.25">
      <c r="A36">
        <v>33</v>
      </c>
      <c r="B36">
        <v>2050</v>
      </c>
      <c r="C36" s="18">
        <f>C35*(1+City!$B$8)</f>
        <v>5797167.5525586698</v>
      </c>
      <c r="D36" s="18">
        <f t="shared" si="0"/>
        <v>579716.75525586703</v>
      </c>
      <c r="E36" s="18">
        <f t="shared" si="0"/>
        <v>1449291.8881396675</v>
      </c>
      <c r="F36" s="18">
        <f t="shared" si="0"/>
        <v>579716.75525586703</v>
      </c>
      <c r="G36" s="18">
        <f t="shared" si="0"/>
        <v>2318867.0210234681</v>
      </c>
      <c r="H36" s="18">
        <f t="shared" si="0"/>
        <v>869575.13288380043</v>
      </c>
      <c r="I36" s="16">
        <f>Delay!O38</f>
        <v>0.78181545983255085</v>
      </c>
      <c r="J36" s="62">
        <f>($V$1*(1+Dedicate!$E37*$V$4)*(1+RideSource!C39*$V$5)*(1+Connect!$E37*$V$6)*(1+EV!$C37*$V$7)*(1+ShareRide!C37*$V$8))</f>
        <v>0.16454229369691195</v>
      </c>
      <c r="K36" s="62">
        <f>($V$1*(1+Dedicate!$E37*$V$4)*(1+RideSource!D39*$V$5)*(1+Connect!$E37*$V$6)*(1+EV!$C37*$V$7)*(1+ShareRide!D37*$V$8))</f>
        <v>0.14808806432722077</v>
      </c>
      <c r="L36" s="62">
        <f>($V$1*(1+Dedicate!$E37*$V$4)*(1+RideSource!E39*$V$5)*(1+Connect!$E37*$V$6)*(1+EV!$C37*$V$7)*(1+ShareRide!E37*$V$8))</f>
        <v>0.11377497625140133</v>
      </c>
      <c r="M36" s="62">
        <f>($V$1*(1+Dedicate!$E37*$V$4)*(1+RideSource!F39*$V$5)*(1+Connect!$E37*$V$6)*(1+EV!$C37*$V$7)*(1+ShareRide!F37*$V$8))</f>
        <v>8.0264533510688768E-2</v>
      </c>
      <c r="N36" s="62">
        <f>($V$1*(1+Dedicate!$E37*$V$4)*(1+RideSource!G39*$V$5)*(1+Connect!$E37*$V$6)*(1+EV!$C37*$V$7)*(1+ShareRide!G37*$V$8))</f>
        <v>8.0264533510688768E-2</v>
      </c>
      <c r="O36" s="18">
        <f t="shared" si="1"/>
        <v>505141.00111885875</v>
      </c>
      <c r="P36" s="18">
        <f t="shared" si="2"/>
        <v>1281496.4413313989</v>
      </c>
      <c r="Q36" s="18">
        <f t="shared" si="3"/>
        <v>528150.34965137474</v>
      </c>
      <c r="R36" s="18">
        <f t="shared" si="4"/>
        <v>2173353.3544146717</v>
      </c>
      <c r="S36" s="18">
        <f t="shared" si="5"/>
        <v>815007.50790550176</v>
      </c>
      <c r="T36" s="20">
        <f t="shared" si="6"/>
        <v>5303148.6544218063</v>
      </c>
      <c r="U36" s="20">
        <f t="shared" si="7"/>
        <v>4146083.6038171579</v>
      </c>
    </row>
    <row r="37" spans="1:21" x14ac:dyDescent="0.25">
      <c r="A37">
        <v>34</v>
      </c>
      <c r="B37">
        <v>2051</v>
      </c>
      <c r="C37" s="18">
        <f>C36*(1+City!$B$8)</f>
        <v>5884125.0658470495</v>
      </c>
      <c r="D37" s="18">
        <f t="shared" ref="D37:H56" si="8">$C37*D$2</f>
        <v>588412.50658470497</v>
      </c>
      <c r="E37" s="18">
        <f t="shared" si="8"/>
        <v>1471031.2664617624</v>
      </c>
      <c r="F37" s="18">
        <f t="shared" si="8"/>
        <v>588412.50658470497</v>
      </c>
      <c r="G37" s="18">
        <f t="shared" si="8"/>
        <v>2353650.0263388199</v>
      </c>
      <c r="H37" s="18">
        <f t="shared" si="8"/>
        <v>882618.7598770574</v>
      </c>
      <c r="I37" s="16">
        <f>Delay!O39</f>
        <v>0.81054860391170991</v>
      </c>
      <c r="J37" s="62">
        <f>($V$1*(1+Dedicate!$E38*$V$4)*(1+RideSource!C40*$V$5)*(1+Connect!$E38*$V$6)*(1+EV!$C38*$V$7)*(1+ShareRide!C38*$V$8))</f>
        <v>0.16465626542139669</v>
      </c>
      <c r="K37" s="62">
        <f>($V$1*(1+Dedicate!$E38*$V$4)*(1+RideSource!D40*$V$5)*(1+Connect!$E38*$V$6)*(1+EV!$C38*$V$7)*(1+ShareRide!D38*$V$8))</f>
        <v>0.14819063887925699</v>
      </c>
      <c r="L37" s="62">
        <f>($V$1*(1+Dedicate!$E38*$V$4)*(1+RideSource!E40*$V$5)*(1+Connect!$E38*$V$6)*(1+EV!$C38*$V$7)*(1+ShareRide!E38*$V$8))</f>
        <v>0.11385378352918525</v>
      </c>
      <c r="M37" s="62">
        <f>($V$1*(1+Dedicate!$E38*$V$4)*(1+RideSource!F40*$V$5)*(1+Connect!$E38*$V$6)*(1+EV!$C38*$V$7)*(1+ShareRide!F38*$V$8))</f>
        <v>8.0320129473852045E-2</v>
      </c>
      <c r="N37" s="62">
        <f>($V$1*(1+Dedicate!$E38*$V$4)*(1+RideSource!G40*$V$5)*(1+Connect!$E38*$V$6)*(1+EV!$C38*$V$7)*(1+ShareRide!G38*$V$8))</f>
        <v>8.0320129473852045E-2</v>
      </c>
      <c r="O37" s="18">
        <f t="shared" si="1"/>
        <v>509881.851904821</v>
      </c>
      <c r="P37" s="18">
        <f t="shared" si="2"/>
        <v>1294337.2934320234</v>
      </c>
      <c r="Q37" s="18">
        <f t="shared" si="3"/>
        <v>534111.43194629741</v>
      </c>
      <c r="R37" s="18">
        <f t="shared" si="4"/>
        <v>2200419.4806219731</v>
      </c>
      <c r="S37" s="18">
        <f t="shared" si="5"/>
        <v>825157.30523323989</v>
      </c>
      <c r="T37" s="20">
        <f t="shared" si="6"/>
        <v>5363907.3631383553</v>
      </c>
      <c r="U37" s="20">
        <f t="shared" si="7"/>
        <v>4347707.6247035349</v>
      </c>
    </row>
    <row r="38" spans="1:21" x14ac:dyDescent="0.25">
      <c r="A38">
        <v>35</v>
      </c>
      <c r="B38">
        <v>2052</v>
      </c>
      <c r="C38" s="18">
        <f>C37*(1+City!$B$8)</f>
        <v>5972386.9418347543</v>
      </c>
      <c r="D38" s="18">
        <f t="shared" si="8"/>
        <v>597238.69418347545</v>
      </c>
      <c r="E38" s="18">
        <f t="shared" si="8"/>
        <v>1493096.7354586886</v>
      </c>
      <c r="F38" s="18">
        <f t="shared" si="8"/>
        <v>597238.69418347545</v>
      </c>
      <c r="G38" s="18">
        <f t="shared" si="8"/>
        <v>2388954.7767339018</v>
      </c>
      <c r="H38" s="18">
        <f t="shared" si="8"/>
        <v>895858.04127521312</v>
      </c>
      <c r="I38" s="16">
        <f>Delay!O40</f>
        <v>0.83694690830122498</v>
      </c>
      <c r="J38" s="62">
        <f>($V$1*(1+Dedicate!$E39*$V$4)*(1+RideSource!C41*$V$5)*(1+Connect!$E39*$V$6)*(1+EV!$C39*$V$7)*(1+ShareRide!C39*$V$8))</f>
        <v>0.16465626542139669</v>
      </c>
      <c r="K38" s="62">
        <f>($V$1*(1+Dedicate!$E39*$V$4)*(1+RideSource!D41*$V$5)*(1+Connect!$E39*$V$6)*(1+EV!$C39*$V$7)*(1+ShareRide!D39*$V$8))</f>
        <v>0.14819063887925699</v>
      </c>
      <c r="L38" s="62">
        <f>($V$1*(1+Dedicate!$E39*$V$4)*(1+RideSource!E41*$V$5)*(1+Connect!$E39*$V$6)*(1+EV!$C39*$V$7)*(1+ShareRide!E39*$V$8))</f>
        <v>0.11385378352918525</v>
      </c>
      <c r="M38" s="62">
        <f>($V$1*(1+Dedicate!$E39*$V$4)*(1+RideSource!F41*$V$5)*(1+Connect!$E39*$V$6)*(1+EV!$C39*$V$7)*(1+ShareRide!F39*$V$8))</f>
        <v>8.0320129473852045E-2</v>
      </c>
      <c r="N38" s="62">
        <f>($V$1*(1+Dedicate!$E39*$V$4)*(1+RideSource!G41*$V$5)*(1+Connect!$E39*$V$6)*(1+EV!$C39*$V$7)*(1+ShareRide!G39*$V$8))</f>
        <v>8.0320129473852045E-2</v>
      </c>
      <c r="O38" s="18">
        <f t="shared" si="1"/>
        <v>514934.09437432606</v>
      </c>
      <c r="P38" s="18">
        <f t="shared" si="2"/>
        <v>1307911.3858881025</v>
      </c>
      <c r="Q38" s="18">
        <f t="shared" si="3"/>
        <v>540328.0745593441</v>
      </c>
      <c r="R38" s="18">
        <f t="shared" si="4"/>
        <v>2228360.4356428785</v>
      </c>
      <c r="S38" s="18">
        <f t="shared" si="5"/>
        <v>835635.16336607945</v>
      </c>
      <c r="T38" s="20">
        <f t="shared" si="6"/>
        <v>5427169.1538307304</v>
      </c>
      <c r="U38" s="20">
        <f t="shared" si="7"/>
        <v>4542252.4441264048</v>
      </c>
    </row>
    <row r="39" spans="1:21" x14ac:dyDescent="0.25">
      <c r="A39">
        <v>36</v>
      </c>
      <c r="B39">
        <v>2053</v>
      </c>
      <c r="C39" s="18">
        <f>C38*(1+City!$B$8)</f>
        <v>6061972.7459622752</v>
      </c>
      <c r="D39" s="18">
        <f t="shared" si="8"/>
        <v>606197.27459622757</v>
      </c>
      <c r="E39" s="18">
        <f t="shared" si="8"/>
        <v>1515493.1864905688</v>
      </c>
      <c r="F39" s="18">
        <f t="shared" si="8"/>
        <v>606197.27459622757</v>
      </c>
      <c r="G39" s="18">
        <f t="shared" si="8"/>
        <v>2424789.0983849103</v>
      </c>
      <c r="H39" s="18">
        <f t="shared" si="8"/>
        <v>909295.91189434123</v>
      </c>
      <c r="I39" s="16">
        <f>Delay!O41</f>
        <v>0.8613270607139959</v>
      </c>
      <c r="J39" s="62">
        <f>($V$1*(1+Dedicate!$E40*$V$4)*(1+RideSource!C42*$V$5)*(1+Connect!$E40*$V$6)*(1+EV!$C40*$V$7)*(1+ShareRide!C40*$V$8))</f>
        <v>0.16465626542139669</v>
      </c>
      <c r="K39" s="62">
        <f>($V$1*(1+Dedicate!$E40*$V$4)*(1+RideSource!D42*$V$5)*(1+Connect!$E40*$V$6)*(1+EV!$C40*$V$7)*(1+ShareRide!D40*$V$8))</f>
        <v>0.14819063887925699</v>
      </c>
      <c r="L39" s="62">
        <f>($V$1*(1+Dedicate!$E40*$V$4)*(1+RideSource!E42*$V$5)*(1+Connect!$E40*$V$6)*(1+EV!$C40*$V$7)*(1+ShareRide!E40*$V$8))</f>
        <v>0.11385378352918525</v>
      </c>
      <c r="M39" s="62">
        <f>($V$1*(1+Dedicate!$E40*$V$4)*(1+RideSource!F42*$V$5)*(1+Connect!$E40*$V$6)*(1+EV!$C40*$V$7)*(1+ShareRide!F40*$V$8))</f>
        <v>8.0320129473852045E-2</v>
      </c>
      <c r="N39" s="62">
        <f>($V$1*(1+Dedicate!$E40*$V$4)*(1+RideSource!G42*$V$5)*(1+Connect!$E40*$V$6)*(1+EV!$C40*$V$7)*(1+ShareRide!G40*$V$8))</f>
        <v>8.0320129473852045E-2</v>
      </c>
      <c r="O39" s="18">
        <f t="shared" si="1"/>
        <v>520224.62088458729</v>
      </c>
      <c r="P39" s="18">
        <f t="shared" si="2"/>
        <v>1322054.7156393782</v>
      </c>
      <c r="Q39" s="18">
        <f t="shared" si="3"/>
        <v>546750.32989561779</v>
      </c>
      <c r="R39" s="18">
        <f t="shared" si="4"/>
        <v>2257037.5789475637</v>
      </c>
      <c r="S39" s="18">
        <f t="shared" si="5"/>
        <v>846389.09210533614</v>
      </c>
      <c r="T39" s="20">
        <f t="shared" si="6"/>
        <v>5492456.3374724835</v>
      </c>
      <c r="U39" s="20">
        <f t="shared" si="7"/>
        <v>4730801.2732551331</v>
      </c>
    </row>
    <row r="40" spans="1:21" x14ac:dyDescent="0.25">
      <c r="A40">
        <v>37</v>
      </c>
      <c r="B40">
        <v>2054</v>
      </c>
      <c r="C40" s="18">
        <f>C39*(1+City!$B$8)</f>
        <v>6152902.337151709</v>
      </c>
      <c r="D40" s="18">
        <f t="shared" si="8"/>
        <v>615290.23371517088</v>
      </c>
      <c r="E40" s="18">
        <f t="shared" si="8"/>
        <v>1538225.5842879273</v>
      </c>
      <c r="F40" s="18">
        <f t="shared" si="8"/>
        <v>615290.23371517088</v>
      </c>
      <c r="G40" s="18">
        <f t="shared" si="8"/>
        <v>2461160.9348606835</v>
      </c>
      <c r="H40" s="18">
        <f t="shared" si="8"/>
        <v>922935.35057275638</v>
      </c>
      <c r="I40" s="16">
        <f>Delay!O42</f>
        <v>0.88367076886064844</v>
      </c>
      <c r="J40" s="62">
        <f>($V$1*(1+Dedicate!$E41*$V$4)*(1+RideSource!C43*$V$5)*(1+Connect!$E41*$V$6)*(1+EV!$C41*$V$7)*(1+ShareRide!C41*$V$8))</f>
        <v>0.16465626542139669</v>
      </c>
      <c r="K40" s="62">
        <f>($V$1*(1+Dedicate!$E41*$V$4)*(1+RideSource!D43*$V$5)*(1+Connect!$E41*$V$6)*(1+EV!$C41*$V$7)*(1+ShareRide!D41*$V$8))</f>
        <v>0.14819063887925699</v>
      </c>
      <c r="L40" s="62">
        <f>($V$1*(1+Dedicate!$E41*$V$4)*(1+RideSource!E43*$V$5)*(1+Connect!$E41*$V$6)*(1+EV!$C41*$V$7)*(1+ShareRide!E41*$V$8))</f>
        <v>0.11385378352918525</v>
      </c>
      <c r="M40" s="62">
        <f>($V$1*(1+Dedicate!$E41*$V$4)*(1+RideSource!F43*$V$5)*(1+Connect!$E41*$V$6)*(1+EV!$C41*$V$7)*(1+ShareRide!F41*$V$8))</f>
        <v>8.0320129473852045E-2</v>
      </c>
      <c r="N40" s="62">
        <f>($V$1*(1+Dedicate!$E41*$V$4)*(1+RideSource!G43*$V$5)*(1+Connect!$E41*$V$6)*(1+EV!$C41*$V$7)*(1+ShareRide!G41*$V$8))</f>
        <v>8.0320129473852045E-2</v>
      </c>
      <c r="O40" s="18">
        <f t="shared" si="1"/>
        <v>525764.31802232168</v>
      </c>
      <c r="P40" s="18">
        <f t="shared" si="2"/>
        <v>1336792.2739790166</v>
      </c>
      <c r="Q40" s="18">
        <f t="shared" si="3"/>
        <v>553386.33835194469</v>
      </c>
      <c r="R40" s="18">
        <f t="shared" si="4"/>
        <v>2286476.2213136605</v>
      </c>
      <c r="S40" s="18">
        <f t="shared" si="5"/>
        <v>857428.58299262275</v>
      </c>
      <c r="T40" s="20">
        <f t="shared" si="6"/>
        <v>5559847.7346595656</v>
      </c>
      <c r="U40" s="20">
        <f t="shared" si="7"/>
        <v>4913074.9224347528</v>
      </c>
    </row>
    <row r="41" spans="1:21" x14ac:dyDescent="0.25">
      <c r="A41">
        <v>38</v>
      </c>
      <c r="B41">
        <v>2055</v>
      </c>
      <c r="C41" s="18">
        <f>C40*(1+City!$B$8)</f>
        <v>6245195.8722089836</v>
      </c>
      <c r="D41" s="18">
        <f t="shared" si="8"/>
        <v>624519.58722089836</v>
      </c>
      <c r="E41" s="18">
        <f t="shared" si="8"/>
        <v>1561298.9680522459</v>
      </c>
      <c r="F41" s="18">
        <f t="shared" si="8"/>
        <v>624519.58722089836</v>
      </c>
      <c r="G41" s="18">
        <f t="shared" si="8"/>
        <v>2498078.3488835935</v>
      </c>
      <c r="H41" s="18">
        <f t="shared" si="8"/>
        <v>936779.38083134755</v>
      </c>
      <c r="I41" s="16">
        <f>Delay!O43</f>
        <v>0.90402340617869092</v>
      </c>
      <c r="J41" s="62">
        <f>($V$1*(1+Dedicate!$E42*$V$4)*(1+RideSource!C44*$V$5)*(1+Connect!$E42*$V$6)*(1+EV!$C42*$V$7)*(1+ShareRide!C42*$V$8))</f>
        <v>0.16465626542139669</v>
      </c>
      <c r="K41" s="62">
        <f>($V$1*(1+Dedicate!$E42*$V$4)*(1+RideSource!D44*$V$5)*(1+Connect!$E42*$V$6)*(1+EV!$C42*$V$7)*(1+ShareRide!D42*$V$8))</f>
        <v>0.14819063887925699</v>
      </c>
      <c r="L41" s="62">
        <f>($V$1*(1+Dedicate!$E42*$V$4)*(1+RideSource!E44*$V$5)*(1+Connect!$E42*$V$6)*(1+EV!$C42*$V$7)*(1+ShareRide!E42*$V$8))</f>
        <v>0.11385378352918525</v>
      </c>
      <c r="M41" s="62">
        <f>($V$1*(1+Dedicate!$E42*$V$4)*(1+RideSource!F44*$V$5)*(1+Connect!$E42*$V$6)*(1+EV!$C42*$V$7)*(1+ShareRide!F42*$V$8))</f>
        <v>8.0320129473852045E-2</v>
      </c>
      <c r="N41" s="62">
        <f>($V$1*(1+Dedicate!$E42*$V$4)*(1+RideSource!G44*$V$5)*(1+Connect!$E42*$V$6)*(1+EV!$C42*$V$7)*(1+ShareRide!G42*$V$8))</f>
        <v>8.0320129473852045E-2</v>
      </c>
      <c r="O41" s="18">
        <f t="shared" si="1"/>
        <v>531557.89946413285</v>
      </c>
      <c r="P41" s="18">
        <f t="shared" si="2"/>
        <v>1352135.1705995235</v>
      </c>
      <c r="Q41" s="18">
        <f t="shared" si="3"/>
        <v>560239.981174452</v>
      </c>
      <c r="R41" s="18">
        <f t="shared" si="4"/>
        <v>2316689.689846002</v>
      </c>
      <c r="S41" s="18">
        <f t="shared" si="5"/>
        <v>868758.63369225082</v>
      </c>
      <c r="T41" s="20">
        <f t="shared" si="6"/>
        <v>5629381.3747763606</v>
      </c>
      <c r="U41" s="20">
        <f t="shared" si="7"/>
        <v>5089092.525104207</v>
      </c>
    </row>
    <row r="42" spans="1:21" x14ac:dyDescent="0.25">
      <c r="A42">
        <v>39</v>
      </c>
      <c r="B42">
        <v>2056</v>
      </c>
      <c r="C42" s="18">
        <f>C41*(1+City!$B$8)</f>
        <v>6338873.8102921182</v>
      </c>
      <c r="D42" s="18">
        <f t="shared" si="8"/>
        <v>633887.38102921192</v>
      </c>
      <c r="E42" s="18">
        <f t="shared" si="8"/>
        <v>1584718.4525730296</v>
      </c>
      <c r="F42" s="18">
        <f t="shared" si="8"/>
        <v>633887.38102921192</v>
      </c>
      <c r="G42" s="18">
        <f t="shared" si="8"/>
        <v>2535549.5241168477</v>
      </c>
      <c r="H42" s="18">
        <f t="shared" si="8"/>
        <v>950831.07154381764</v>
      </c>
      <c r="I42" s="16">
        <f>Delay!O44</f>
        <v>0.92247640289398602</v>
      </c>
      <c r="J42" s="62">
        <f>($V$1*(1+Dedicate!$E43*$V$4)*(1+RideSource!C45*$V$5)*(1+Connect!$E43*$V$6)*(1+EV!$C43*$V$7)*(1+ShareRide!C43*$V$8))</f>
        <v>0.16465626542139669</v>
      </c>
      <c r="K42" s="62">
        <f>($V$1*(1+Dedicate!$E43*$V$4)*(1+RideSource!D45*$V$5)*(1+Connect!$E43*$V$6)*(1+EV!$C43*$V$7)*(1+ShareRide!D43*$V$8))</f>
        <v>0.14819063887925699</v>
      </c>
      <c r="L42" s="62">
        <f>($V$1*(1+Dedicate!$E43*$V$4)*(1+RideSource!E45*$V$5)*(1+Connect!$E43*$V$6)*(1+EV!$C43*$V$7)*(1+ShareRide!E43*$V$8))</f>
        <v>0.11385378352918525</v>
      </c>
      <c r="M42" s="62">
        <f>($V$1*(1+Dedicate!$E43*$V$4)*(1+RideSource!F45*$V$5)*(1+Connect!$E43*$V$6)*(1+EV!$C43*$V$7)*(1+ShareRide!F43*$V$8))</f>
        <v>8.0320129473852045E-2</v>
      </c>
      <c r="N42" s="62">
        <f>($V$1*(1+Dedicate!$E43*$V$4)*(1+RideSource!G45*$V$5)*(1+Connect!$E43*$V$6)*(1+EV!$C43*$V$7)*(1+ShareRide!G43*$V$8))</f>
        <v>8.0320129473852045E-2</v>
      </c>
      <c r="O42" s="18">
        <f t="shared" si="1"/>
        <v>537605.26357091404</v>
      </c>
      <c r="P42" s="18">
        <f t="shared" si="2"/>
        <v>1368083.6882918593</v>
      </c>
      <c r="Q42" s="18">
        <f t="shared" si="3"/>
        <v>567311.8193232913</v>
      </c>
      <c r="R42" s="18">
        <f t="shared" si="4"/>
        <v>2347681.9778567543</v>
      </c>
      <c r="S42" s="18">
        <f t="shared" si="5"/>
        <v>880380.74169628264</v>
      </c>
      <c r="T42" s="20">
        <f t="shared" si="6"/>
        <v>5701063.4907391015</v>
      </c>
      <c r="U42" s="20">
        <f t="shared" si="7"/>
        <v>5259096.5416072374</v>
      </c>
    </row>
    <row r="43" spans="1:21" x14ac:dyDescent="0.25">
      <c r="A43">
        <v>40</v>
      </c>
      <c r="B43">
        <v>2057</v>
      </c>
      <c r="C43" s="18">
        <f>C42*(1+City!$B$8)</f>
        <v>6433956.9174464997</v>
      </c>
      <c r="D43" s="18">
        <f t="shared" si="8"/>
        <v>643395.69174465002</v>
      </c>
      <c r="E43" s="18">
        <f t="shared" si="8"/>
        <v>1608489.2293616249</v>
      </c>
      <c r="F43" s="18">
        <f t="shared" si="8"/>
        <v>643395.69174465002</v>
      </c>
      <c r="G43" s="18">
        <f t="shared" si="8"/>
        <v>2573582.7669786001</v>
      </c>
      <c r="H43" s="18">
        <f t="shared" si="8"/>
        <v>965093.53761697491</v>
      </c>
      <c r="I43" s="16">
        <f>Delay!O45</f>
        <v>0.93915094279711275</v>
      </c>
      <c r="J43" s="62">
        <f>($V$1*(1+Dedicate!$E44*$V$4)*(1+RideSource!C46*$V$5)*(1+Connect!$E44*$V$6)*(1+EV!$C44*$V$7)*(1+ShareRide!C44*$V$8))</f>
        <v>0.16465626542139669</v>
      </c>
      <c r="K43" s="62">
        <f>($V$1*(1+Dedicate!$E44*$V$4)*(1+RideSource!D46*$V$5)*(1+Connect!$E44*$V$6)*(1+EV!$C44*$V$7)*(1+ShareRide!D44*$V$8))</f>
        <v>0.14819063887925699</v>
      </c>
      <c r="L43" s="62">
        <f>($V$1*(1+Dedicate!$E44*$V$4)*(1+RideSource!E46*$V$5)*(1+Connect!$E44*$V$6)*(1+EV!$C44*$V$7)*(1+ShareRide!E44*$V$8))</f>
        <v>0.11385378352918525</v>
      </c>
      <c r="M43" s="62">
        <f>($V$1*(1+Dedicate!$E44*$V$4)*(1+RideSource!F46*$V$5)*(1+Connect!$E44*$V$6)*(1+EV!$C44*$V$7)*(1+ShareRide!F44*$V$8))</f>
        <v>8.0320129473852045E-2</v>
      </c>
      <c r="N43" s="62">
        <f>($V$1*(1+Dedicate!$E44*$V$4)*(1+RideSource!G46*$V$5)*(1+Connect!$E44*$V$6)*(1+EV!$C44*$V$7)*(1+ShareRide!G44*$V$8))</f>
        <v>8.0320129473852045E-2</v>
      </c>
      <c r="O43" s="18">
        <f t="shared" si="1"/>
        <v>543902.85624412796</v>
      </c>
      <c r="P43" s="18">
        <f t="shared" si="2"/>
        <v>1384630.3494854502</v>
      </c>
      <c r="Q43" s="18">
        <f t="shared" si="3"/>
        <v>574600.03597782552</v>
      </c>
      <c r="R43" s="18">
        <f t="shared" si="4"/>
        <v>2379450.4050263618</v>
      </c>
      <c r="S43" s="18">
        <f t="shared" si="5"/>
        <v>892293.9018848855</v>
      </c>
      <c r="T43" s="20">
        <f t="shared" si="6"/>
        <v>5774877.548618651</v>
      </c>
      <c r="U43" s="20">
        <f t="shared" si="7"/>
        <v>5423481.6943230852</v>
      </c>
    </row>
    <row r="44" spans="1:21" x14ac:dyDescent="0.25">
      <c r="A44">
        <v>41</v>
      </c>
      <c r="B44">
        <v>2058</v>
      </c>
      <c r="C44" s="18">
        <f>C43*(1+City!$B$8)</f>
        <v>6530466.2712081969</v>
      </c>
      <c r="D44" s="18">
        <f t="shared" si="8"/>
        <v>653046.62712081976</v>
      </c>
      <c r="E44" s="18">
        <f t="shared" si="8"/>
        <v>1632616.5678020492</v>
      </c>
      <c r="F44" s="18">
        <f t="shared" si="8"/>
        <v>653046.62712081976</v>
      </c>
      <c r="G44" s="18">
        <f t="shared" si="8"/>
        <v>2612186.508483279</v>
      </c>
      <c r="H44" s="18">
        <f t="shared" si="8"/>
        <v>979569.94068122946</v>
      </c>
      <c r="I44" s="16">
        <f>Delay!O46</f>
        <v>0.95418445400443208</v>
      </c>
      <c r="J44" s="62">
        <f>($V$1*(1+Dedicate!$E45*$V$4)*(1+RideSource!C47*$V$5)*(1+Connect!$E45*$V$6)*(1+EV!$C45*$V$7)*(1+ShareRide!C45*$V$8))</f>
        <v>0.16465626542139669</v>
      </c>
      <c r="K44" s="62">
        <f>($V$1*(1+Dedicate!$E45*$V$4)*(1+RideSource!D47*$V$5)*(1+Connect!$E45*$V$6)*(1+EV!$C45*$V$7)*(1+ShareRide!D45*$V$8))</f>
        <v>0.14819063887925699</v>
      </c>
      <c r="L44" s="62">
        <f>($V$1*(1+Dedicate!$E45*$V$4)*(1+RideSource!E47*$V$5)*(1+Connect!$E45*$V$6)*(1+EV!$C45*$V$7)*(1+ShareRide!E45*$V$8))</f>
        <v>0.11385378352918525</v>
      </c>
      <c r="M44" s="62">
        <f>($V$1*(1+Dedicate!$E45*$V$4)*(1+RideSource!F47*$V$5)*(1+Connect!$E45*$V$6)*(1+EV!$C45*$V$7)*(1+ShareRide!F45*$V$8))</f>
        <v>8.0320129473852045E-2</v>
      </c>
      <c r="N44" s="62">
        <f>($V$1*(1+Dedicate!$E45*$V$4)*(1+RideSource!G47*$V$5)*(1+Connect!$E45*$V$6)*(1+EV!$C45*$V$7)*(1+ShareRide!G45*$V$8))</f>
        <v>8.0320129473852045E-2</v>
      </c>
      <c r="O44" s="18">
        <f t="shared" si="1"/>
        <v>550444.87240584171</v>
      </c>
      <c r="P44" s="18">
        <f t="shared" si="2"/>
        <v>1401762.6196933486</v>
      </c>
      <c r="Q44" s="18">
        <f t="shared" si="3"/>
        <v>582101.26745814597</v>
      </c>
      <c r="R44" s="18">
        <f t="shared" si="4"/>
        <v>2411987.9626979562</v>
      </c>
      <c r="S44" s="18">
        <f t="shared" si="5"/>
        <v>904495.4860117333</v>
      </c>
      <c r="T44" s="20">
        <f t="shared" si="6"/>
        <v>5850792.2082670266</v>
      </c>
      <c r="U44" s="20">
        <f t="shared" si="7"/>
        <v>5582734.9687386584</v>
      </c>
    </row>
    <row r="45" spans="1:21" x14ac:dyDescent="0.25">
      <c r="A45">
        <v>42</v>
      </c>
      <c r="B45">
        <v>2059</v>
      </c>
      <c r="C45" s="18">
        <f>C44*(1+City!$B$8)</f>
        <v>6628423.2652763193</v>
      </c>
      <c r="D45" s="18">
        <f t="shared" si="8"/>
        <v>662842.32652763196</v>
      </c>
      <c r="E45" s="18">
        <f t="shared" si="8"/>
        <v>1657105.8163190798</v>
      </c>
      <c r="F45" s="18">
        <f t="shared" si="8"/>
        <v>662842.32652763196</v>
      </c>
      <c r="G45" s="18">
        <f t="shared" si="8"/>
        <v>2651369.3061105278</v>
      </c>
      <c r="H45" s="18">
        <f t="shared" si="8"/>
        <v>994263.48979144788</v>
      </c>
      <c r="I45" s="16">
        <f>Delay!O47</f>
        <v>0.96772032435747346</v>
      </c>
      <c r="J45" s="62">
        <f>($V$1*(1+Dedicate!$E46*$V$4)*(1+RideSource!C48*$V$5)*(1+Connect!$E46*$V$6)*(1+EV!$C46*$V$7)*(1+ShareRide!C46*$V$8))</f>
        <v>0.16465626542139669</v>
      </c>
      <c r="K45" s="62">
        <f>($V$1*(1+Dedicate!$E46*$V$4)*(1+RideSource!D48*$V$5)*(1+Connect!$E46*$V$6)*(1+EV!$C46*$V$7)*(1+ShareRide!D46*$V$8))</f>
        <v>0.14819063887925699</v>
      </c>
      <c r="L45" s="62">
        <f>($V$1*(1+Dedicate!$E46*$V$4)*(1+RideSource!E48*$V$5)*(1+Connect!$E46*$V$6)*(1+EV!$C46*$V$7)*(1+ShareRide!E46*$V$8))</f>
        <v>0.11385378352918525</v>
      </c>
      <c r="M45" s="62">
        <f>($V$1*(1+Dedicate!$E46*$V$4)*(1+RideSource!F48*$V$5)*(1+Connect!$E46*$V$6)*(1+EV!$C46*$V$7)*(1+ShareRide!F46*$V$8))</f>
        <v>8.0320129473852045E-2</v>
      </c>
      <c r="N45" s="62">
        <f>($V$1*(1+Dedicate!$E46*$V$4)*(1+RideSource!G48*$V$5)*(1+Connect!$E46*$V$6)*(1+EV!$C46*$V$7)*(1+ShareRide!G46*$V$8))</f>
        <v>8.0320129473852045E-2</v>
      </c>
      <c r="O45" s="18">
        <f t="shared" si="1"/>
        <v>557224.22514296754</v>
      </c>
      <c r="P45" s="18">
        <f t="shared" si="2"/>
        <v>1419465.0882035848</v>
      </c>
      <c r="Q45" s="18">
        <f t="shared" si="3"/>
        <v>589811.2734970164</v>
      </c>
      <c r="R45" s="18">
        <f t="shared" si="4"/>
        <v>2445285.2058477676</v>
      </c>
      <c r="S45" s="18">
        <f t="shared" si="5"/>
        <v>916981.95219291281</v>
      </c>
      <c r="T45" s="20">
        <f t="shared" si="6"/>
        <v>5928767.7448842498</v>
      </c>
      <c r="U45" s="20">
        <f t="shared" si="7"/>
        <v>5737389.0451195128</v>
      </c>
    </row>
    <row r="46" spans="1:21" x14ac:dyDescent="0.25">
      <c r="A46">
        <v>43</v>
      </c>
      <c r="B46">
        <v>2060</v>
      </c>
      <c r="C46" s="18">
        <f>C45*(1+City!$B$8)</f>
        <v>6727849.6142554637</v>
      </c>
      <c r="D46" s="18">
        <f t="shared" si="8"/>
        <v>672784.96142554644</v>
      </c>
      <c r="E46" s="18">
        <f t="shared" si="8"/>
        <v>1681962.4035638659</v>
      </c>
      <c r="F46" s="18">
        <f t="shared" si="8"/>
        <v>672784.96142554644</v>
      </c>
      <c r="G46" s="18">
        <f t="shared" si="8"/>
        <v>2691139.8457021858</v>
      </c>
      <c r="H46" s="18">
        <f t="shared" si="8"/>
        <v>1009177.4421383195</v>
      </c>
      <c r="I46" s="16">
        <f>Delay!O48</f>
        <v>0.97990062999042682</v>
      </c>
      <c r="J46" s="62">
        <f>($V$1*(1+Dedicate!$E47*$V$4)*(1+RideSource!C49*$V$5)*(1+Connect!$E47*$V$6)*(1+EV!$C47*$V$7)*(1+ShareRide!C47*$V$8))</f>
        <v>0.16465626542139669</v>
      </c>
      <c r="K46" s="62">
        <f>($V$1*(1+Dedicate!$E47*$V$4)*(1+RideSource!D49*$V$5)*(1+Connect!$E47*$V$6)*(1+EV!$C47*$V$7)*(1+ShareRide!D47*$V$8))</f>
        <v>0.14819063887925699</v>
      </c>
      <c r="L46" s="62">
        <f>($V$1*(1+Dedicate!$E47*$V$4)*(1+RideSource!E49*$V$5)*(1+Connect!$E47*$V$6)*(1+EV!$C47*$V$7)*(1+ShareRide!E47*$V$8))</f>
        <v>0.11385378352918525</v>
      </c>
      <c r="M46" s="62">
        <f>($V$1*(1+Dedicate!$E47*$V$4)*(1+RideSource!F49*$V$5)*(1+Connect!$E47*$V$6)*(1+EV!$C47*$V$7)*(1+ShareRide!F47*$V$8))</f>
        <v>8.0320129473852045E-2</v>
      </c>
      <c r="N46" s="62">
        <f>($V$1*(1+Dedicate!$E47*$V$4)*(1+RideSource!G49*$V$5)*(1+Connect!$E47*$V$6)*(1+EV!$C47*$V$7)*(1+ShareRide!G47*$V$8))</f>
        <v>8.0320129473852045E-2</v>
      </c>
      <c r="O46" s="18">
        <f t="shared" si="1"/>
        <v>564233.27546581288</v>
      </c>
      <c r="P46" s="18">
        <f t="shared" si="2"/>
        <v>1437721.1101544658</v>
      </c>
      <c r="Q46" s="18">
        <f t="shared" si="3"/>
        <v>597725.44198753568</v>
      </c>
      <c r="R46" s="18">
        <f t="shared" si="4"/>
        <v>2479331.6779758763</v>
      </c>
      <c r="S46" s="18">
        <f t="shared" si="5"/>
        <v>929749.37924095348</v>
      </c>
      <c r="T46" s="20">
        <f t="shared" si="6"/>
        <v>6008760.8848246438</v>
      </c>
      <c r="U46" s="20">
        <f t="shared" si="7"/>
        <v>5887988.5765015027</v>
      </c>
    </row>
    <row r="47" spans="1:21" x14ac:dyDescent="0.25">
      <c r="A47">
        <v>44</v>
      </c>
      <c r="B47">
        <v>2061</v>
      </c>
      <c r="C47" s="18">
        <f>C46*(1+City!$B$8)</f>
        <v>6828767.3584692953</v>
      </c>
      <c r="D47" s="18">
        <f t="shared" si="8"/>
        <v>682876.7358469296</v>
      </c>
      <c r="E47" s="18">
        <f t="shared" si="8"/>
        <v>1707191.8396173238</v>
      </c>
      <c r="F47" s="18">
        <f t="shared" si="8"/>
        <v>682876.7358469296</v>
      </c>
      <c r="G47" s="18">
        <f t="shared" si="8"/>
        <v>2731506.9433877184</v>
      </c>
      <c r="H47" s="18">
        <f t="shared" si="8"/>
        <v>1024315.1037703942</v>
      </c>
      <c r="I47" s="16">
        <f>Delay!O49</f>
        <v>0.9908613696496601</v>
      </c>
      <c r="J47" s="62">
        <f>($V$1*(1+Dedicate!$E48*$V$4)*(1+RideSource!C50*$V$5)*(1+Connect!$E48*$V$6)*(1+EV!$C48*$V$7)*(1+ShareRide!C48*$V$8))</f>
        <v>0.16465626542139669</v>
      </c>
      <c r="K47" s="62">
        <f>($V$1*(1+Dedicate!$E48*$V$4)*(1+RideSource!D50*$V$5)*(1+Connect!$E48*$V$6)*(1+EV!$C48*$V$7)*(1+ShareRide!D48*$V$8))</f>
        <v>0.14819063887925699</v>
      </c>
      <c r="L47" s="62">
        <f>($V$1*(1+Dedicate!$E48*$V$4)*(1+RideSource!E50*$V$5)*(1+Connect!$E48*$V$6)*(1+EV!$C48*$V$7)*(1+ShareRide!E48*$V$8))</f>
        <v>0.11385378352918525</v>
      </c>
      <c r="M47" s="62">
        <f>($V$1*(1+Dedicate!$E48*$V$4)*(1+RideSource!F50*$V$5)*(1+Connect!$E48*$V$6)*(1+EV!$C48*$V$7)*(1+ShareRide!F48*$V$8))</f>
        <v>8.0320129473852045E-2</v>
      </c>
      <c r="N47" s="62">
        <f>($V$1*(1+Dedicate!$E48*$V$4)*(1+RideSource!G50*$V$5)*(1+Connect!$E48*$V$6)*(1+EV!$C48*$V$7)*(1+ShareRide!G48*$V$8))</f>
        <v>8.0320129473852045E-2</v>
      </c>
      <c r="O47" s="18">
        <f t="shared" si="1"/>
        <v>571464.34976414335</v>
      </c>
      <c r="P47" s="18">
        <f t="shared" si="2"/>
        <v>1456513.9709310548</v>
      </c>
      <c r="Q47" s="18">
        <f t="shared" si="3"/>
        <v>605839.14693358832</v>
      </c>
      <c r="R47" s="18">
        <f t="shared" si="4"/>
        <v>2514116.9217627696</v>
      </c>
      <c r="S47" s="18">
        <f t="shared" si="5"/>
        <v>942793.84566103842</v>
      </c>
      <c r="T47" s="20">
        <f t="shared" si="6"/>
        <v>6090728.2350525949</v>
      </c>
      <c r="U47" s="20">
        <f t="shared" si="7"/>
        <v>6035067.3211480714</v>
      </c>
    </row>
    <row r="48" spans="1:21" x14ac:dyDescent="0.25">
      <c r="A48">
        <v>45</v>
      </c>
      <c r="B48">
        <v>2062</v>
      </c>
      <c r="C48" s="18">
        <f>C47*(1+City!$B$8)</f>
        <v>6931198.8688463345</v>
      </c>
      <c r="D48" s="18">
        <f t="shared" si="8"/>
        <v>693119.88688463345</v>
      </c>
      <c r="E48" s="18">
        <f t="shared" si="8"/>
        <v>1732799.7172115836</v>
      </c>
      <c r="F48" s="18">
        <f t="shared" si="8"/>
        <v>693119.88688463345</v>
      </c>
      <c r="G48" s="18">
        <f t="shared" si="8"/>
        <v>2772479.5475385338</v>
      </c>
      <c r="H48" s="18">
        <f t="shared" si="8"/>
        <v>1039679.8303269502</v>
      </c>
      <c r="I48" s="16">
        <f>Delay!O50</f>
        <v>0.99617457378881447</v>
      </c>
      <c r="J48" s="62">
        <f>($V$1*(1+Dedicate!$E49*$V$4)*(1+RideSource!C51*$V$5)*(1+Connect!$E49*$V$6)*(1+EV!$C49*$V$7)*(1+ShareRide!C49*$V$8))</f>
        <v>0.16465626542139669</v>
      </c>
      <c r="K48" s="62">
        <f>($V$1*(1+Dedicate!$E49*$V$4)*(1+RideSource!D51*$V$5)*(1+Connect!$E49*$V$6)*(1+EV!$C49*$V$7)*(1+ShareRide!D49*$V$8))</f>
        <v>0.14819063887925699</v>
      </c>
      <c r="L48" s="62">
        <f>($V$1*(1+Dedicate!$E49*$V$4)*(1+RideSource!E51*$V$5)*(1+Connect!$E49*$V$6)*(1+EV!$C49*$V$7)*(1+ShareRide!E49*$V$8))</f>
        <v>0.11385378352918525</v>
      </c>
      <c r="M48" s="62">
        <f>($V$1*(1+Dedicate!$E49*$V$4)*(1+RideSource!F51*$V$5)*(1+Connect!$E49*$V$6)*(1+EV!$C49*$V$7)*(1+ShareRide!F49*$V$8))</f>
        <v>8.0320129473852045E-2</v>
      </c>
      <c r="N48" s="62">
        <f>($V$1*(1+Dedicate!$E49*$V$4)*(1+RideSource!G51*$V$5)*(1+Connect!$E49*$V$6)*(1+EV!$C49*$V$7)*(1+ShareRide!G49*$V$8))</f>
        <v>8.0320129473852045E-2</v>
      </c>
      <c r="O48" s="18">
        <f t="shared" si="1"/>
        <v>579429.93744805711</v>
      </c>
      <c r="P48" s="18">
        <f t="shared" si="2"/>
        <v>1476997.3309792869</v>
      </c>
      <c r="Q48" s="18">
        <f t="shared" si="3"/>
        <v>614507.44623763487</v>
      </c>
      <c r="R48" s="18">
        <f t="shared" si="4"/>
        <v>2550645.4998574089</v>
      </c>
      <c r="S48" s="18">
        <f t="shared" si="5"/>
        <v>956492.06244652846</v>
      </c>
      <c r="T48" s="20">
        <f t="shared" si="6"/>
        <v>6178072.2769689159</v>
      </c>
      <c r="U48" s="20">
        <f t="shared" si="7"/>
        <v>6154438.5173460003</v>
      </c>
    </row>
    <row r="49" spans="1:21" x14ac:dyDescent="0.25">
      <c r="A49">
        <v>46</v>
      </c>
      <c r="B49">
        <v>2063</v>
      </c>
      <c r="C49" s="18">
        <f>C48*(1+City!$B$8)</f>
        <v>7035166.8518790286</v>
      </c>
      <c r="D49" s="18">
        <f t="shared" si="8"/>
        <v>703516.68518790288</v>
      </c>
      <c r="E49" s="18">
        <f t="shared" si="8"/>
        <v>1758791.7129697572</v>
      </c>
      <c r="F49" s="18">
        <f t="shared" si="8"/>
        <v>703516.68518790288</v>
      </c>
      <c r="G49" s="18">
        <f t="shared" si="8"/>
        <v>2814066.7407516115</v>
      </c>
      <c r="H49" s="18">
        <f t="shared" si="8"/>
        <v>1055275.0277818542</v>
      </c>
      <c r="I49" s="16">
        <f>Delay!O51</f>
        <v>0.99721833746673105</v>
      </c>
      <c r="J49" s="62">
        <f>($V$1*(1+Dedicate!$E50*$V$4)*(1+RideSource!C52*$V$5)*(1+Connect!$E50*$V$6)*(1+EV!$C50*$V$7)*(1+ShareRide!C50*$V$8))</f>
        <v>0.16465626542139669</v>
      </c>
      <c r="K49" s="62">
        <f>($V$1*(1+Dedicate!$E50*$V$4)*(1+RideSource!D52*$V$5)*(1+Connect!$E50*$V$6)*(1+EV!$C50*$V$7)*(1+ShareRide!D50*$V$8))</f>
        <v>0.14819063887925699</v>
      </c>
      <c r="L49" s="62">
        <f>($V$1*(1+Dedicate!$E50*$V$4)*(1+RideSource!E52*$V$5)*(1+Connect!$E50*$V$6)*(1+EV!$C50*$V$7)*(1+ShareRide!E50*$V$8))</f>
        <v>0.11385378352918525</v>
      </c>
      <c r="M49" s="62">
        <f>($V$1*(1+Dedicate!$E50*$V$4)*(1+RideSource!F52*$V$5)*(1+Connect!$E50*$V$6)*(1+EV!$C50*$V$7)*(1+ShareRide!F50*$V$8))</f>
        <v>8.0320129473852045E-2</v>
      </c>
      <c r="N49" s="62">
        <f>($V$1*(1+Dedicate!$E50*$V$4)*(1+RideSource!G52*$V$5)*(1+Connect!$E50*$V$6)*(1+EV!$C50*$V$7)*(1+ShareRide!G50*$V$8))</f>
        <v>8.0320129473852045E-2</v>
      </c>
      <c r="O49" s="18">
        <f t="shared" si="1"/>
        <v>588000.47856399033</v>
      </c>
      <c r="P49" s="18">
        <f t="shared" si="2"/>
        <v>1498880.2480659541</v>
      </c>
      <c r="Q49" s="18">
        <f t="shared" si="3"/>
        <v>623641.45451014873</v>
      </c>
      <c r="R49" s="18">
        <f t="shared" si="4"/>
        <v>2588669.2644122699</v>
      </c>
      <c r="S49" s="18">
        <f t="shared" si="5"/>
        <v>970750.97415460111</v>
      </c>
      <c r="T49" s="20">
        <f t="shared" si="6"/>
        <v>6269942.4197069639</v>
      </c>
      <c r="U49" s="20">
        <f t="shared" si="7"/>
        <v>6252501.5557923112</v>
      </c>
    </row>
    <row r="50" spans="1:21" x14ac:dyDescent="0.25">
      <c r="A50">
        <v>47</v>
      </c>
      <c r="B50">
        <v>2064</v>
      </c>
      <c r="C50" s="18">
        <f>C49*(1+City!$B$8)</f>
        <v>7140694.3546572132</v>
      </c>
      <c r="D50" s="18">
        <f t="shared" si="8"/>
        <v>714069.43546572141</v>
      </c>
      <c r="E50" s="18">
        <f t="shared" si="8"/>
        <v>1785173.5886643033</v>
      </c>
      <c r="F50" s="18">
        <f t="shared" si="8"/>
        <v>714069.43546572141</v>
      </c>
      <c r="G50" s="18">
        <f t="shared" si="8"/>
        <v>2856277.7418628857</v>
      </c>
      <c r="H50" s="18">
        <f t="shared" si="8"/>
        <v>1071104.1531985819</v>
      </c>
      <c r="I50" s="16">
        <f>Delay!O52</f>
        <v>0.9981718218418153</v>
      </c>
      <c r="J50" s="62">
        <f>($V$1*(1+Dedicate!$E51*$V$4)*(1+RideSource!C53*$V$5)*(1+Connect!$E51*$V$6)*(1+EV!$C51*$V$7)*(1+ShareRide!C51*$V$8))</f>
        <v>0.16465626542139669</v>
      </c>
      <c r="K50" s="62">
        <f>($V$1*(1+Dedicate!$E51*$V$4)*(1+RideSource!D53*$V$5)*(1+Connect!$E51*$V$6)*(1+EV!$C51*$V$7)*(1+ShareRide!D51*$V$8))</f>
        <v>0.14819063887925699</v>
      </c>
      <c r="L50" s="62">
        <f>($V$1*(1+Dedicate!$E51*$V$4)*(1+RideSource!E53*$V$5)*(1+Connect!$E51*$V$6)*(1+EV!$C51*$V$7)*(1+ShareRide!E51*$V$8))</f>
        <v>0.11385378352918525</v>
      </c>
      <c r="M50" s="62">
        <f>($V$1*(1+Dedicate!$E51*$V$4)*(1+RideSource!F53*$V$5)*(1+Connect!$E51*$V$6)*(1+EV!$C51*$V$7)*(1+ShareRide!F51*$V$8))</f>
        <v>8.0320129473852045E-2</v>
      </c>
      <c r="N50" s="62">
        <f>($V$1*(1+Dedicate!$E51*$V$4)*(1+RideSource!G53*$V$5)*(1+Connect!$E51*$V$6)*(1+EV!$C51*$V$7)*(1+ShareRide!G51*$V$8))</f>
        <v>8.0320129473852045E-2</v>
      </c>
      <c r="O50" s="18">
        <f t="shared" si="1"/>
        <v>596708.3788573721</v>
      </c>
      <c r="P50" s="18">
        <f t="shared" si="2"/>
        <v>1521111.2112955174</v>
      </c>
      <c r="Q50" s="18">
        <f t="shared" si="3"/>
        <v>632918.55851824081</v>
      </c>
      <c r="R50" s="18">
        <f t="shared" si="4"/>
        <v>2627280.5582368383</v>
      </c>
      <c r="S50" s="18">
        <f t="shared" si="5"/>
        <v>985230.20933881402</v>
      </c>
      <c r="T50" s="20">
        <f t="shared" si="6"/>
        <v>6363248.916246783</v>
      </c>
      <c r="U50" s="20">
        <f t="shared" si="7"/>
        <v>6351615.763563008</v>
      </c>
    </row>
    <row r="51" spans="1:21" x14ac:dyDescent="0.25">
      <c r="A51">
        <v>48</v>
      </c>
      <c r="B51">
        <v>2065</v>
      </c>
      <c r="C51" s="18">
        <f>C50*(1+City!$B$8)</f>
        <v>7247804.7699770704</v>
      </c>
      <c r="D51" s="18">
        <f t="shared" si="8"/>
        <v>724780.47699770704</v>
      </c>
      <c r="E51" s="18">
        <f t="shared" si="8"/>
        <v>1811951.1924942676</v>
      </c>
      <c r="F51" s="18">
        <f t="shared" si="8"/>
        <v>724780.47699770704</v>
      </c>
      <c r="G51" s="18">
        <f t="shared" si="8"/>
        <v>2899121.9079908282</v>
      </c>
      <c r="H51" s="18">
        <f t="shared" si="8"/>
        <v>1087170.7154965606</v>
      </c>
      <c r="I51" s="16">
        <f>Delay!O53</f>
        <v>0.99904300152557224</v>
      </c>
      <c r="J51" s="62">
        <f>($V$1*(1+Dedicate!$E52*$V$4)*(1+RideSource!C54*$V$5)*(1+Connect!$E52*$V$6)*(1+EV!$C52*$V$7)*(1+ShareRide!C52*$V$8))</f>
        <v>0.16465626542139669</v>
      </c>
      <c r="K51" s="62">
        <f>($V$1*(1+Dedicate!$E52*$V$4)*(1+RideSource!D54*$V$5)*(1+Connect!$E52*$V$6)*(1+EV!$C52*$V$7)*(1+ShareRide!D52*$V$8))</f>
        <v>0.14819063887925699</v>
      </c>
      <c r="L51" s="62">
        <f>($V$1*(1+Dedicate!$E52*$V$4)*(1+RideSource!E54*$V$5)*(1+Connect!$E52*$V$6)*(1+EV!$C52*$V$7)*(1+ShareRide!E52*$V$8))</f>
        <v>0.11385378352918525</v>
      </c>
      <c r="M51" s="62">
        <f>($V$1*(1+Dedicate!$E52*$V$4)*(1+RideSource!F54*$V$5)*(1+Connect!$E52*$V$6)*(1+EV!$C52*$V$7)*(1+ShareRide!F52*$V$8))</f>
        <v>8.0320129473852045E-2</v>
      </c>
      <c r="N51" s="62">
        <f>($V$1*(1+Dedicate!$E52*$V$4)*(1+RideSource!G54*$V$5)*(1+Connect!$E52*$V$6)*(1+EV!$C52*$V$7)*(1+ShareRide!G52*$V$8))</f>
        <v>8.0320129473852045E-2</v>
      </c>
      <c r="O51" s="18">
        <f t="shared" si="1"/>
        <v>605555.03826465411</v>
      </c>
      <c r="P51" s="18">
        <f t="shared" si="2"/>
        <v>1543693.9553448986</v>
      </c>
      <c r="Q51" s="18">
        <f t="shared" si="3"/>
        <v>642340.44802009605</v>
      </c>
      <c r="R51" s="18">
        <f t="shared" si="4"/>
        <v>2666486.9055848713</v>
      </c>
      <c r="S51" s="18">
        <f t="shared" si="5"/>
        <v>999932.58959432668</v>
      </c>
      <c r="T51" s="20">
        <f t="shared" si="6"/>
        <v>6458008.9368088469</v>
      </c>
      <c r="U51" s="20">
        <f t="shared" si="7"/>
        <v>6451828.6321084797</v>
      </c>
    </row>
    <row r="52" spans="1:21" x14ac:dyDescent="0.25">
      <c r="A52">
        <v>49</v>
      </c>
      <c r="B52">
        <v>2066</v>
      </c>
      <c r="C52" s="18">
        <f>C51*(1+City!$B$8)</f>
        <v>7356521.8415267253</v>
      </c>
      <c r="D52" s="18">
        <f t="shared" si="8"/>
        <v>735652.18415267253</v>
      </c>
      <c r="E52" s="18">
        <f t="shared" si="8"/>
        <v>1839130.4603816813</v>
      </c>
      <c r="F52" s="18">
        <f t="shared" si="8"/>
        <v>735652.18415267253</v>
      </c>
      <c r="G52" s="18">
        <f t="shared" si="8"/>
        <v>2942608.7366106901</v>
      </c>
      <c r="H52" s="18">
        <f t="shared" si="8"/>
        <v>1103478.2762290088</v>
      </c>
      <c r="I52" s="16">
        <f>Delay!O54</f>
        <v>0.99960767040992227</v>
      </c>
      <c r="J52" s="62">
        <f>($V$1*(1+Dedicate!$E53*$V$4)*(1+RideSource!C55*$V$5)*(1+Connect!$E53*$V$6)*(1+EV!$C53*$V$7)*(1+ShareRide!C53*$V$8))</f>
        <v>0.16465626542139669</v>
      </c>
      <c r="K52" s="62">
        <f>($V$1*(1+Dedicate!$E53*$V$4)*(1+RideSource!D55*$V$5)*(1+Connect!$E53*$V$6)*(1+EV!$C53*$V$7)*(1+ShareRide!D53*$V$8))</f>
        <v>0.14819063887925699</v>
      </c>
      <c r="L52" s="62">
        <f>($V$1*(1+Dedicate!$E53*$V$4)*(1+RideSource!E55*$V$5)*(1+Connect!$E53*$V$6)*(1+EV!$C53*$V$7)*(1+ShareRide!E53*$V$8))</f>
        <v>0.11385378352918525</v>
      </c>
      <c r="M52" s="62">
        <f>($V$1*(1+Dedicate!$E53*$V$4)*(1+RideSource!F55*$V$5)*(1+Connect!$E53*$V$6)*(1+EV!$C53*$V$7)*(1+ShareRide!F53*$V$8))</f>
        <v>8.0320129473852045E-2</v>
      </c>
      <c r="N52" s="62">
        <f>($V$1*(1+Dedicate!$E53*$V$4)*(1+RideSource!G55*$V$5)*(1+Connect!$E53*$V$6)*(1+EV!$C53*$V$7)*(1+ShareRide!G53*$V$8))</f>
        <v>8.0320129473852045E-2</v>
      </c>
      <c r="O52" s="18">
        <f t="shared" si="1"/>
        <v>614569.96564274712</v>
      </c>
      <c r="P52" s="18">
        <f t="shared" si="2"/>
        <v>1566695.4687343491</v>
      </c>
      <c r="Q52" s="18">
        <f t="shared" si="3"/>
        <v>651928.25989032164</v>
      </c>
      <c r="R52" s="18">
        <f t="shared" si="4"/>
        <v>2706350.7492742506</v>
      </c>
      <c r="S52" s="18">
        <f t="shared" si="5"/>
        <v>1014881.5309778439</v>
      </c>
      <c r="T52" s="20">
        <f t="shared" si="6"/>
        <v>6554425.9745195126</v>
      </c>
      <c r="U52" s="20">
        <f t="shared" si="7"/>
        <v>6551854.4792637341</v>
      </c>
    </row>
    <row r="53" spans="1:21" x14ac:dyDescent="0.25">
      <c r="A53">
        <v>50</v>
      </c>
      <c r="B53">
        <v>2067</v>
      </c>
      <c r="C53" s="18">
        <f>C52*(1+City!$B$8)</f>
        <v>7466869.6691496251</v>
      </c>
      <c r="D53" s="18">
        <f t="shared" si="8"/>
        <v>746686.96691496251</v>
      </c>
      <c r="E53" s="18">
        <f t="shared" si="8"/>
        <v>1866717.4172874063</v>
      </c>
      <c r="F53" s="18">
        <f t="shared" si="8"/>
        <v>746686.96691496251</v>
      </c>
      <c r="G53" s="18">
        <f t="shared" si="8"/>
        <v>2986747.86765985</v>
      </c>
      <c r="H53" s="18">
        <f t="shared" si="8"/>
        <v>1120030.4503724438</v>
      </c>
      <c r="I53" s="16">
        <f>Delay!O55</f>
        <v>0.99968428719924807</v>
      </c>
      <c r="J53" s="62">
        <f>($V$1*(1+Dedicate!$E54*$V$4)*(1+RideSource!C56*$V$5)*(1+Connect!$E54*$V$6)*(1+EV!$C54*$V$7)*(1+ShareRide!C54*$V$8))</f>
        <v>0.16465626542139669</v>
      </c>
      <c r="K53" s="62">
        <f>($V$1*(1+Dedicate!$E54*$V$4)*(1+RideSource!D56*$V$5)*(1+Connect!$E54*$V$6)*(1+EV!$C54*$V$7)*(1+ShareRide!D54*$V$8))</f>
        <v>0.14819063887925699</v>
      </c>
      <c r="L53" s="62">
        <f>($V$1*(1+Dedicate!$E54*$V$4)*(1+RideSource!E56*$V$5)*(1+Connect!$E54*$V$6)*(1+EV!$C54*$V$7)*(1+ShareRide!E54*$V$8))</f>
        <v>0.11385378352918525</v>
      </c>
      <c r="M53" s="62">
        <f>($V$1*(1+Dedicate!$E54*$V$4)*(1+RideSource!F56*$V$5)*(1+Connect!$E54*$V$6)*(1+EV!$C54*$V$7)*(1+ShareRide!F54*$V$8))</f>
        <v>8.0320129473852045E-2</v>
      </c>
      <c r="N53" s="62">
        <f>($V$1*(1+Dedicate!$E54*$V$4)*(1+RideSource!G56*$V$5)*(1+Connect!$E54*$V$6)*(1+EV!$C54*$V$7)*(1+ShareRide!G54*$V$8))</f>
        <v>8.0320129473852045E-2</v>
      </c>
      <c r="O53" s="18">
        <f t="shared" si="1"/>
        <v>623779.09534694045</v>
      </c>
      <c r="P53" s="18">
        <f t="shared" si="2"/>
        <v>1590174.706259357</v>
      </c>
      <c r="Q53" s="18">
        <f t="shared" si="3"/>
        <v>661700.67035512289</v>
      </c>
      <c r="R53" s="18">
        <f t="shared" si="4"/>
        <v>2746927.6304539535</v>
      </c>
      <c r="S53" s="18">
        <f t="shared" si="5"/>
        <v>1030097.8614202326</v>
      </c>
      <c r="T53" s="20">
        <f t="shared" si="6"/>
        <v>6652679.9638356064</v>
      </c>
      <c r="U53" s="20">
        <f t="shared" si="7"/>
        <v>6650579.6276117172</v>
      </c>
    </row>
    <row r="54" spans="1:21" x14ac:dyDescent="0.25">
      <c r="A54">
        <v>51</v>
      </c>
      <c r="B54">
        <v>2068</v>
      </c>
      <c r="C54" s="18">
        <f>C53*(1+City!$B$8)</f>
        <v>7578872.7141868686</v>
      </c>
      <c r="D54" s="18">
        <f t="shared" si="8"/>
        <v>757887.27141868696</v>
      </c>
      <c r="E54" s="18">
        <f t="shared" si="8"/>
        <v>1894718.1785467172</v>
      </c>
      <c r="F54" s="18">
        <f t="shared" si="8"/>
        <v>757887.27141868696</v>
      </c>
      <c r="G54" s="18">
        <f t="shared" si="8"/>
        <v>3031549.0856747478</v>
      </c>
      <c r="H54" s="18">
        <f t="shared" si="8"/>
        <v>1136830.9071280302</v>
      </c>
      <c r="I54" s="16">
        <f>Delay!O56</f>
        <v>0.99974641309550816</v>
      </c>
      <c r="J54" s="62">
        <f>($V$1*(1+Dedicate!$E55*$V$4)*(1+RideSource!C57*$V$5)*(1+Connect!$E55*$V$6)*(1+EV!$C55*$V$7)*(1+ShareRide!C55*$V$8))</f>
        <v>0.16465626542139669</v>
      </c>
      <c r="K54" s="62">
        <f>($V$1*(1+Dedicate!$E55*$V$4)*(1+RideSource!D57*$V$5)*(1+Connect!$E55*$V$6)*(1+EV!$C55*$V$7)*(1+ShareRide!D55*$V$8))</f>
        <v>0.14819063887925699</v>
      </c>
      <c r="L54" s="62">
        <f>($V$1*(1+Dedicate!$E55*$V$4)*(1+RideSource!E57*$V$5)*(1+Connect!$E55*$V$6)*(1+EV!$C55*$V$7)*(1+ShareRide!E55*$V$8))</f>
        <v>0.11385378352918525</v>
      </c>
      <c r="M54" s="62">
        <f>($V$1*(1+Dedicate!$E55*$V$4)*(1+RideSource!F57*$V$5)*(1+Connect!$E55*$V$6)*(1+EV!$C55*$V$7)*(1+ShareRide!F55*$V$8))</f>
        <v>8.0320129473852045E-2</v>
      </c>
      <c r="N54" s="62">
        <f>($V$1*(1+Dedicate!$E55*$V$4)*(1+RideSource!G57*$V$5)*(1+Connect!$E55*$V$6)*(1+EV!$C55*$V$7)*(1+ShareRide!G55*$V$8))</f>
        <v>8.0320129473852045E-2</v>
      </c>
      <c r="O54" s="18">
        <f t="shared" si="1"/>
        <v>633128.02903139975</v>
      </c>
      <c r="P54" s="18">
        <f t="shared" si="2"/>
        <v>1614009.8831753212</v>
      </c>
      <c r="Q54" s="18">
        <f t="shared" si="3"/>
        <v>671620.81967040431</v>
      </c>
      <c r="R54" s="18">
        <f t="shared" si="4"/>
        <v>2788116.4176019924</v>
      </c>
      <c r="S54" s="18">
        <f t="shared" si="5"/>
        <v>1045543.6566007469</v>
      </c>
      <c r="T54" s="20">
        <f t="shared" si="6"/>
        <v>6752418.8060798645</v>
      </c>
      <c r="U54" s="20">
        <f t="shared" si="7"/>
        <v>6750706.4810969979</v>
      </c>
    </row>
    <row r="55" spans="1:21" x14ac:dyDescent="0.25">
      <c r="A55">
        <v>52</v>
      </c>
      <c r="B55">
        <v>2069</v>
      </c>
      <c r="C55" s="18">
        <f>C54*(1+City!$B$8)</f>
        <v>7692555.8048996711</v>
      </c>
      <c r="D55" s="18">
        <f t="shared" si="8"/>
        <v>769255.58048996713</v>
      </c>
      <c r="E55" s="18">
        <f t="shared" si="8"/>
        <v>1923138.9512249178</v>
      </c>
      <c r="F55" s="18">
        <f t="shared" si="8"/>
        <v>769255.58048996713</v>
      </c>
      <c r="G55" s="18">
        <f t="shared" si="8"/>
        <v>3077022.3219598685</v>
      </c>
      <c r="H55" s="18">
        <f t="shared" si="8"/>
        <v>1153883.3707349505</v>
      </c>
      <c r="I55" s="16">
        <f>Delay!O57</f>
        <v>0.99979676793612349</v>
      </c>
      <c r="J55" s="62">
        <f>($V$1*(1+Dedicate!$E56*$V$4)*(1+RideSource!C58*$V$5)*(1+Connect!$E56*$V$6)*(1+EV!$C56*$V$7)*(1+ShareRide!C56*$V$8))</f>
        <v>0.16465626542139669</v>
      </c>
      <c r="K55" s="62">
        <f>($V$1*(1+Dedicate!$E56*$V$4)*(1+RideSource!D58*$V$5)*(1+Connect!$E56*$V$6)*(1+EV!$C56*$V$7)*(1+ShareRide!D56*$V$8))</f>
        <v>0.14819063887925699</v>
      </c>
      <c r="L55" s="62">
        <f>($V$1*(1+Dedicate!$E56*$V$4)*(1+RideSource!E58*$V$5)*(1+Connect!$E56*$V$6)*(1+EV!$C56*$V$7)*(1+ShareRide!E56*$V$8))</f>
        <v>0.11385378352918525</v>
      </c>
      <c r="M55" s="62">
        <f>($V$1*(1+Dedicate!$E56*$V$4)*(1+RideSource!F58*$V$5)*(1+Connect!$E56*$V$6)*(1+EV!$C56*$V$7)*(1+ShareRide!F56*$V$8))</f>
        <v>8.0320129473852045E-2</v>
      </c>
      <c r="N55" s="62">
        <f>($V$1*(1+Dedicate!$E56*$V$4)*(1+RideSource!G58*$V$5)*(1+Connect!$E56*$V$6)*(1+EV!$C56*$V$7)*(1+ShareRide!G56*$V$8))</f>
        <v>8.0320129473852045E-2</v>
      </c>
      <c r="O55" s="18">
        <f t="shared" si="1"/>
        <v>642618.57138423028</v>
      </c>
      <c r="P55" s="18">
        <f t="shared" si="2"/>
        <v>1638205.68073701</v>
      </c>
      <c r="Q55" s="18">
        <f t="shared" si="3"/>
        <v>681690.72175465885</v>
      </c>
      <c r="R55" s="18">
        <f t="shared" si="4"/>
        <v>2829925.7188267238</v>
      </c>
      <c r="S55" s="18">
        <f t="shared" si="5"/>
        <v>1061222.1445600211</v>
      </c>
      <c r="T55" s="20">
        <f t="shared" si="6"/>
        <v>6853662.8372626444</v>
      </c>
      <c r="U55" s="20">
        <f t="shared" si="7"/>
        <v>6852269.9532191139</v>
      </c>
    </row>
    <row r="56" spans="1:21" x14ac:dyDescent="0.25">
      <c r="A56">
        <v>53</v>
      </c>
      <c r="B56">
        <v>2070</v>
      </c>
      <c r="C56" s="18">
        <f>C55*(1+City!$B$8)</f>
        <v>7807944.1419731658</v>
      </c>
      <c r="D56" s="18">
        <f t="shared" si="8"/>
        <v>780794.41419731663</v>
      </c>
      <c r="E56" s="18">
        <f t="shared" si="8"/>
        <v>1951986.0354932914</v>
      </c>
      <c r="F56" s="18">
        <f t="shared" si="8"/>
        <v>780794.41419731663</v>
      </c>
      <c r="G56" s="18">
        <f t="shared" si="8"/>
        <v>3123177.6567892665</v>
      </c>
      <c r="H56" s="18">
        <f t="shared" si="8"/>
        <v>1171191.6212959748</v>
      </c>
      <c r="I56" s="16">
        <f>Delay!O58</f>
        <v>0.99983747268608147</v>
      </c>
      <c r="J56" s="62">
        <f>($V$1*(1+Dedicate!$E57*$V$4)*(1+RideSource!C59*$V$5)*(1+Connect!$E57*$V$6)*(1+EV!$C57*$V$7)*(1+ShareRide!C57*$V$8))</f>
        <v>0.16465626542139669</v>
      </c>
      <c r="K56" s="62">
        <f>($V$1*(1+Dedicate!$E57*$V$4)*(1+RideSource!D59*$V$5)*(1+Connect!$E57*$V$6)*(1+EV!$C57*$V$7)*(1+ShareRide!D57*$V$8))</f>
        <v>0.14819063887925699</v>
      </c>
      <c r="L56" s="62">
        <f>($V$1*(1+Dedicate!$E57*$V$4)*(1+RideSource!E59*$V$5)*(1+Connect!$E57*$V$6)*(1+EV!$C57*$V$7)*(1+ShareRide!E57*$V$8))</f>
        <v>0.11385378352918525</v>
      </c>
      <c r="M56" s="62">
        <f>($V$1*(1+Dedicate!$E57*$V$4)*(1+RideSource!F59*$V$5)*(1+Connect!$E57*$V$6)*(1+EV!$C57*$V$7)*(1+ShareRide!F57*$V$8))</f>
        <v>8.0320129473852045E-2</v>
      </c>
      <c r="N56" s="62">
        <f>($V$1*(1+Dedicate!$E57*$V$4)*(1+RideSource!G59*$V$5)*(1+Connect!$E57*$V$6)*(1+EV!$C57*$V$7)*(1+ShareRide!G57*$V$8))</f>
        <v>8.0320129473852045E-2</v>
      </c>
      <c r="O56" s="18">
        <f t="shared" si="1"/>
        <v>652252.61684274953</v>
      </c>
      <c r="P56" s="18">
        <f t="shared" si="2"/>
        <v>1662766.9914455155</v>
      </c>
      <c r="Q56" s="18">
        <f t="shared" si="3"/>
        <v>691912.46407531714</v>
      </c>
      <c r="R56" s="18">
        <f t="shared" si="4"/>
        <v>2872364.3936584038</v>
      </c>
      <c r="S56" s="18">
        <f t="shared" si="5"/>
        <v>1077136.6476219012</v>
      </c>
      <c r="T56" s="20">
        <f t="shared" si="6"/>
        <v>6956433.1136438865</v>
      </c>
      <c r="U56" s="20">
        <f t="shared" si="7"/>
        <v>6955302.5032554725</v>
      </c>
    </row>
    <row r="59" spans="1:21" x14ac:dyDescent="0.25">
      <c r="J59" s="18">
        <v>652252.61684274953</v>
      </c>
      <c r="K59" s="18">
        <v>1662766.9914455155</v>
      </c>
      <c r="L59" s="18">
        <v>691912.46407531714</v>
      </c>
      <c r="M59" s="18">
        <v>2872364.3936584038</v>
      </c>
      <c r="N59" s="18">
        <v>1077136.6476219012</v>
      </c>
      <c r="O59" s="18"/>
      <c r="P59" s="18"/>
      <c r="Q59" s="18"/>
      <c r="R59" s="18"/>
      <c r="S59" s="18"/>
    </row>
  </sheetData>
  <mergeCells count="2">
    <mergeCell ref="D1:H1"/>
    <mergeCell ref="J1:N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56"/>
  <sheetViews>
    <sheetView workbookViewId="0">
      <selection activeCell="V34" sqref="V34"/>
    </sheetView>
  </sheetViews>
  <sheetFormatPr defaultRowHeight="15" x14ac:dyDescent="0.25"/>
  <cols>
    <col min="3" max="3" width="13.85546875" customWidth="1"/>
    <col min="4" max="4" width="11.140625" customWidth="1"/>
    <col min="5" max="5" width="10.28515625" customWidth="1"/>
    <col min="6" max="6" width="9.140625" customWidth="1"/>
    <col min="8" max="8" width="11.5703125" customWidth="1"/>
    <col min="16" max="16" width="10.28515625" customWidth="1"/>
  </cols>
  <sheetData>
    <row r="1" spans="1:14" x14ac:dyDescent="0.25">
      <c r="C1" s="75" t="s">
        <v>258</v>
      </c>
      <c r="D1" s="75" t="s">
        <v>258</v>
      </c>
    </row>
    <row r="2" spans="1:14" x14ac:dyDescent="0.25">
      <c r="C2" s="142" t="s">
        <v>207</v>
      </c>
      <c r="D2" s="172" t="s">
        <v>98</v>
      </c>
      <c r="E2" s="172"/>
      <c r="F2" s="134"/>
    </row>
    <row r="3" spans="1:14" x14ac:dyDescent="0.25">
      <c r="B3" s="135" t="s">
        <v>97</v>
      </c>
      <c r="C3" s="79" t="s">
        <v>115</v>
      </c>
      <c r="D3" s="135" t="s">
        <v>115</v>
      </c>
      <c r="E3" s="135" t="s">
        <v>102</v>
      </c>
      <c r="F3" s="135" t="s">
        <v>262</v>
      </c>
      <c r="G3" s="135" t="s">
        <v>263</v>
      </c>
      <c r="H3" s="135" t="s">
        <v>261</v>
      </c>
      <c r="M3" s="14">
        <f>HLOOKUP(City!$B$35,City!$K$32:$O$34,2)</f>
        <v>0.10531732418524871</v>
      </c>
      <c r="N3" t="s">
        <v>259</v>
      </c>
    </row>
    <row r="4" spans="1:14" x14ac:dyDescent="0.25">
      <c r="A4">
        <v>1</v>
      </c>
      <c r="B4">
        <f>City!B3</f>
        <v>2018</v>
      </c>
      <c r="C4" s="81">
        <f>Miles!E4</f>
        <v>8400000</v>
      </c>
      <c r="D4" s="19">
        <f>Miles!M4</f>
        <v>8399998.7453534715</v>
      </c>
      <c r="E4" s="14">
        <f>'Fleet Types'!K15</f>
        <v>0</v>
      </c>
      <c r="F4" s="58">
        <f>MIN(MAX(((1+Dedicate!$E5*M$7)*(1+Connect!$E5*M9)*(1+Curb!$I5*M$8)*(1+VMT_fee!$K5*M$10)*(1+NOVMT!$K5*M$11)*(1+Pricing!$I6*M$12)-1)*M$14,0),1)</f>
        <v>0</v>
      </c>
      <c r="G4" s="14">
        <f>(M$4+(M$3-M$4)*F4)</f>
        <v>7.8987993138936563E-2</v>
      </c>
      <c r="H4" s="18">
        <f>D4*E4*G4</f>
        <v>0</v>
      </c>
      <c r="M4" s="14">
        <f>HLOOKUP(City!$B$35,City!$K$32:$O$34,3)</f>
        <v>7.8987993138936563E-2</v>
      </c>
      <c r="N4" t="s">
        <v>260</v>
      </c>
    </row>
    <row r="5" spans="1:14" x14ac:dyDescent="0.25">
      <c r="A5">
        <f>A4+1</f>
        <v>2</v>
      </c>
      <c r="B5">
        <f>B4+1</f>
        <v>2019</v>
      </c>
      <c r="C5" s="81">
        <f>Miles!E5</f>
        <v>8525999.9999999981</v>
      </c>
      <c r="D5" s="19">
        <f>Miles!M5</f>
        <v>8525988.3622850217</v>
      </c>
      <c r="E5" s="14">
        <f>'Fleet Types'!K16</f>
        <v>0</v>
      </c>
      <c r="F5" s="58">
        <f>MIN(MAX(((1+Dedicate!$E6*M$7)*(1+Connect!$E6*M10)*(1+Curb!$I6*M$8)*(1+VMT_fee!$K6*M$10)*(1+NOVMT!$K6*M$11)*(1+Pricing!$I7*M$12)-1)*M$14,0),1)</f>
        <v>0</v>
      </c>
      <c r="G5" s="14">
        <f t="shared" ref="G5:G56" si="0">(M$4+(M$3-M$4)*F5)</f>
        <v>7.8987993138936563E-2</v>
      </c>
      <c r="H5" s="18">
        <f t="shared" ref="H5:H56" si="1">D5*E5*G5</f>
        <v>0</v>
      </c>
    </row>
    <row r="6" spans="1:14" x14ac:dyDescent="0.25">
      <c r="A6">
        <f t="shared" ref="A6:B21" si="2">A5+1</f>
        <v>3</v>
      </c>
      <c r="B6">
        <f t="shared" si="2"/>
        <v>2020</v>
      </c>
      <c r="C6" s="81">
        <f>Miles!E6</f>
        <v>8653889.9999999981</v>
      </c>
      <c r="D6" s="19">
        <f>Miles!M6</f>
        <v>8653821.3044928759</v>
      </c>
      <c r="E6" s="14">
        <f>'Fleet Types'!K17</f>
        <v>0</v>
      </c>
      <c r="F6" s="58">
        <f>MIN(MAX(((1+Dedicate!$E7*M$7)*(1+Connect!$E7*M11)*(1+Curb!$I7*M$8)*(1+VMT_fee!$K7*M$10)*(1+NOVMT!$K7*M$11)*(1+Pricing!$I8*M$12)-1)*M$14,0),1)</f>
        <v>0</v>
      </c>
      <c r="G6" s="14">
        <f t="shared" si="0"/>
        <v>7.8987993138936563E-2</v>
      </c>
      <c r="H6" s="18">
        <f t="shared" si="1"/>
        <v>0</v>
      </c>
      <c r="M6" s="135" t="s">
        <v>102</v>
      </c>
      <c r="N6" s="6" t="s">
        <v>137</v>
      </c>
    </row>
    <row r="7" spans="1:14" x14ac:dyDescent="0.25">
      <c r="A7">
        <f t="shared" si="2"/>
        <v>4</v>
      </c>
      <c r="B7">
        <f t="shared" si="2"/>
        <v>2021</v>
      </c>
      <c r="C7" s="81">
        <f>Miles!E7</f>
        <v>8783698.3499999959</v>
      </c>
      <c r="D7" s="19">
        <f>Miles!M7</f>
        <v>8783466.4152940307</v>
      </c>
      <c r="E7" s="14">
        <f>'Fleet Types'!K18</f>
        <v>0</v>
      </c>
      <c r="F7" s="58">
        <f>MIN(MAX(((1+Dedicate!$E8*M$7)*(1+Connect!$E8*M12)*(1+Curb!$I8*M$8)*(1+VMT_fee!$K8*M$10)*(1+NOVMT!$K8*M$11)*(1+Pricing!$I9*M$12)-1)*M$14,0),1)</f>
        <v>0</v>
      </c>
      <c r="G7" s="14">
        <f t="shared" si="0"/>
        <v>7.8987993138936563E-2</v>
      </c>
      <c r="H7" s="18">
        <f t="shared" si="1"/>
        <v>0</v>
      </c>
      <c r="M7" s="13">
        <v>1</v>
      </c>
      <c r="N7" s="2" t="s">
        <v>121</v>
      </c>
    </row>
    <row r="8" spans="1:14" x14ac:dyDescent="0.25">
      <c r="A8">
        <f t="shared" si="2"/>
        <v>5</v>
      </c>
      <c r="B8">
        <f t="shared" si="2"/>
        <v>2022</v>
      </c>
      <c r="C8" s="81">
        <f>Miles!E8</f>
        <v>8915453.825249996</v>
      </c>
      <c r="D8" s="19">
        <f>Miles!M8</f>
        <v>8914886.607312711</v>
      </c>
      <c r="E8" s="14">
        <f>'Fleet Types'!K19</f>
        <v>0</v>
      </c>
      <c r="F8" s="58">
        <f>MIN(MAX(((1+Dedicate!$E9*M$7)*(1+Connect!$E9*M13)*(1+Curb!$I9*M$8)*(1+VMT_fee!$K9*M$10)*(1+NOVMT!$K9*M$11)*(1+Pricing!$I10*M$12)-1)*M$14,0),1)</f>
        <v>0</v>
      </c>
      <c r="G8" s="14">
        <f t="shared" si="0"/>
        <v>7.8987993138936563E-2</v>
      </c>
      <c r="H8" s="18">
        <f t="shared" si="1"/>
        <v>0</v>
      </c>
      <c r="M8" s="13">
        <v>1</v>
      </c>
      <c r="N8" t="s">
        <v>244</v>
      </c>
    </row>
    <row r="9" spans="1:14" x14ac:dyDescent="0.25">
      <c r="A9">
        <f t="shared" si="2"/>
        <v>6</v>
      </c>
      <c r="B9">
        <f t="shared" si="2"/>
        <v>2023</v>
      </c>
      <c r="C9" s="81">
        <f>Miles!E9</f>
        <v>9049185.6326287445</v>
      </c>
      <c r="D9" s="19">
        <f>Miles!M9</f>
        <v>9059243.5726106968</v>
      </c>
      <c r="E9" s="14">
        <f>'Fleet Types'!K20</f>
        <v>0</v>
      </c>
      <c r="F9" s="58">
        <f>MIN(MAX(((1+Dedicate!$E10*M$7)*(1+Connect!$E10*M14)*(1+Curb!$I10*M$8)*(1+VMT_fee!$K10*M$10)*(1+NOVMT!$K10*M$11)*(1+Pricing!$I11*M$12)-1)*M$14,0),1)</f>
        <v>0.4807500000000009</v>
      </c>
      <c r="G9" s="14">
        <f t="shared" si="0"/>
        <v>9.1645819039451154E-2</v>
      </c>
      <c r="H9" s="18">
        <f t="shared" si="1"/>
        <v>0</v>
      </c>
      <c r="M9" s="13">
        <v>-0.25</v>
      </c>
      <c r="N9" s="2" t="s">
        <v>122</v>
      </c>
    </row>
    <row r="10" spans="1:14" x14ac:dyDescent="0.25">
      <c r="A10">
        <f t="shared" si="2"/>
        <v>7</v>
      </c>
      <c r="B10">
        <f t="shared" si="2"/>
        <v>2024</v>
      </c>
      <c r="C10" s="81">
        <f>Miles!E10</f>
        <v>9184923.417118175</v>
      </c>
      <c r="D10" s="19">
        <f>Miles!M10</f>
        <v>9204128.42154634</v>
      </c>
      <c r="E10" s="14">
        <f>'Fleet Types'!K21</f>
        <v>3.5685524236427411E-3</v>
      </c>
      <c r="F10" s="58">
        <f>MIN(MAX(((1+Dedicate!$E11*M$7)*(1+Connect!$E11*M15)*(1+Curb!$I11*M$8)*(1+VMT_fee!$K11*M$10)*(1+NOVMT!$K11*M$11)*(1+Pricing!$I12*M$12)-1)*M$14,0),1)</f>
        <v>0.4807500000000009</v>
      </c>
      <c r="G10" s="14">
        <f t="shared" si="0"/>
        <v>9.1645819039451154E-2</v>
      </c>
      <c r="H10" s="18">
        <f t="shared" si="1"/>
        <v>3010.1449397743854</v>
      </c>
      <c r="M10" s="13">
        <v>-0.1</v>
      </c>
      <c r="N10" s="2" t="s">
        <v>123</v>
      </c>
    </row>
    <row r="11" spans="1:14" x14ac:dyDescent="0.25">
      <c r="A11">
        <f t="shared" si="2"/>
        <v>8</v>
      </c>
      <c r="B11">
        <f t="shared" si="2"/>
        <v>2025</v>
      </c>
      <c r="C11" s="81">
        <f>Miles!E11</f>
        <v>9322697.2683749478</v>
      </c>
      <c r="D11" s="19">
        <f>Miles!M11</f>
        <v>9355020.3921928834</v>
      </c>
      <c r="E11" s="14">
        <f>'Fleet Types'!K22</f>
        <v>1.1711350258125384E-2</v>
      </c>
      <c r="F11" s="58">
        <f>MIN(MAX(((1+Dedicate!$E12*M$7)*(1+Connect!$E12*M16)*(1+Curb!$I12*M$8)*(1+VMT_fee!$K12*M$10)*(1+NOVMT!$K12*M$11)*(1+Pricing!$I13*M$12)-1)*M$14,0),1)</f>
        <v>0.4807500000000009</v>
      </c>
      <c r="G11" s="14">
        <f t="shared" si="0"/>
        <v>9.1645819039451154E-2</v>
      </c>
      <c r="H11" s="18">
        <f t="shared" si="1"/>
        <v>10040.708646733636</v>
      </c>
      <c r="M11" s="13">
        <v>-0.1</v>
      </c>
      <c r="N11" s="2" t="s">
        <v>124</v>
      </c>
    </row>
    <row r="12" spans="1:14" x14ac:dyDescent="0.25">
      <c r="A12">
        <f t="shared" si="2"/>
        <v>9</v>
      </c>
      <c r="B12">
        <f t="shared" si="2"/>
        <v>2026</v>
      </c>
      <c r="C12" s="81">
        <f>Miles!E12</f>
        <v>9462537.7274005692</v>
      </c>
      <c r="D12" s="19">
        <f>Miles!M12</f>
        <v>9511891.8593929261</v>
      </c>
      <c r="E12" s="14">
        <f>'Fleet Types'!K23</f>
        <v>2.066466340670221E-2</v>
      </c>
      <c r="F12" s="58">
        <f>MIN(MAX(((1+Dedicate!$E13*M$7)*(1+Connect!$E13*M17)*(1+Curb!$I13*M$8)*(1+VMT_fee!$K13*M$10)*(1+NOVMT!$K13*M$11)*(1+Pricing!$I14*M$12)-1)*M$14,0),1)</f>
        <v>0.55708901785714415</v>
      </c>
      <c r="G12" s="14">
        <f t="shared" si="0"/>
        <v>9.3655774312362217E-2</v>
      </c>
      <c r="H12" s="18">
        <f t="shared" si="1"/>
        <v>18408.983085536252</v>
      </c>
      <c r="M12" s="13">
        <v>-0.25</v>
      </c>
      <c r="N12" s="2" t="s">
        <v>231</v>
      </c>
    </row>
    <row r="13" spans="1:14" x14ac:dyDescent="0.25">
      <c r="A13">
        <f t="shared" si="2"/>
        <v>10</v>
      </c>
      <c r="B13">
        <f t="shared" si="2"/>
        <v>2027</v>
      </c>
      <c r="C13" s="81">
        <f>Miles!E13</f>
        <v>9604475.7933115773</v>
      </c>
      <c r="D13" s="19">
        <f>Miles!M13</f>
        <v>9677823.1539035048</v>
      </c>
      <c r="E13" s="14">
        <f>'Fleet Types'!K24</f>
        <v>3.057458294599685E-2</v>
      </c>
      <c r="F13" s="58">
        <f>MIN(MAX(((1+Dedicate!$E14*M$7)*(1+Connect!$E14*M18)*(1+Curb!$I14*M$8)*(1+VMT_fee!$K14*M$10)*(1+NOVMT!$K14*M$11)*(1+Pricing!$I15*M$12)-1)*M$14,0),1)</f>
        <v>0.6843207142857155</v>
      </c>
      <c r="G13" s="14">
        <f t="shared" si="0"/>
        <v>9.700569976721396E-2</v>
      </c>
      <c r="H13" s="18">
        <f t="shared" si="1"/>
        <v>28703.540990242207</v>
      </c>
    </row>
    <row r="14" spans="1:14" x14ac:dyDescent="0.25">
      <c r="A14">
        <f t="shared" si="2"/>
        <v>11</v>
      </c>
      <c r="B14">
        <f t="shared" si="2"/>
        <v>2028</v>
      </c>
      <c r="C14" s="81">
        <f>Miles!E14</f>
        <v>9748542.9302112497</v>
      </c>
      <c r="D14" s="19">
        <f>Miles!M14</f>
        <v>9795089.917855693</v>
      </c>
      <c r="E14" s="14">
        <f>'Fleet Types'!K25</f>
        <v>4.1508700956428779E-2</v>
      </c>
      <c r="F14" s="58">
        <f>MIN(MAX(((1+Dedicate!$E15*M$7)*(1+Connect!$E15*M19)*(1+Curb!$I15*M$8)*(1+VMT_fee!$K15*M$10)*(1+NOVMT!$K15*M$11)*(1+Pricing!$I16*M$12)-1)*M$14,0),1)</f>
        <v>0.66409075440001408</v>
      </c>
      <c r="G14" s="14">
        <f t="shared" si="0"/>
        <v>9.6473058456329711E-2</v>
      </c>
      <c r="H14" s="18">
        <f t="shared" si="1"/>
        <v>39224.156788201901</v>
      </c>
      <c r="M14" s="58">
        <v>5</v>
      </c>
      <c r="N14" s="2" t="s">
        <v>264</v>
      </c>
    </row>
    <row r="15" spans="1:14" x14ac:dyDescent="0.25">
      <c r="A15">
        <f t="shared" si="2"/>
        <v>12</v>
      </c>
      <c r="B15">
        <f t="shared" si="2"/>
        <v>2029</v>
      </c>
      <c r="C15" s="81">
        <f>Miles!E15</f>
        <v>9894771.0741644185</v>
      </c>
      <c r="D15" s="19">
        <f>Miles!M15</f>
        <v>9965761.7786604073</v>
      </c>
      <c r="E15" s="14">
        <f>'Fleet Types'!K26</f>
        <v>5.3572644894188795E-2</v>
      </c>
      <c r="F15" s="58">
        <f>MIN(MAX(((1+Dedicate!$E16*M$7)*(1+Connect!$E16*M20)*(1+Curb!$I16*M$8)*(1+VMT_fee!$K16*M$10)*(1+NOVMT!$K16*M$11)*(1+Pricing!$I17*M$12)-1)*M$14,0),1)</f>
        <v>0.78809408853137031</v>
      </c>
      <c r="G15" s="14">
        <f t="shared" si="0"/>
        <v>9.9737983291520643E-2</v>
      </c>
      <c r="H15" s="18">
        <f t="shared" si="1"/>
        <v>53249.333005478766</v>
      </c>
    </row>
    <row r="16" spans="1:14" x14ac:dyDescent="0.25">
      <c r="A16">
        <f t="shared" si="2"/>
        <v>13</v>
      </c>
      <c r="B16">
        <f t="shared" si="2"/>
        <v>2030</v>
      </c>
      <c r="C16" s="81">
        <f>Miles!E16</f>
        <v>10043192.640276883</v>
      </c>
      <c r="D16" s="19">
        <f>Miles!M16</f>
        <v>10153326.031240912</v>
      </c>
      <c r="E16" s="14">
        <f>'Fleet Types'!K27</f>
        <v>6.6880225524481321E-2</v>
      </c>
      <c r="F16" s="58">
        <f>MIN(MAX(((1+Dedicate!$E17*M$7)*(1+Connect!$E17*M21)*(1+Curb!$I17*M$8)*(1+VMT_fee!$K17*M$10)*(1+NOVMT!$K17*M$11)*(1+Pricing!$I18*M$12)-1)*M$14,0),1)</f>
        <v>0.91209742266272764</v>
      </c>
      <c r="G16" s="14">
        <f t="shared" si="0"/>
        <v>0.10300290812671162</v>
      </c>
      <c r="H16" s="18">
        <f t="shared" si="1"/>
        <v>69944.818466705998</v>
      </c>
    </row>
    <row r="17" spans="1:8" x14ac:dyDescent="0.25">
      <c r="A17">
        <f t="shared" si="2"/>
        <v>14</v>
      </c>
      <c r="B17">
        <f t="shared" si="2"/>
        <v>2031</v>
      </c>
      <c r="C17" s="81">
        <f>Miles!E17</f>
        <v>10193840.529881036</v>
      </c>
      <c r="D17" s="19">
        <f>Miles!M17</f>
        <v>10334894.44030956</v>
      </c>
      <c r="E17" s="14">
        <f>'Fleet Types'!K28</f>
        <v>8.1440583104134726E-2</v>
      </c>
      <c r="F17" s="58">
        <f>MIN(MAX(((1+Dedicate!$E18*M$7)*(1+Connect!$E18*M22)*(1+Curb!$I18*M$8)*(1+VMT_fee!$K18*M$10)*(1+NOVMT!$K18*M$11)*(1+Pricing!$I19*M$12)-1)*M$14,0),1)</f>
        <v>0.96169875631527235</v>
      </c>
      <c r="G17" s="14">
        <f t="shared" si="0"/>
        <v>0.10430887806078804</v>
      </c>
      <c r="H17" s="18">
        <f t="shared" si="1"/>
        <v>87794.67870555527</v>
      </c>
    </row>
    <row r="18" spans="1:8" x14ac:dyDescent="0.25">
      <c r="A18">
        <f t="shared" si="2"/>
        <v>15</v>
      </c>
      <c r="B18">
        <f t="shared" si="2"/>
        <v>2032</v>
      </c>
      <c r="C18" s="81">
        <f>Miles!E18</f>
        <v>10346748.13782925</v>
      </c>
      <c r="D18" s="19">
        <f>Miles!M18</f>
        <v>10525896.791056518</v>
      </c>
      <c r="E18" s="14">
        <f>'Fleet Types'!K29</f>
        <v>9.7360034448115945E-2</v>
      </c>
      <c r="F18" s="58">
        <f>MIN(MAX(((1+Dedicate!$E19*M$7)*(1+Connect!$E19*M23)*(1+Curb!$I19*M$8)*(1+VMT_fee!$K19*M$10)*(1+NOVMT!$K19*M$11)*(1+Pricing!$I20*M$12)-1)*M$14,0),1)</f>
        <v>0.96169875631527235</v>
      </c>
      <c r="G18" s="14">
        <f t="shared" si="0"/>
        <v>0.10430887806078804</v>
      </c>
      <c r="H18" s="18">
        <f t="shared" si="1"/>
        <v>106895.91286796724</v>
      </c>
    </row>
    <row r="19" spans="1:8" x14ac:dyDescent="0.25">
      <c r="A19">
        <f t="shared" si="2"/>
        <v>16</v>
      </c>
      <c r="B19">
        <f t="shared" si="2"/>
        <v>2033</v>
      </c>
      <c r="C19" s="81">
        <f>Miles!E19</f>
        <v>10501949.359896688</v>
      </c>
      <c r="D19" s="19">
        <f>Miles!M19</f>
        <v>10874982.712588258</v>
      </c>
      <c r="E19" s="14">
        <f>'Fleet Types'!K30</f>
        <v>0.1148208700973235</v>
      </c>
      <c r="F19" s="58">
        <f>MIN(MAX(((1+Dedicate!$E20*M$7)*(1+Connect!$E20*M24)*(1+Curb!$I20*M$8)*(1+VMT_fee!$K20*M$10)*(1+NOVMT!$K20*M$11)*(1+Pricing!$I21*M$12)-1)*M$14,0),1)</f>
        <v>0.96169875631527235</v>
      </c>
      <c r="G19" s="14">
        <f t="shared" si="0"/>
        <v>0.10430887806078804</v>
      </c>
      <c r="H19" s="18">
        <f t="shared" si="1"/>
        <v>130247.88595024371</v>
      </c>
    </row>
    <row r="20" spans="1:8" x14ac:dyDescent="0.25">
      <c r="A20">
        <f t="shared" si="2"/>
        <v>17</v>
      </c>
      <c r="B20">
        <f t="shared" si="2"/>
        <v>2034</v>
      </c>
      <c r="C20" s="81">
        <f>Miles!E20</f>
        <v>10659478.600295136</v>
      </c>
      <c r="D20" s="19">
        <f>Miles!M20</f>
        <v>11092549.739296215</v>
      </c>
      <c r="E20" s="14">
        <f>'Fleet Types'!K31</f>
        <v>0.13394360165437141</v>
      </c>
      <c r="F20" s="58">
        <f>MIN(MAX(((1+Dedicate!$E21*M$7)*(1+Connect!$E21*M25)*(1+Curb!$I21*M$8)*(1+VMT_fee!$K21*M$10)*(1+NOVMT!$K21*M$11)*(1+Pricing!$I22*M$12)-1)*M$14,0),1)</f>
        <v>0.96169875631527235</v>
      </c>
      <c r="G20" s="14">
        <f t="shared" si="0"/>
        <v>0.10430887806078804</v>
      </c>
      <c r="H20" s="18">
        <f t="shared" si="1"/>
        <v>154979.63424489935</v>
      </c>
    </row>
    <row r="21" spans="1:8" x14ac:dyDescent="0.25">
      <c r="A21">
        <f t="shared" si="2"/>
        <v>18</v>
      </c>
      <c r="B21">
        <f t="shared" si="2"/>
        <v>2035</v>
      </c>
      <c r="C21" s="81">
        <f>Miles!E21</f>
        <v>10819370.779299563</v>
      </c>
      <c r="D21" s="19">
        <f>Miles!M21</f>
        <v>11300370.279065762</v>
      </c>
      <c r="E21" s="14">
        <f>'Fleet Types'!K32</f>
        <v>0.15484406351100988</v>
      </c>
      <c r="F21" s="58">
        <f>MIN(MAX(((1+Dedicate!$E22*M$7)*(1+Connect!$E22*M26)*(1+Curb!$I22*M$8)*(1+VMT_fee!$K22*M$10)*(1+NOVMT!$K22*M$11)*(1+Pricing!$I23*M$12)-1)*M$14,0),1)</f>
        <v>0.88464379988989705</v>
      </c>
      <c r="G21" s="14">
        <f t="shared" si="0"/>
        <v>0.10228007260430517</v>
      </c>
      <c r="H21" s="18">
        <f t="shared" si="1"/>
        <v>178969.18553889953</v>
      </c>
    </row>
    <row r="22" spans="1:8" x14ac:dyDescent="0.25">
      <c r="A22">
        <f t="shared" ref="A22:B37" si="3">A21+1</f>
        <v>19</v>
      </c>
      <c r="B22">
        <f t="shared" si="3"/>
        <v>2036</v>
      </c>
      <c r="C22" s="81">
        <f>Miles!E22</f>
        <v>10981661.340989055</v>
      </c>
      <c r="D22" s="19">
        <f>Miles!M22</f>
        <v>11713643.795745667</v>
      </c>
      <c r="E22" s="14">
        <f>'Fleet Types'!K33</f>
        <v>0.17762777296234131</v>
      </c>
      <c r="F22" s="58">
        <f>MIN(MAX(((1+Dedicate!$E23*M$7)*(1+Connect!$E23*M27)*(1+Curb!$I23*M$8)*(1+VMT_fee!$K23*M$10)*(1+NOVMT!$K23*M$11)*(1+Pricing!$I24*M$12)-1)*M$14,0),1)</f>
        <v>0.88464379988989705</v>
      </c>
      <c r="G22" s="14">
        <f t="shared" si="0"/>
        <v>0.10228007260430517</v>
      </c>
      <c r="H22" s="18">
        <f t="shared" si="1"/>
        <v>212810.9212271572</v>
      </c>
    </row>
    <row r="23" spans="1:8" x14ac:dyDescent="0.25">
      <c r="A23">
        <f t="shared" si="3"/>
        <v>20</v>
      </c>
      <c r="B23">
        <f t="shared" si="3"/>
        <v>2037</v>
      </c>
      <c r="C23" s="81">
        <f>Miles!E23</f>
        <v>11146386.261103891</v>
      </c>
      <c r="D23" s="19">
        <f>Miles!M23</f>
        <v>11971325.50154886</v>
      </c>
      <c r="E23" s="14">
        <f>'Fleet Types'!K34</f>
        <v>0.20238295281577745</v>
      </c>
      <c r="F23" s="58">
        <f>MIN(MAX(((1+Dedicate!$E24*M$7)*(1+Connect!$E24*M28)*(1+Curb!$I24*M$8)*(1+VMT_fee!$K24*M$10)*(1+NOVMT!$K24*M$11)*(1+Pricing!$I25*M$12)-1)*M$14,0),1)</f>
        <v>0.88464379988989705</v>
      </c>
      <c r="G23" s="14">
        <f t="shared" si="0"/>
        <v>0.10228007260430517</v>
      </c>
      <c r="H23" s="18">
        <f t="shared" si="1"/>
        <v>247803.36254277101</v>
      </c>
    </row>
    <row r="24" spans="1:8" x14ac:dyDescent="0.25">
      <c r="A24">
        <f t="shared" si="3"/>
        <v>21</v>
      </c>
      <c r="B24">
        <f t="shared" si="3"/>
        <v>2038</v>
      </c>
      <c r="C24" s="81">
        <f>Miles!E24</f>
        <v>11313582.055020448</v>
      </c>
      <c r="D24" s="19">
        <f>Miles!M24</f>
        <v>12668955.074117862</v>
      </c>
      <c r="E24" s="14">
        <f>'Fleet Types'!K35</f>
        <v>0.22912557761797292</v>
      </c>
      <c r="F24" s="58">
        <f>MIN(MAX(((1+Dedicate!$E25*M$7)*(1+Connect!$E25*M29)*(1+Curb!$I25*M$8)*(1+VMT_fee!$K25*M$10)*(1+NOVMT!$K25*M$11)*(1+Pricing!$I26*M$12)-1)*M$14,0),1)</f>
        <v>0.88464379988989705</v>
      </c>
      <c r="G24" s="14">
        <f t="shared" si="0"/>
        <v>0.10228007260430517</v>
      </c>
      <c r="H24" s="18">
        <f t="shared" si="1"/>
        <v>296896.71783190046</v>
      </c>
    </row>
    <row r="25" spans="1:8" x14ac:dyDescent="0.25">
      <c r="A25">
        <f t="shared" si="3"/>
        <v>22</v>
      </c>
      <c r="B25">
        <f t="shared" si="3"/>
        <v>2039</v>
      </c>
      <c r="C25" s="81">
        <f>Miles!E25</f>
        <v>11483285.785845753</v>
      </c>
      <c r="D25" s="19">
        <f>Miles!M25</f>
        <v>12966786.462505445</v>
      </c>
      <c r="E25" s="14">
        <f>'Fleet Types'!K36</f>
        <v>0.25744722559897132</v>
      </c>
      <c r="F25" s="58">
        <f>MIN(MAX(((1+Dedicate!$E26*M$7)*(1+Connect!$E26*M30)*(1+Curb!$I26*M$8)*(1+VMT_fee!$K26*M$10)*(1+NOVMT!$K26*M$11)*(1+Pricing!$I27*M$12)-1)*M$14,0),1)</f>
        <v>0.88464379988989705</v>
      </c>
      <c r="G25" s="14">
        <f t="shared" si="0"/>
        <v>0.10228007260430517</v>
      </c>
      <c r="H25" s="18">
        <f t="shared" si="1"/>
        <v>341437.80243824318</v>
      </c>
    </row>
    <row r="26" spans="1:8" x14ac:dyDescent="0.25">
      <c r="A26">
        <f t="shared" si="3"/>
        <v>23</v>
      </c>
      <c r="B26">
        <f t="shared" si="3"/>
        <v>2040</v>
      </c>
      <c r="C26" s="81">
        <f>Miles!E26</f>
        <v>11655535.072633438</v>
      </c>
      <c r="D26" s="19">
        <f>Miles!M26</f>
        <v>13278325.306379203</v>
      </c>
      <c r="E26" s="14">
        <f>'Fleet Types'!K37</f>
        <v>0.28769389790587646</v>
      </c>
      <c r="F26" s="58">
        <f>MIN(MAX(((1+Dedicate!$E27*M$7)*(1+Connect!$E27*M31)*(1+Curb!$I27*M$8)*(1+VMT_fee!$K27*M$10)*(1+NOVMT!$K27*M$11)*(1+Pricing!$I28*M$12)-1)*M$14,0),1)</f>
        <v>0.88464379988989705</v>
      </c>
      <c r="G26" s="14">
        <f t="shared" si="0"/>
        <v>0.10228007260430517</v>
      </c>
      <c r="H26" s="18">
        <f t="shared" si="1"/>
        <v>390719.40627698158</v>
      </c>
    </row>
    <row r="27" spans="1:8" x14ac:dyDescent="0.25">
      <c r="A27">
        <f t="shared" si="3"/>
        <v>24</v>
      </c>
      <c r="B27">
        <f t="shared" si="3"/>
        <v>2041</v>
      </c>
      <c r="C27" s="81">
        <f>Miles!E27</f>
        <v>11830368.098722938</v>
      </c>
      <c r="D27" s="19">
        <f>Miles!M27</f>
        <v>13596338.886852752</v>
      </c>
      <c r="E27" s="14">
        <f>'Fleet Types'!K38</f>
        <v>0.31978659751425065</v>
      </c>
      <c r="F27" s="58">
        <f>MIN(MAX(((1+Dedicate!$E28*M$7)*(1+Connect!$E28*M32)*(1+Curb!$I28*M$8)*(1+VMT_fee!$K28*M$10)*(1+NOVMT!$K28*M$11)*(1+Pricing!$I29*M$12)-1)*M$14,0),1)</f>
        <v>0.88464379988989705</v>
      </c>
      <c r="G27" s="14">
        <f t="shared" si="0"/>
        <v>0.10228007260430517</v>
      </c>
      <c r="H27" s="18">
        <f t="shared" si="1"/>
        <v>444706.28425486118</v>
      </c>
    </row>
    <row r="28" spans="1:8" x14ac:dyDescent="0.25">
      <c r="A28">
        <f t="shared" si="3"/>
        <v>25</v>
      </c>
      <c r="B28">
        <f t="shared" si="3"/>
        <v>2042</v>
      </c>
      <c r="C28" s="81">
        <f>Miles!E28</f>
        <v>12007823.620203782</v>
      </c>
      <c r="D28" s="19">
        <f>Miles!M28</f>
        <v>13928319.561030705</v>
      </c>
      <c r="E28" s="14">
        <f>'Fleet Types'!K39</f>
        <v>0.35358808179543744</v>
      </c>
      <c r="F28" s="58">
        <f>MIN(MAX(((1+Dedicate!$E29*M$7)*(1+Connect!$E29*M33)*(1+Curb!$I29*M$8)*(1+VMT_fee!$K29*M$10)*(1+NOVMT!$K29*M$11)*(1+Pricing!$I30*M$12)-1)*M$14,0),1)</f>
        <v>0.88464379988989705</v>
      </c>
      <c r="G28" s="14">
        <f t="shared" si="0"/>
        <v>0.10228007260430517</v>
      </c>
      <c r="H28" s="18">
        <f t="shared" si="1"/>
        <v>503717.88136530673</v>
      </c>
    </row>
    <row r="29" spans="1:8" x14ac:dyDescent="0.25">
      <c r="A29">
        <f t="shared" si="3"/>
        <v>26</v>
      </c>
      <c r="B29">
        <f t="shared" si="3"/>
        <v>2043</v>
      </c>
      <c r="C29" s="81">
        <f>Miles!E29</f>
        <v>12187940.974506838</v>
      </c>
      <c r="D29" s="19">
        <f>Miles!M29</f>
        <v>14274583.916582629</v>
      </c>
      <c r="E29" s="14">
        <f>'Fleet Types'!K40</f>
        <v>0.38889983696345565</v>
      </c>
      <c r="F29" s="58">
        <f>MIN(MAX(((1+Dedicate!$E30*M$7)*(1+Connect!$E30*M34)*(1+Curb!$I30*M$8)*(1+VMT_fee!$K30*M$10)*(1+NOVMT!$K30*M$11)*(1+Pricing!$I31*M$12)-1)*M$14,0),1)</f>
        <v>0.88464379988989705</v>
      </c>
      <c r="G29" s="14">
        <f t="shared" si="0"/>
        <v>0.10228007260430517</v>
      </c>
      <c r="H29" s="18">
        <f t="shared" si="1"/>
        <v>567795.89289831324</v>
      </c>
    </row>
    <row r="30" spans="1:8" x14ac:dyDescent="0.25">
      <c r="A30">
        <f t="shared" si="3"/>
        <v>27</v>
      </c>
      <c r="B30">
        <f t="shared" si="3"/>
        <v>2044</v>
      </c>
      <c r="C30" s="81">
        <f>Miles!E30</f>
        <v>12370760.089124439</v>
      </c>
      <c r="D30" s="19">
        <f>Miles!M30</f>
        <v>14635000.988104038</v>
      </c>
      <c r="E30" s="14">
        <f>'Fleet Types'!K41</f>
        <v>0.4254634411800034</v>
      </c>
      <c r="F30" s="58">
        <f>MIN(MAX(((1+Dedicate!$E31*M$7)*(1+Connect!$E31*L35)*(1+Curb!$I31*M$8)*(1+VMT_fee!$K31*M$10)*(1+NOVMT!$K31*M$11)*(1+Pricing!$I32*M$12)-1)*M$14,0),1)</f>
        <v>1</v>
      </c>
      <c r="G30" s="14">
        <f t="shared" si="0"/>
        <v>0.10531732418524871</v>
      </c>
      <c r="H30" s="18">
        <f t="shared" si="1"/>
        <v>655774.94675675768</v>
      </c>
    </row>
    <row r="31" spans="1:8" x14ac:dyDescent="0.25">
      <c r="A31">
        <f t="shared" si="3"/>
        <v>28</v>
      </c>
      <c r="B31">
        <f t="shared" si="3"/>
        <v>2045</v>
      </c>
      <c r="C31" s="81">
        <f>Miles!E31</f>
        <v>12556321.490461305</v>
      </c>
      <c r="D31" s="19">
        <f>Miles!M31</f>
        <v>15008999.916511279</v>
      </c>
      <c r="E31" s="14">
        <f>'Fleet Types'!K42</f>
        <v>0.46296706897001416</v>
      </c>
      <c r="F31" s="58">
        <f>MIN(MAX(((1+Dedicate!$E32*M$7)*(1+Connect!$E32*M36)*(1+Curb!$I32*M$8)*(1+VMT_fee!$K32*M$10)*(1+NOVMT!$K32*M$11)*(1+Pricing!$I33*M$12)-1)*M$14,0),1)</f>
        <v>0.88464379988989705</v>
      </c>
      <c r="G31" s="14">
        <f t="shared" si="0"/>
        <v>0.10228007260430517</v>
      </c>
      <c r="H31" s="18">
        <f t="shared" si="1"/>
        <v>710710.74821029662</v>
      </c>
    </row>
    <row r="32" spans="1:8" x14ac:dyDescent="0.25">
      <c r="A32">
        <f t="shared" si="3"/>
        <v>29</v>
      </c>
      <c r="B32">
        <f t="shared" si="3"/>
        <v>2046</v>
      </c>
      <c r="C32" s="81">
        <f>Miles!E32</f>
        <v>12744666.312818222</v>
      </c>
      <c r="D32" s="19">
        <f>Miles!M32</f>
        <v>15395610.857580008</v>
      </c>
      <c r="E32" s="14">
        <f>'Fleet Types'!K43</f>
        <v>0.50105720145571386</v>
      </c>
      <c r="F32" s="58">
        <f>MIN(MAX(((1+Dedicate!$E33*M$7)*(1+Connect!$E33*M37)*(1+Curb!$I33*M$8)*(1+VMT_fee!$K33*M$10)*(1+NOVMT!$K33*M$11)*(1+Pricing!$I34*M$12)-1)*M$14,0),1)</f>
        <v>0.88464379988989705</v>
      </c>
      <c r="G32" s="14">
        <f t="shared" si="0"/>
        <v>0.10228007260430517</v>
      </c>
      <c r="H32" s="18">
        <f t="shared" si="1"/>
        <v>788996.83543104597</v>
      </c>
    </row>
    <row r="33" spans="1:16" x14ac:dyDescent="0.25">
      <c r="A33">
        <f t="shared" si="3"/>
        <v>30</v>
      </c>
      <c r="B33">
        <f t="shared" si="3"/>
        <v>2047</v>
      </c>
      <c r="C33" s="81">
        <f>Miles!E33</f>
        <v>12935836.307510495</v>
      </c>
      <c r="D33" s="19">
        <f>Miles!M33</f>
        <v>15793536.04381427</v>
      </c>
      <c r="E33" s="14">
        <f>'Fleet Types'!K44</f>
        <v>0.53935475592949655</v>
      </c>
      <c r="F33" s="58">
        <f>MIN(MAX(((1+Dedicate!$E34*M$7)*(1+Connect!$E34*M38)*(1+Curb!$I34*M$8)*(1+VMT_fee!$K34*M$10)*(1+NOVMT!$K34*M$11)*(1+Pricing!$I35*M$12)-1)*M$14,0),1)</f>
        <v>0.88464379988989705</v>
      </c>
      <c r="G33" s="14">
        <f t="shared" si="0"/>
        <v>0.10228007260430517</v>
      </c>
      <c r="H33" s="18">
        <f t="shared" si="1"/>
        <v>871254.26309837075</v>
      </c>
    </row>
    <row r="34" spans="1:16" x14ac:dyDescent="0.25">
      <c r="A34">
        <f t="shared" si="3"/>
        <v>31</v>
      </c>
      <c r="B34">
        <f t="shared" si="3"/>
        <v>2048</v>
      </c>
      <c r="C34" s="81">
        <f>Miles!E34</f>
        <v>13129873.852123151</v>
      </c>
      <c r="D34" s="19">
        <f>Miles!M34</f>
        <v>16201243.888795935</v>
      </c>
      <c r="E34" s="14">
        <f>'Fleet Types'!K45</f>
        <v>0.57747403363707095</v>
      </c>
      <c r="F34" s="58">
        <f>MIN(MAX(((1+Dedicate!$E35*M$7)*(1+Connect!$E35*M39)*(1+Curb!$I35*M$8)*(1+VMT_fee!$K35*M$10)*(1+NOVMT!$K35*M$11)*(1+Pricing!$I36*M$12)-1)*M$14,0),1)</f>
        <v>0.88464379988989705</v>
      </c>
      <c r="G34" s="14">
        <f t="shared" si="0"/>
        <v>0.10228007260430517</v>
      </c>
      <c r="H34" s="18">
        <f t="shared" si="1"/>
        <v>956911.66377243586</v>
      </c>
    </row>
    <row r="35" spans="1:16" x14ac:dyDescent="0.25">
      <c r="A35">
        <f t="shared" si="3"/>
        <v>32</v>
      </c>
      <c r="B35">
        <f t="shared" si="3"/>
        <v>2049</v>
      </c>
      <c r="C35" s="81">
        <f>Miles!E35</f>
        <v>13326821.959904997</v>
      </c>
      <c r="D35" s="19">
        <f>Miles!M35</f>
        <v>16617075.766685985</v>
      </c>
      <c r="E35" s="14">
        <f>'Fleet Types'!K46</f>
        <v>0.61504233137631759</v>
      </c>
      <c r="F35" s="58">
        <f>MIN(MAX(((1+Dedicate!$E36*M$7)*(1+Connect!$E36*M40)*(1+Curb!$I36*M$8)*(1+VMT_fee!$K36*M$10)*(1+NOVMT!$K36*M$11)*(1+Pricing!$I37*M$12)-1)*M$14,0),1)</f>
        <v>0.88464379988989705</v>
      </c>
      <c r="G35" s="14">
        <f t="shared" si="0"/>
        <v>0.10228007260430517</v>
      </c>
      <c r="H35" s="18">
        <f t="shared" si="1"/>
        <v>1045323.3114968849</v>
      </c>
      <c r="K35" s="12" t="s">
        <v>118</v>
      </c>
      <c r="L35" s="10">
        <v>2040</v>
      </c>
      <c r="O35" s="12" t="s">
        <v>270</v>
      </c>
      <c r="P35" s="18">
        <f>VLOOKUP(L35,B4:H56,7)</f>
        <v>390719.40627698158</v>
      </c>
    </row>
    <row r="36" spans="1:16" x14ac:dyDescent="0.25">
      <c r="A36">
        <f t="shared" si="3"/>
        <v>33</v>
      </c>
      <c r="B36">
        <f t="shared" si="3"/>
        <v>2050</v>
      </c>
      <c r="C36" s="81">
        <f>Miles!E36</f>
        <v>13526724.289303569</v>
      </c>
      <c r="D36" s="19">
        <f>Miles!M36</f>
        <v>17039353.558200415</v>
      </c>
      <c r="E36" s="14">
        <f>'Fleet Types'!K47</f>
        <v>0.65171793659829091</v>
      </c>
      <c r="F36" s="58">
        <f>MIN(MAX(((1+Dedicate!$E37*M$7)*(1+Connect!$E37*M41)*(1+Curb!$I37*M$8)*(1+VMT_fee!$K37*M$10)*(1+NOVMT!$K37*M$11)*(1+Pricing!$I38*M$12)-1)*M$14,0),1)</f>
        <v>0.88464379988989705</v>
      </c>
      <c r="G36" s="14">
        <f t="shared" si="0"/>
        <v>0.10228007260430517</v>
      </c>
      <c r="H36" s="18">
        <f t="shared" si="1"/>
        <v>1135805.1037915759</v>
      </c>
    </row>
    <row r="37" spans="1:16" x14ac:dyDescent="0.25">
      <c r="A37">
        <f t="shared" si="3"/>
        <v>34</v>
      </c>
      <c r="B37">
        <f t="shared" si="3"/>
        <v>2051</v>
      </c>
      <c r="C37" s="81">
        <f>Miles!E37</f>
        <v>13729625.15364312</v>
      </c>
      <c r="D37" s="19">
        <f>Miles!M37</f>
        <v>17462525.763250858</v>
      </c>
      <c r="E37" s="14">
        <f>'Fleet Types'!K48</f>
        <v>0.68649180113947272</v>
      </c>
      <c r="F37" s="58">
        <f>MIN(MAX(((1+Dedicate!$E38*M$7)*(1+Connect!$E38*M42)*(1+Curb!$I38*M$8)*(1+VMT_fee!$K38*M$10)*(1+NOVMT!$K38*M$11)*(1+Pricing!$I39*M$12)-1)*M$14,0),1)</f>
        <v>0.88464379988989705</v>
      </c>
      <c r="G37" s="14">
        <f t="shared" si="0"/>
        <v>0.10228007260430517</v>
      </c>
      <c r="H37" s="18">
        <f t="shared" si="1"/>
        <v>1226121.3148787476</v>
      </c>
    </row>
    <row r="38" spans="1:16" x14ac:dyDescent="0.25">
      <c r="A38">
        <f t="shared" ref="A38:B53" si="4">A37+1</f>
        <v>35</v>
      </c>
      <c r="B38">
        <f t="shared" si="4"/>
        <v>2052</v>
      </c>
      <c r="C38" s="81">
        <f>Miles!E38</f>
        <v>13935569.530947767</v>
      </c>
      <c r="D38" s="19">
        <f>Miles!M38</f>
        <v>17885894.701941483</v>
      </c>
      <c r="E38" s="14">
        <f>'Fleet Types'!K49</f>
        <v>0.71926953903480695</v>
      </c>
      <c r="F38" s="58">
        <f>MIN(MAX(((1+Dedicate!$E39*M$7)*(1+Connect!$E39*M43)*(1+Curb!$I39*M$8)*(1+VMT_fee!$K39*M$10)*(1+NOVMT!$K39*M$11)*(1+Pricing!$I40*M$12)-1)*M$14,0),1)</f>
        <v>0.88464379988989705</v>
      </c>
      <c r="G38" s="14">
        <f t="shared" si="0"/>
        <v>0.10228007260430517</v>
      </c>
      <c r="H38" s="18">
        <f t="shared" si="1"/>
        <v>1315810.5544488907</v>
      </c>
    </row>
    <row r="39" spans="1:16" x14ac:dyDescent="0.25">
      <c r="A39">
        <f t="shared" si="4"/>
        <v>36</v>
      </c>
      <c r="B39">
        <f t="shared" si="4"/>
        <v>2053</v>
      </c>
      <c r="C39" s="81">
        <f>Miles!E39</f>
        <v>14144603.07391198</v>
      </c>
      <c r="D39" s="19">
        <f>Miles!M39</f>
        <v>18310716.537693527</v>
      </c>
      <c r="E39" s="14">
        <f>'Fleet Types'!K50</f>
        <v>0.75032964728775364</v>
      </c>
      <c r="F39" s="58">
        <f>MIN(MAX(((1+Dedicate!$E40*M$7)*(1+Connect!$E40*M44)*(1+Curb!$I40*M$8)*(1+VMT_fee!$K40*M$10)*(1+NOVMT!$K40*M$11)*(1+Pricing!$I41*M$12)-1)*M$14,0),1)</f>
        <v>0.88464379988989705</v>
      </c>
      <c r="G39" s="14">
        <f t="shared" si="0"/>
        <v>0.10228007260430517</v>
      </c>
      <c r="H39" s="18">
        <f t="shared" si="1"/>
        <v>1405233.4331846412</v>
      </c>
    </row>
    <row r="40" spans="1:16" x14ac:dyDescent="0.25">
      <c r="A40">
        <f t="shared" si="4"/>
        <v>37</v>
      </c>
      <c r="B40">
        <f t="shared" si="4"/>
        <v>2054</v>
      </c>
      <c r="C40" s="81">
        <f>Miles!E40</f>
        <v>14356772.120020658</v>
      </c>
      <c r="D40" s="19">
        <f>Miles!M40</f>
        <v>18736001.835862275</v>
      </c>
      <c r="E40" s="14">
        <f>'Fleet Types'!K51</f>
        <v>0.77955916635244238</v>
      </c>
      <c r="F40" s="58">
        <f>MIN(MAX(((1+Dedicate!$E41*M$7)*(1+Connect!$E41*M45)*(1+Curb!$I41*M$8)*(1+VMT_fee!$K41*M$10)*(1+NOVMT!$K41*M$11)*(1+Pricing!$I42*M$12)-1)*M$14,0),1)</f>
        <v>0.88464379988989705</v>
      </c>
      <c r="G40" s="14">
        <f t="shared" si="0"/>
        <v>0.10228007260430517</v>
      </c>
      <c r="H40" s="18">
        <f t="shared" si="1"/>
        <v>1493884.5317358475</v>
      </c>
    </row>
    <row r="41" spans="1:16" x14ac:dyDescent="0.25">
      <c r="A41">
        <f t="shared" si="4"/>
        <v>38</v>
      </c>
      <c r="B41">
        <f t="shared" si="4"/>
        <v>2055</v>
      </c>
      <c r="C41" s="81">
        <f>Miles!E41</f>
        <v>14572123.701820968</v>
      </c>
      <c r="D41" s="19">
        <f>Miles!M41</f>
        <v>19161013.02105638</v>
      </c>
      <c r="E41" s="14">
        <f>'Fleet Types'!K52</f>
        <v>0.80690039783816514</v>
      </c>
      <c r="F41" s="58">
        <f>MIN(MAX(((1+Dedicate!$E42*M$7)*(1+Connect!$E42*M46)*(1+Curb!$I42*M$8)*(1+VMT_fee!$K42*M$10)*(1+NOVMT!$K42*M$11)*(1+Pricing!$I43*M$12)-1)*M$14,0),1)</f>
        <v>0.88464379988989705</v>
      </c>
      <c r="G41" s="14">
        <f t="shared" si="0"/>
        <v>0.10228007260430517</v>
      </c>
      <c r="H41" s="18">
        <f t="shared" si="1"/>
        <v>1581355.1716921893</v>
      </c>
    </row>
    <row r="42" spans="1:16" x14ac:dyDescent="0.25">
      <c r="A42">
        <f t="shared" si="4"/>
        <v>39</v>
      </c>
      <c r="B42">
        <f t="shared" si="4"/>
        <v>2056</v>
      </c>
      <c r="C42" s="81">
        <f>Miles!E42</f>
        <v>14790705.557348281</v>
      </c>
      <c r="D42" s="19">
        <f>Miles!M42</f>
        <v>19585251.749437764</v>
      </c>
      <c r="E42" s="14">
        <f>'Fleet Types'!K53</f>
        <v>0.83234364133501249</v>
      </c>
      <c r="F42" s="58">
        <f>MIN(MAX(((1+Dedicate!$E43*M$7)*(1+Connect!$E43*M47)*(1+Curb!$I43*M$8)*(1+VMT_fee!$K43*M$10)*(1+NOVMT!$K43*M$11)*(1+Pricing!$I44*M$12)-1)*M$14,0),1)</f>
        <v>0.88464379988989705</v>
      </c>
      <c r="G42" s="14">
        <f t="shared" si="0"/>
        <v>0.10228007260430517</v>
      </c>
      <c r="H42" s="18">
        <f t="shared" si="1"/>
        <v>1667334.9435769804</v>
      </c>
    </row>
    <row r="43" spans="1:16" x14ac:dyDescent="0.25">
      <c r="A43">
        <f t="shared" si="4"/>
        <v>40</v>
      </c>
      <c r="B43">
        <f t="shared" si="4"/>
        <v>2057</v>
      </c>
      <c r="C43" s="81">
        <f>Miles!E43</f>
        <v>15012566.140708504</v>
      </c>
      <c r="D43" s="19">
        <f>Miles!M43</f>
        <v>20008434.29327327</v>
      </c>
      <c r="E43" s="14">
        <f>'Fleet Types'!K54</f>
        <v>0.85591860987367796</v>
      </c>
      <c r="F43" s="58">
        <f>MIN(MAX(((1+Dedicate!$E44*M$7)*(1+Connect!$E44*M48)*(1+Curb!$I44*M$8)*(1+VMT_fee!$K44*M$10)*(1+NOVMT!$K44*M$11)*(1+Pricing!$I45*M$12)-1)*M$14,0),1)</f>
        <v>0.88464379988989705</v>
      </c>
      <c r="G43" s="14">
        <f t="shared" si="0"/>
        <v>0.10228007260430517</v>
      </c>
      <c r="H43" s="18">
        <f t="shared" si="1"/>
        <v>1751606.7180829707</v>
      </c>
    </row>
    <row r="44" spans="1:16" x14ac:dyDescent="0.25">
      <c r="A44">
        <f t="shared" si="4"/>
        <v>41</v>
      </c>
      <c r="B44">
        <f t="shared" si="4"/>
        <v>2058</v>
      </c>
      <c r="C44" s="81">
        <f>Miles!E44</f>
        <v>15237754.632819129</v>
      </c>
      <c r="D44" s="19">
        <f>Miles!M44</f>
        <v>20430460.26410044</v>
      </c>
      <c r="E44" s="14">
        <f>'Fleet Types'!K55</f>
        <v>0.87768557199345365</v>
      </c>
      <c r="F44" s="58">
        <f>MIN(MAX(((1+Dedicate!$E45*M$7)*(1+Connect!$E45*M49)*(1+Curb!$I45*M$8)*(1+VMT_fee!$K45*M$10)*(1+NOVMT!$K45*M$11)*(1+Pricing!$I46*M$12)-1)*M$14,0),1)</f>
        <v>0.88464379988989705</v>
      </c>
      <c r="G44" s="14">
        <f t="shared" si="0"/>
        <v>0.10228007260430517</v>
      </c>
      <c r="H44" s="18">
        <f t="shared" si="1"/>
        <v>1834037.1882670263</v>
      </c>
    </row>
    <row r="45" spans="1:16" x14ac:dyDescent="0.25">
      <c r="A45">
        <f t="shared" si="4"/>
        <v>42</v>
      </c>
      <c r="B45">
        <f t="shared" si="4"/>
        <v>2059</v>
      </c>
      <c r="C45" s="81">
        <f>Miles!E45</f>
        <v>15466320.952311415</v>
      </c>
      <c r="D45" s="19">
        <f>Miles!M45</f>
        <v>20851379.073307693</v>
      </c>
      <c r="E45" s="14">
        <f>'Fleet Types'!K56</f>
        <v>0.89772698841068277</v>
      </c>
      <c r="F45" s="58">
        <f>MIN(MAX(((1+Dedicate!$E46*M$7)*(1+Connect!$E46*M50)*(1+Curb!$I46*M$8)*(1+VMT_fee!$K46*M$10)*(1+NOVMT!$K46*M$11)*(1+Pricing!$I47*M$12)-1)*M$14,0),1)</f>
        <v>0.88464379988989705</v>
      </c>
      <c r="G45" s="14">
        <f t="shared" si="0"/>
        <v>0.10228007260430517</v>
      </c>
      <c r="H45" s="18">
        <f t="shared" si="1"/>
        <v>1914564.9013242866</v>
      </c>
    </row>
    <row r="46" spans="1:16" x14ac:dyDescent="0.25">
      <c r="A46">
        <f t="shared" si="4"/>
        <v>43</v>
      </c>
      <c r="B46">
        <f t="shared" si="4"/>
        <v>2060</v>
      </c>
      <c r="C46" s="81">
        <f>Miles!E46</f>
        <v>15698315.766596086</v>
      </c>
      <c r="D46" s="19">
        <f>Miles!M46</f>
        <v>21271357.340837933</v>
      </c>
      <c r="E46" s="14">
        <f>'Fleet Types'!K57</f>
        <v>0.91614012249413823</v>
      </c>
      <c r="F46" s="58">
        <f>MIN(MAX(((1+Dedicate!$E47*M$7)*(1+Connect!$E47*M51)*(1+Curb!$I47*M$8)*(1+VMT_fee!$K47*M$10)*(1+NOVMT!$K47*M$11)*(1+Pricing!$I48*M$12)-1)*M$14,0),1)</f>
        <v>0.88464379988989705</v>
      </c>
      <c r="G46" s="14">
        <f t="shared" si="0"/>
        <v>0.10228007260430517</v>
      </c>
      <c r="H46" s="18">
        <f t="shared" si="1"/>
        <v>1993187.4070020332</v>
      </c>
    </row>
    <row r="47" spans="1:16" x14ac:dyDescent="0.25">
      <c r="A47">
        <f t="shared" si="4"/>
        <v>44</v>
      </c>
      <c r="B47">
        <f t="shared" si="4"/>
        <v>2061</v>
      </c>
      <c r="C47" s="81">
        <f>Miles!E47</f>
        <v>15933790.503095025</v>
      </c>
      <c r="D47" s="19">
        <f>Miles!M47</f>
        <v>21690649.298457578</v>
      </c>
      <c r="E47" s="14">
        <f>'Fleet Types'!K58</f>
        <v>0.93303085555149889</v>
      </c>
      <c r="F47" s="58">
        <f>MIN(MAX(((1+Dedicate!$E48*M$7)*(1+Connect!$E48*M52)*(1+Curb!$I48*M$8)*(1+VMT_fee!$K48*M$10)*(1+NOVMT!$K48*M$11)*(1+Pricing!$I49*M$12)-1)*M$14,0),1)</f>
        <v>0.88464379988989705</v>
      </c>
      <c r="G47" s="14">
        <f t="shared" si="0"/>
        <v>0.10228007260430517</v>
      </c>
      <c r="H47" s="18">
        <f t="shared" si="1"/>
        <v>2069948.719375029</v>
      </c>
    </row>
    <row r="48" spans="1:16" x14ac:dyDescent="0.25">
      <c r="A48">
        <f t="shared" si="4"/>
        <v>45</v>
      </c>
      <c r="B48">
        <f t="shared" si="4"/>
        <v>2062</v>
      </c>
      <c r="C48" s="81">
        <f>Miles!E48</f>
        <v>16172797.36064145</v>
      </c>
      <c r="D48" s="19">
        <f>Miles!M48</f>
        <v>22109571.257632837</v>
      </c>
      <c r="E48" s="14">
        <f>'Fleet Types'!K59</f>
        <v>0.94850875204038743</v>
      </c>
      <c r="F48" s="58">
        <f>MIN(MAX(((1+Dedicate!$E49*M$7)*(1+Connect!$E49*M53)*(1+Curb!$I49*M$8)*(1+VMT_fee!$K49*M$10)*(1+NOVMT!$K49*M$11)*(1+Pricing!$I50*M$12)-1)*M$14,0),1)</f>
        <v>0.88464379988989705</v>
      </c>
      <c r="G48" s="14">
        <f t="shared" si="0"/>
        <v>0.10228007260430517</v>
      </c>
      <c r="H48" s="18">
        <f t="shared" si="1"/>
        <v>2144927.8645653981</v>
      </c>
    </row>
    <row r="49" spans="1:8" x14ac:dyDescent="0.25">
      <c r="A49">
        <f t="shared" si="4"/>
        <v>46</v>
      </c>
      <c r="B49">
        <f t="shared" si="4"/>
        <v>2063</v>
      </c>
      <c r="C49" s="81">
        <f>Miles!E49</f>
        <v>16415389.32105107</v>
      </c>
      <c r="D49" s="19">
        <f>Miles!M49</f>
        <v>22528480.485594798</v>
      </c>
      <c r="E49" s="14">
        <f>'Fleet Types'!K60</f>
        <v>0.96268329786296702</v>
      </c>
      <c r="F49" s="58">
        <f>MIN(MAX(((1+Dedicate!$E50*M$7)*(1+Connect!$E50*M54)*(1+Curb!$I50*M$8)*(1+VMT_fee!$K50*M$10)*(1+NOVMT!$K50*M$11)*(1+Pricing!$I51*M$12)-1)*M$14,0),1)</f>
        <v>0.88464379988989705</v>
      </c>
      <c r="G49" s="14">
        <f t="shared" si="0"/>
        <v>0.10228007260430517</v>
      </c>
      <c r="H49" s="18">
        <f t="shared" si="1"/>
        <v>2218228.9291069983</v>
      </c>
    </row>
    <row r="50" spans="1:8" x14ac:dyDescent="0.25">
      <c r="A50">
        <f t="shared" si="4"/>
        <v>47</v>
      </c>
      <c r="B50">
        <f t="shared" si="4"/>
        <v>2064</v>
      </c>
      <c r="C50" s="81">
        <f>Miles!E50</f>
        <v>16661620.160866836</v>
      </c>
      <c r="D50" s="19">
        <f>Miles!M50</f>
        <v>22947758.350682326</v>
      </c>
      <c r="E50" s="14">
        <f>'Fleet Types'!K61</f>
        <v>0.97566116720641405</v>
      </c>
      <c r="F50" s="58">
        <f>MIN(MAX(((1+Dedicate!$E51*M$7)*(1+Connect!$E51*M55)*(1+Curb!$I51*M$8)*(1+VMT_fee!$K51*M$10)*(1+NOVMT!$K51*M$11)*(1+Pricing!$I52*M$12)-1)*M$14,0),1)</f>
        <v>0.88464379988989705</v>
      </c>
      <c r="G50" s="14">
        <f t="shared" si="0"/>
        <v>0.10228007260430517</v>
      </c>
      <c r="H50" s="18">
        <f t="shared" si="1"/>
        <v>2289972.7549443292</v>
      </c>
    </row>
    <row r="51" spans="1:8" x14ac:dyDescent="0.25">
      <c r="A51">
        <f t="shared" si="4"/>
        <v>48</v>
      </c>
      <c r="B51">
        <f t="shared" si="4"/>
        <v>2065</v>
      </c>
      <c r="C51" s="81">
        <f>Miles!E51</f>
        <v>16911544.46327984</v>
      </c>
      <c r="D51" s="19">
        <f>Miles!M51</f>
        <v>23367797.318263471</v>
      </c>
      <c r="E51" s="14">
        <f>'Fleet Types'!K62</f>
        <v>0.98754434605529118</v>
      </c>
      <c r="F51" s="58">
        <f>MIN(MAX(((1+Dedicate!$E52*M$7)*(1+Connect!$E52*M56)*(1+Curb!$I52*M$8)*(1+VMT_fee!$K52*M$10)*(1+NOVMT!$K52*M$11)*(1+Pricing!$I53*M$12)-1)*M$14,0),1)</f>
        <v>0.88464379988989705</v>
      </c>
      <c r="G51" s="14">
        <f t="shared" si="0"/>
        <v>0.10228007260430517</v>
      </c>
      <c r="H51" s="18">
        <f t="shared" si="1"/>
        <v>2360290.2459689314</v>
      </c>
    </row>
    <row r="52" spans="1:8" x14ac:dyDescent="0.25">
      <c r="A52">
        <f t="shared" si="4"/>
        <v>49</v>
      </c>
      <c r="B52">
        <f t="shared" si="4"/>
        <v>2066</v>
      </c>
      <c r="C52" s="81">
        <f>Miles!E52</f>
        <v>17165217.630229034</v>
      </c>
      <c r="D52" s="19">
        <f>Miles!M52</f>
        <v>23844146.509851925</v>
      </c>
      <c r="E52" s="14">
        <f>'Fleet Types'!K63</f>
        <v>0.99842893988751713</v>
      </c>
      <c r="F52" s="58">
        <f>MIN(MAX(((1+Dedicate!$E53*M$7)*(1+Connect!$E53*M57)*(1+Curb!$I53*M$8)*(1+VMT_fee!$K53*M$10)*(1+NOVMT!$K53*M$11)*(1+Pricing!$I54*M$12)-1)*M$14,0),1)</f>
        <v>0.88464379988989705</v>
      </c>
      <c r="G52" s="14">
        <f t="shared" si="0"/>
        <v>0.10228007260430517</v>
      </c>
      <c r="H52" s="18">
        <f t="shared" si="1"/>
        <v>2434949.564606267</v>
      </c>
    </row>
    <row r="53" spans="1:8" x14ac:dyDescent="0.25">
      <c r="A53">
        <f t="shared" si="4"/>
        <v>50</v>
      </c>
      <c r="B53">
        <f t="shared" si="4"/>
        <v>2067</v>
      </c>
      <c r="C53" s="81">
        <f>Miles!E53</f>
        <v>17422695.894682467</v>
      </c>
      <c r="D53" s="19">
        <f>Miles!M53</f>
        <v>24222271.263047252</v>
      </c>
      <c r="E53" s="14">
        <f>'Fleet Types'!K64</f>
        <v>1</v>
      </c>
      <c r="F53" s="58">
        <f>MIN(MAX(((1+Dedicate!$E54*M$7)*(1+Connect!$E54*M58)*(1+Curb!$I54*M$8)*(1+VMT_fee!$K54*M$10)*(1+NOVMT!$K54*M$11)*(1+Pricing!$I55*M$12)-1)*M$14,0),1)</f>
        <v>0.88464379988989705</v>
      </c>
      <c r="G53" s="14">
        <f t="shared" si="0"/>
        <v>0.10228007260430517</v>
      </c>
      <c r="H53" s="18">
        <f t="shared" si="1"/>
        <v>2477455.6634256477</v>
      </c>
    </row>
    <row r="54" spans="1:8" x14ac:dyDescent="0.25">
      <c r="A54">
        <f t="shared" ref="A54:B56" si="5">A53+1</f>
        <v>51</v>
      </c>
      <c r="B54">
        <f t="shared" si="5"/>
        <v>2068</v>
      </c>
      <c r="C54" s="81">
        <f>Miles!E54</f>
        <v>17684036.333102703</v>
      </c>
      <c r="D54" s="19">
        <f>Miles!M54</f>
        <v>24571222.652473349</v>
      </c>
      <c r="E54" s="14">
        <f>'Fleet Types'!K65</f>
        <v>1</v>
      </c>
      <c r="F54" s="58">
        <f>MIN(MAX(((1+Dedicate!$E55*M$7)*(1+Connect!$E55*M59)*(1+Curb!$I55*M$8)*(1+VMT_fee!$K55*M$10)*(1+NOVMT!$K55*M$11)*(1+Pricing!$I56*M$12)-1)*M$14,0),1)</f>
        <v>0.88464379988989705</v>
      </c>
      <c r="G54" s="14">
        <f t="shared" si="0"/>
        <v>0.10228007260430517</v>
      </c>
      <c r="H54" s="18">
        <f t="shared" si="1"/>
        <v>2513146.4368715221</v>
      </c>
    </row>
    <row r="55" spans="1:8" x14ac:dyDescent="0.25">
      <c r="A55">
        <f t="shared" si="5"/>
        <v>52</v>
      </c>
      <c r="B55">
        <f t="shared" si="5"/>
        <v>2069</v>
      </c>
      <c r="C55" s="81">
        <f>Miles!E55</f>
        <v>17949296.878099244</v>
      </c>
      <c r="D55" s="19">
        <f>Miles!M55</f>
        <v>24927960.229962375</v>
      </c>
      <c r="E55" s="14">
        <f>'Fleet Types'!K66</f>
        <v>1</v>
      </c>
      <c r="F55" s="58">
        <f>MIN(MAX(((1+Dedicate!$E56*M$7)*(1+Connect!$E56*M60)*(1+Curb!$I56*M$8)*(1+VMT_fee!$K56*M$10)*(1+NOVMT!$K56*M$11)*(1+Pricing!$I57*M$12)-1)*M$14,0),1)</f>
        <v>0.88464379988989705</v>
      </c>
      <c r="G55" s="14">
        <f t="shared" si="0"/>
        <v>0.10228007260430517</v>
      </c>
      <c r="H55" s="18">
        <f t="shared" si="1"/>
        <v>2549633.5821977835</v>
      </c>
    </row>
    <row r="56" spans="1:8" x14ac:dyDescent="0.25">
      <c r="A56">
        <f t="shared" si="5"/>
        <v>53</v>
      </c>
      <c r="B56">
        <f t="shared" si="5"/>
        <v>2070</v>
      </c>
      <c r="C56" s="81">
        <f>Miles!E56</f>
        <v>18218536.331270728</v>
      </c>
      <c r="D56" s="19">
        <f>Miles!M56</f>
        <v>25292173.62536728</v>
      </c>
      <c r="E56" s="14">
        <f>'Fleet Types'!K67</f>
        <v>1</v>
      </c>
      <c r="F56" s="58">
        <f>MIN(MAX(((1+Dedicate!$E57*M$7)*(1+Connect!$E57*M61)*(1+Curb!$I57*M$8)*(1+VMT_fee!$K57*M$10)*(1+NOVMT!$K57*M$11)*(1+Pricing!$I58*M$12)-1)*M$14,0),1)</f>
        <v>0.88464379988989705</v>
      </c>
      <c r="G56" s="14">
        <f t="shared" si="0"/>
        <v>0.10228007260430517</v>
      </c>
      <c r="H56" s="18">
        <f t="shared" si="1"/>
        <v>2586885.3547232579</v>
      </c>
    </row>
  </sheetData>
  <mergeCells count="1"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P95"/>
  <sheetViews>
    <sheetView tabSelected="1" topLeftCell="F1" zoomScale="85" zoomScaleNormal="85" workbookViewId="0">
      <selection activeCell="Y14" sqref="Y14"/>
    </sheetView>
  </sheetViews>
  <sheetFormatPr defaultRowHeight="15" x14ac:dyDescent="0.25"/>
  <cols>
    <col min="1" max="1" width="22.140625" bestFit="1" customWidth="1"/>
    <col min="2" max="2" width="14.28515625" bestFit="1" customWidth="1"/>
    <col min="3" max="3" width="15" bestFit="1" customWidth="1"/>
    <col min="4" max="4" width="11.5703125" customWidth="1"/>
    <col min="5" max="5" width="11" bestFit="1" customWidth="1"/>
    <col min="6" max="6" width="8.5703125" customWidth="1"/>
    <col min="7" max="7" width="15" bestFit="1" customWidth="1"/>
    <col min="8" max="8" width="12.140625" customWidth="1"/>
    <col min="9" max="9" width="11.5703125" bestFit="1" customWidth="1"/>
    <col min="10" max="10" width="11.28515625" customWidth="1"/>
    <col min="11" max="12" width="12.42578125" customWidth="1"/>
    <col min="13" max="13" width="11.5703125" bestFit="1" customWidth="1"/>
    <col min="14" max="14" width="12.7109375" customWidth="1"/>
    <col min="15" max="15" width="11.85546875" customWidth="1"/>
    <col min="16" max="16" width="10.5703125" bestFit="1" customWidth="1"/>
  </cols>
  <sheetData>
    <row r="2" spans="1:16" x14ac:dyDescent="0.25">
      <c r="A2" s="7" t="s">
        <v>106</v>
      </c>
      <c r="H2" s="172" t="s">
        <v>209</v>
      </c>
      <c r="I2" s="172"/>
      <c r="J2" s="172"/>
      <c r="L2" s="95"/>
      <c r="M2" s="95"/>
      <c r="N2" s="173" t="s">
        <v>216</v>
      </c>
      <c r="O2" s="173" t="s">
        <v>20</v>
      </c>
      <c r="P2" s="95"/>
    </row>
    <row r="3" spans="1:16" x14ac:dyDescent="0.25">
      <c r="A3" t="s">
        <v>205</v>
      </c>
      <c r="B3">
        <v>2018</v>
      </c>
      <c r="C3" s="12"/>
      <c r="H3" s="49" t="s">
        <v>115</v>
      </c>
      <c r="I3" s="50" t="s">
        <v>128</v>
      </c>
      <c r="J3" s="74" t="s">
        <v>129</v>
      </c>
      <c r="K3" s="97" t="s">
        <v>115</v>
      </c>
      <c r="L3" s="95" t="s">
        <v>213</v>
      </c>
      <c r="M3" s="95" t="s">
        <v>41</v>
      </c>
      <c r="N3" s="173"/>
      <c r="O3" s="173"/>
      <c r="P3" s="95" t="s">
        <v>42</v>
      </c>
    </row>
    <row r="4" spans="1:16" x14ac:dyDescent="0.25">
      <c r="A4" t="s">
        <v>107</v>
      </c>
      <c r="B4" s="18">
        <v>39000000</v>
      </c>
      <c r="G4" t="s">
        <v>189</v>
      </c>
      <c r="H4" s="20">
        <f>B6*B23</f>
        <v>37800000</v>
      </c>
      <c r="I4" s="20">
        <f>H4*B$54</f>
        <v>17550000</v>
      </c>
      <c r="J4" s="107">
        <f>H4-I4</f>
        <v>20250000</v>
      </c>
      <c r="K4" s="20">
        <f>SUM(L4:P4)</f>
        <v>37800000</v>
      </c>
      <c r="L4" s="18">
        <f>$H4*$B10</f>
        <v>3780000</v>
      </c>
      <c r="M4" s="18">
        <f>$H4*$B11</f>
        <v>9450000</v>
      </c>
      <c r="N4" s="18">
        <f>$H4*$B12</f>
        <v>3780000</v>
      </c>
      <c r="O4" s="18">
        <f>$H4*$B13</f>
        <v>15120000</v>
      </c>
      <c r="P4" s="18">
        <f>$H4*$B14</f>
        <v>5670000</v>
      </c>
    </row>
    <row r="5" spans="1:16" x14ac:dyDescent="0.25">
      <c r="A5" t="s">
        <v>108</v>
      </c>
      <c r="B5" s="18">
        <v>45000000</v>
      </c>
      <c r="G5" t="s">
        <v>225</v>
      </c>
      <c r="H5" s="20">
        <f>I5+J5</f>
        <v>1102500</v>
      </c>
      <c r="I5" s="20">
        <f>I4/$B$28</f>
        <v>292500</v>
      </c>
      <c r="J5" s="107">
        <f>J4/$B$29</f>
        <v>810000</v>
      </c>
      <c r="K5" s="20">
        <f>SUM(L5:P5)</f>
        <v>1132090.9090909092</v>
      </c>
      <c r="L5" s="20">
        <f>L4/$B$66</f>
        <v>189000</v>
      </c>
      <c r="M5" s="20">
        <f>M4/$B$67</f>
        <v>378000</v>
      </c>
      <c r="N5" s="20">
        <f>N4/$B$68</f>
        <v>126000</v>
      </c>
      <c r="O5" s="20">
        <f>O4/$B$69</f>
        <v>336000</v>
      </c>
      <c r="P5" s="20">
        <f>P4/$B$70</f>
        <v>103090.90909090909</v>
      </c>
    </row>
    <row r="6" spans="1:16" x14ac:dyDescent="0.25">
      <c r="A6" t="s">
        <v>111</v>
      </c>
      <c r="B6" s="18">
        <f>SUM(B4:B5)</f>
        <v>84000000</v>
      </c>
      <c r="G6" t="s">
        <v>223</v>
      </c>
      <c r="H6" s="106"/>
      <c r="I6" s="106">
        <f>$B26*$B74+$B27*$B75</f>
        <v>1.982</v>
      </c>
      <c r="J6" s="108">
        <f>$B26*$B76+$B27*$B77</f>
        <v>1.5540000000000003</v>
      </c>
      <c r="L6" s="106">
        <f>($B26*$B78+$B27*$B79)*($B61+1)</f>
        <v>2.9898000000000002</v>
      </c>
      <c r="M6" s="106">
        <f>($B26*$B78+$B27*$B79)*($B62+1)</f>
        <v>2.4915000000000003</v>
      </c>
      <c r="N6" s="106">
        <f>($B26*$B78+$B27*$B79)*($B63+1)</f>
        <v>2.3253999999999997</v>
      </c>
      <c r="O6" s="106">
        <f>($B26*$B78+$B27*$B79)*($B64+1)</f>
        <v>1.9931999999999999</v>
      </c>
      <c r="P6" s="106">
        <f>($B26*$B78+$B27*$B79)*($B65+1)</f>
        <v>1.8271000000000002</v>
      </c>
    </row>
    <row r="7" spans="1:16" x14ac:dyDescent="0.25">
      <c r="A7" t="s">
        <v>113</v>
      </c>
      <c r="B7" s="14">
        <v>0.1</v>
      </c>
      <c r="G7" t="s">
        <v>218</v>
      </c>
      <c r="H7" s="63">
        <f>I7+J7</f>
        <v>1838475.0000000002</v>
      </c>
      <c r="I7" s="18">
        <f>I5*I6</f>
        <v>579735</v>
      </c>
      <c r="J7" s="109">
        <f>J5*J6</f>
        <v>1258740.0000000002</v>
      </c>
      <c r="K7" s="20">
        <f>SUM(L7:P7)</f>
        <v>2657932.1999999997</v>
      </c>
      <c r="L7" s="18">
        <f>L5*L6</f>
        <v>565072.20000000007</v>
      </c>
      <c r="M7" s="18">
        <f>M5*M6</f>
        <v>941787.00000000012</v>
      </c>
      <c r="N7" s="18">
        <f>N5*N6</f>
        <v>293000.39999999997</v>
      </c>
      <c r="O7" s="18">
        <f>O5*O6</f>
        <v>669715.19999999995</v>
      </c>
      <c r="P7" s="18">
        <f>P5*P6</f>
        <v>188357.40000000002</v>
      </c>
    </row>
    <row r="8" spans="1:16" x14ac:dyDescent="0.25">
      <c r="A8" t="s">
        <v>112</v>
      </c>
      <c r="B8" s="14">
        <v>1.4999999999999999E-2</v>
      </c>
      <c r="G8" t="s">
        <v>219</v>
      </c>
      <c r="H8" s="20">
        <f>$B6-H4</f>
        <v>46200000</v>
      </c>
      <c r="I8" s="20">
        <f>H8*$B$54</f>
        <v>21450000</v>
      </c>
      <c r="J8" s="107">
        <f>H8-I8</f>
        <v>24750000</v>
      </c>
      <c r="K8" s="20">
        <f>$B6-K4</f>
        <v>46200000</v>
      </c>
      <c r="L8" s="18">
        <f>$H8*$B10</f>
        <v>4620000</v>
      </c>
      <c r="M8" s="18">
        <f>$H8*$B11</f>
        <v>11550000</v>
      </c>
      <c r="N8" s="18">
        <f>$H8*$B12</f>
        <v>4620000</v>
      </c>
      <c r="O8" s="18">
        <f>$H8*$B13</f>
        <v>18480000</v>
      </c>
      <c r="P8" s="18">
        <f>$H8*$B14</f>
        <v>6930000</v>
      </c>
    </row>
    <row r="9" spans="1:16" x14ac:dyDescent="0.25">
      <c r="A9" t="s">
        <v>143</v>
      </c>
      <c r="B9" s="17">
        <f>SUM(B10:B14)</f>
        <v>1</v>
      </c>
      <c r="D9" s="12"/>
      <c r="E9" s="12"/>
      <c r="G9" t="s">
        <v>226</v>
      </c>
      <c r="H9" s="20">
        <f>I9+J9</f>
        <v>1347500</v>
      </c>
      <c r="I9" s="20">
        <f>I8/$B$28</f>
        <v>357500</v>
      </c>
      <c r="J9" s="107">
        <f>J8/$B$29</f>
        <v>990000</v>
      </c>
      <c r="K9" s="63">
        <f>SUM(L9:P9)</f>
        <v>1383666.6666666667</v>
      </c>
      <c r="L9" s="20">
        <f>L8/$B$66</f>
        <v>231000</v>
      </c>
      <c r="M9" s="20">
        <f>M8/$B$67</f>
        <v>462000</v>
      </c>
      <c r="N9" s="20">
        <f>N8/$B$68</f>
        <v>154000</v>
      </c>
      <c r="O9" s="20">
        <f>O8/$B$69</f>
        <v>410666.66666666669</v>
      </c>
      <c r="P9" s="20">
        <f>P8/$B$70</f>
        <v>126000</v>
      </c>
    </row>
    <row r="10" spans="1:16" x14ac:dyDescent="0.25">
      <c r="A10" s="34" t="s">
        <v>213</v>
      </c>
      <c r="B10" s="17">
        <v>0.1</v>
      </c>
      <c r="G10" t="s">
        <v>220</v>
      </c>
      <c r="H10" s="20">
        <f>I10+J10</f>
        <v>3185975</v>
      </c>
      <c r="I10" s="18">
        <f>I9+I7</f>
        <v>937235</v>
      </c>
      <c r="J10" s="109">
        <f>J9+J7</f>
        <v>2248740</v>
      </c>
      <c r="K10" s="63">
        <f>SUM(L10:P10)</f>
        <v>4041598.8666666667</v>
      </c>
      <c r="L10" s="18">
        <f>L9+L7</f>
        <v>796072.20000000007</v>
      </c>
      <c r="M10" s="18">
        <f>M9+M7</f>
        <v>1403787</v>
      </c>
      <c r="N10" s="18">
        <f>N9+N7</f>
        <v>447000.39999999997</v>
      </c>
      <c r="O10" s="18">
        <f>O9+O7</f>
        <v>1080381.8666666667</v>
      </c>
      <c r="P10" s="18">
        <f>P9+P7</f>
        <v>314357.40000000002</v>
      </c>
    </row>
    <row r="11" spans="1:16" x14ac:dyDescent="0.25">
      <c r="A11" s="34" t="s">
        <v>41</v>
      </c>
      <c r="B11" s="14">
        <v>0.25</v>
      </c>
      <c r="G11" t="s">
        <v>221</v>
      </c>
      <c r="H11" s="20">
        <f>I11+J11</f>
        <v>2450000</v>
      </c>
      <c r="I11" s="96">
        <f>I9+I5</f>
        <v>650000</v>
      </c>
      <c r="J11" s="110">
        <f>J9+J5</f>
        <v>1800000</v>
      </c>
      <c r="K11" s="63">
        <f>SUM(L11:P11)</f>
        <v>2515757.5757575762</v>
      </c>
      <c r="L11" s="96">
        <f>L9+L5</f>
        <v>420000</v>
      </c>
      <c r="M11" s="96">
        <f>M9+M5</f>
        <v>840000</v>
      </c>
      <c r="N11" s="96">
        <f>N9+N5</f>
        <v>280000</v>
      </c>
      <c r="O11" s="96">
        <f>O9+O5</f>
        <v>746666.66666666674</v>
      </c>
      <c r="P11" s="96">
        <f>P9+P5</f>
        <v>229090.90909090909</v>
      </c>
    </row>
    <row r="12" spans="1:16" x14ac:dyDescent="0.25">
      <c r="A12" s="34" t="s">
        <v>19</v>
      </c>
      <c r="B12" s="14">
        <v>0.1</v>
      </c>
      <c r="G12" t="s">
        <v>191</v>
      </c>
      <c r="H12" s="53">
        <f>H10/H11</f>
        <v>1.3003979591836734</v>
      </c>
      <c r="I12" s="53"/>
      <c r="J12" s="111"/>
      <c r="K12" s="53">
        <f>K10/K11</f>
        <v>1.606513642495784</v>
      </c>
      <c r="L12" s="20"/>
      <c r="M12" s="20"/>
      <c r="N12" s="20"/>
      <c r="O12" s="20"/>
      <c r="P12" s="20"/>
    </row>
    <row r="13" spans="1:16" x14ac:dyDescent="0.25">
      <c r="A13" s="34" t="s">
        <v>20</v>
      </c>
      <c r="B13" s="14">
        <v>0.4</v>
      </c>
      <c r="G13" t="s">
        <v>222</v>
      </c>
      <c r="H13" s="16">
        <f>$B26/H12</f>
        <v>1.030453785732782</v>
      </c>
      <c r="I13" s="20">
        <f>$H13*I10-I9</f>
        <v>608277.35387126391</v>
      </c>
      <c r="J13" s="107">
        <f>$H13*J10-J9</f>
        <v>1327222.6461287364</v>
      </c>
      <c r="K13" s="16">
        <f>$B26/K12</f>
        <v>0.83410433908189896</v>
      </c>
      <c r="L13" s="20">
        <f>$K13*L10-L9</f>
        <v>433007.2762424734</v>
      </c>
      <c r="M13" s="20">
        <f>$K13*M10-M9</f>
        <v>708904.82784676179</v>
      </c>
      <c r="N13" s="20">
        <f>$K13*N10-N9</f>
        <v>218844.97321134445</v>
      </c>
      <c r="O13" s="20">
        <f>$K13*O10-O9</f>
        <v>490484.53618540167</v>
      </c>
      <c r="P13" s="20">
        <f>$K13*P10-P9</f>
        <v>136206.87136250414</v>
      </c>
    </row>
    <row r="14" spans="1:16" x14ac:dyDescent="0.25">
      <c r="A14" s="34" t="s">
        <v>42</v>
      </c>
      <c r="B14" s="14">
        <v>0.15</v>
      </c>
      <c r="G14" t="s">
        <v>220</v>
      </c>
      <c r="H14" s="20">
        <f>I14+J14</f>
        <v>3283000.0000000005</v>
      </c>
      <c r="I14" s="18">
        <f>I13+I11-I5</f>
        <v>965777.35387126403</v>
      </c>
      <c r="J14" s="109">
        <f>J13+J11-J5</f>
        <v>2317222.6461287364</v>
      </c>
      <c r="K14" s="20">
        <f>SUM(L14:P14)</f>
        <v>3371115.1515151523</v>
      </c>
      <c r="L14" s="18">
        <f>L13+L11-L5</f>
        <v>664007.2762424734</v>
      </c>
      <c r="M14" s="18">
        <f>M13+M11-M5</f>
        <v>1170904.8278467618</v>
      </c>
      <c r="N14" s="18">
        <f>N13+N11-N5</f>
        <v>372844.97321134445</v>
      </c>
      <c r="O14" s="18">
        <f>O13+O11-O5</f>
        <v>901151.20285206847</v>
      </c>
      <c r="P14" s="18">
        <f>P13+P11-P5</f>
        <v>262206.8713625042</v>
      </c>
    </row>
    <row r="15" spans="1:16" x14ac:dyDescent="0.25">
      <c r="A15" s="23" t="s">
        <v>144</v>
      </c>
      <c r="B15" s="13">
        <f>SUM(B16:B17)</f>
        <v>1</v>
      </c>
      <c r="D15" s="13"/>
      <c r="E15" s="13"/>
      <c r="G15" t="s">
        <v>223</v>
      </c>
      <c r="I15" s="53">
        <f>I13/I5</f>
        <v>2.079580696995774</v>
      </c>
      <c r="J15" s="111">
        <f>J13/J5</f>
        <v>1.6385464767021438</v>
      </c>
      <c r="L15" s="53">
        <f>L13/L5</f>
        <v>2.2910437896427163</v>
      </c>
      <c r="M15" s="53">
        <f>M13/M5</f>
        <v>1.8754095974782059</v>
      </c>
      <c r="N15" s="53">
        <f>N13/N5</f>
        <v>1.7368648667567019</v>
      </c>
      <c r="O15" s="53">
        <f>O13/O5</f>
        <v>1.4597754053136955</v>
      </c>
      <c r="P15" s="53">
        <f>P13/P5</f>
        <v>1.3212306745921918</v>
      </c>
    </row>
    <row r="16" spans="1:16" x14ac:dyDescent="0.25">
      <c r="A16" s="34" t="s">
        <v>145</v>
      </c>
      <c r="B16" s="13">
        <v>0.35</v>
      </c>
      <c r="G16" t="s">
        <v>224</v>
      </c>
      <c r="I16" s="53">
        <f>I14/I11</f>
        <v>1.4858113136480986</v>
      </c>
      <c r="J16" s="111">
        <f>J14/J11</f>
        <v>1.2873459145159647</v>
      </c>
      <c r="L16" s="53">
        <f>L14/L11</f>
        <v>1.5809697053392224</v>
      </c>
      <c r="M16" s="53">
        <f>M14/M11</f>
        <v>1.3939343188651927</v>
      </c>
      <c r="N16" s="53">
        <f>N14/N11</f>
        <v>1.3315891900405159</v>
      </c>
      <c r="O16" s="53">
        <f>O14/O11</f>
        <v>1.206898932391163</v>
      </c>
      <c r="P16" s="53">
        <f>P14/P11</f>
        <v>1.1445538035664866</v>
      </c>
    </row>
    <row r="17" spans="1:16" x14ac:dyDescent="0.25">
      <c r="A17" s="34" t="s">
        <v>146</v>
      </c>
      <c r="B17" s="13">
        <v>0.65</v>
      </c>
      <c r="D17" s="60"/>
      <c r="G17" t="s">
        <v>227</v>
      </c>
      <c r="H17" s="20">
        <f>I17+J17</f>
        <v>833000.00000000035</v>
      </c>
      <c r="I17" s="18">
        <f>I13-I5</f>
        <v>315777.35387126391</v>
      </c>
      <c r="J17" s="109">
        <f>J13-J5</f>
        <v>517222.64612873644</v>
      </c>
      <c r="K17" s="20">
        <f>SUM(L17:P17)</f>
        <v>855357.57575757627</v>
      </c>
      <c r="L17" s="18">
        <f>L13-L5</f>
        <v>244007.2762424734</v>
      </c>
      <c r="M17" s="18">
        <f>M13-M5</f>
        <v>330904.82784676179</v>
      </c>
      <c r="N17" s="18">
        <f>N13-N5</f>
        <v>92844.973211344448</v>
      </c>
      <c r="O17" s="18">
        <f>O13-O5</f>
        <v>154484.53618540167</v>
      </c>
      <c r="P17" s="18">
        <f>P13-P5</f>
        <v>33115.962271595054</v>
      </c>
    </row>
    <row r="18" spans="1:16" x14ac:dyDescent="0.25">
      <c r="A18" s="23" t="s">
        <v>158</v>
      </c>
      <c r="C18" s="12"/>
      <c r="D18" s="60"/>
      <c r="G18" t="s">
        <v>112</v>
      </c>
      <c r="I18" s="62">
        <f>$B8*(I16-1)</f>
        <v>7.2871697047214787E-3</v>
      </c>
      <c r="J18" s="112">
        <f>$B8*(J16-1)</f>
        <v>4.3101887177394707E-3</v>
      </c>
      <c r="L18" s="62">
        <f>$B8*(L16-1)</f>
        <v>8.7145455800883356E-3</v>
      </c>
      <c r="M18" s="62">
        <f>$B8*(M16-1)</f>
        <v>5.9090147829778906E-3</v>
      </c>
      <c r="N18" s="62">
        <f>$B8*(N16-1)</f>
        <v>4.9738378506077379E-3</v>
      </c>
      <c r="O18" s="62">
        <f>$B8*(O16-1)</f>
        <v>3.1034839858674443E-3</v>
      </c>
      <c r="P18" s="62">
        <f>$B8*(P16-1)</f>
        <v>2.168307053497299E-3</v>
      </c>
    </row>
    <row r="19" spans="1:16" x14ac:dyDescent="0.25">
      <c r="A19" s="43" t="s">
        <v>35</v>
      </c>
      <c r="B19" s="13">
        <v>0.1</v>
      </c>
      <c r="D19" s="60"/>
    </row>
    <row r="20" spans="1:16" x14ac:dyDescent="0.25">
      <c r="A20" s="43" t="s">
        <v>157</v>
      </c>
      <c r="B20" s="13">
        <v>0.15</v>
      </c>
      <c r="D20" s="60"/>
    </row>
    <row r="21" spans="1:16" x14ac:dyDescent="0.25">
      <c r="A21" s="43" t="s">
        <v>36</v>
      </c>
      <c r="B21" s="13">
        <v>0.25</v>
      </c>
      <c r="D21" s="60"/>
      <c r="F21" s="12"/>
      <c r="I21" s="12" t="s">
        <v>210</v>
      </c>
      <c r="K21" s="12" t="s">
        <v>211</v>
      </c>
    </row>
    <row r="22" spans="1:16" x14ac:dyDescent="0.25">
      <c r="A22" s="2" t="s">
        <v>184</v>
      </c>
      <c r="D22" s="60"/>
      <c r="F22" s="100"/>
      <c r="H22" s="12" t="s">
        <v>128</v>
      </c>
      <c r="I22" s="12" t="s">
        <v>129</v>
      </c>
      <c r="J22" s="12" t="s">
        <v>128</v>
      </c>
      <c r="K22" s="12" t="s">
        <v>129</v>
      </c>
    </row>
    <row r="23" spans="1:16" x14ac:dyDescent="0.25">
      <c r="A23" s="43" t="s">
        <v>186</v>
      </c>
      <c r="B23" s="13">
        <v>0.45</v>
      </c>
      <c r="F23" s="100"/>
      <c r="G23" t="s">
        <v>0</v>
      </c>
      <c r="H23" s="16">
        <v>0</v>
      </c>
      <c r="I23" s="16">
        <v>0</v>
      </c>
      <c r="J23">
        <f t="shared" ref="J23:K25" si="0">IF(H23&gt;0,1/H23,0)*(1-$B$7)</f>
        <v>0</v>
      </c>
      <c r="K23">
        <f t="shared" si="0"/>
        <v>0</v>
      </c>
      <c r="M23" t="s">
        <v>24</v>
      </c>
    </row>
    <row r="24" spans="1:16" x14ac:dyDescent="0.25">
      <c r="A24" s="43" t="s">
        <v>185</v>
      </c>
      <c r="B24" s="13">
        <v>0.35</v>
      </c>
      <c r="F24" s="100"/>
      <c r="G24" t="s">
        <v>1</v>
      </c>
      <c r="H24" s="13">
        <v>0.5</v>
      </c>
      <c r="I24" s="13">
        <v>0.5</v>
      </c>
      <c r="J24">
        <f t="shared" si="0"/>
        <v>1.8</v>
      </c>
      <c r="K24">
        <f t="shared" si="0"/>
        <v>1.8</v>
      </c>
      <c r="M24" t="s">
        <v>25</v>
      </c>
    </row>
    <row r="25" spans="1:16" x14ac:dyDescent="0.25">
      <c r="A25" s="43" t="s">
        <v>187</v>
      </c>
      <c r="B25" s="59">
        <v>5</v>
      </c>
      <c r="F25" s="100"/>
      <c r="G25" t="s">
        <v>2</v>
      </c>
      <c r="H25" s="13">
        <v>1</v>
      </c>
      <c r="I25" s="13">
        <v>1</v>
      </c>
      <c r="J25">
        <f t="shared" si="0"/>
        <v>0.9</v>
      </c>
      <c r="K25">
        <f t="shared" si="0"/>
        <v>0.9</v>
      </c>
      <c r="M25" t="s">
        <v>14</v>
      </c>
    </row>
    <row r="26" spans="1:16" x14ac:dyDescent="0.25">
      <c r="A26" s="43" t="s">
        <v>183</v>
      </c>
      <c r="B26" s="58">
        <v>1.34</v>
      </c>
      <c r="F26" s="100"/>
      <c r="G26" t="s">
        <v>3</v>
      </c>
      <c r="H26" s="16">
        <v>0</v>
      </c>
      <c r="I26" s="16">
        <v>0</v>
      </c>
      <c r="J26">
        <f t="shared" ref="J26:K28" si="1">IF(H26&gt;0,1/H26,0)*($B$7)</f>
        <v>0</v>
      </c>
      <c r="K26">
        <f t="shared" si="1"/>
        <v>0</v>
      </c>
    </row>
    <row r="27" spans="1:16" x14ac:dyDescent="0.25">
      <c r="A27" s="43" t="s">
        <v>188</v>
      </c>
      <c r="B27" s="58">
        <v>3.48</v>
      </c>
      <c r="F27" s="13"/>
      <c r="G27" t="s">
        <v>4</v>
      </c>
      <c r="H27" s="13">
        <v>0.5</v>
      </c>
      <c r="I27" s="13">
        <v>0.5</v>
      </c>
      <c r="J27">
        <f t="shared" si="1"/>
        <v>0.2</v>
      </c>
      <c r="K27">
        <f t="shared" si="1"/>
        <v>0.2</v>
      </c>
    </row>
    <row r="28" spans="1:16" x14ac:dyDescent="0.25">
      <c r="A28" s="2" t="s">
        <v>198</v>
      </c>
      <c r="B28">
        <v>60</v>
      </c>
      <c r="G28" t="s">
        <v>5</v>
      </c>
      <c r="H28" s="90">
        <v>1</v>
      </c>
      <c r="I28" s="90">
        <v>1</v>
      </c>
      <c r="J28" s="70">
        <f t="shared" si="1"/>
        <v>0.1</v>
      </c>
      <c r="K28" s="70">
        <f t="shared" si="1"/>
        <v>0.1</v>
      </c>
    </row>
    <row r="29" spans="1:16" x14ac:dyDescent="0.25">
      <c r="A29" s="2" t="s">
        <v>199</v>
      </c>
      <c r="B29">
        <v>25</v>
      </c>
      <c r="C29" s="99"/>
      <c r="J29">
        <f>SUM(J23:J28)</f>
        <v>3.0000000000000004</v>
      </c>
      <c r="K29">
        <f>SUM(K23:K28)</f>
        <v>3.0000000000000004</v>
      </c>
    </row>
    <row r="30" spans="1:16" x14ac:dyDescent="0.25">
      <c r="A30" s="72" t="s">
        <v>239</v>
      </c>
      <c r="B30" s="18">
        <v>3600000</v>
      </c>
      <c r="H30" s="12" t="s">
        <v>179</v>
      </c>
    </row>
    <row r="31" spans="1:16" x14ac:dyDescent="0.25">
      <c r="A31" t="s">
        <v>240</v>
      </c>
      <c r="B31" s="133">
        <v>2160000</v>
      </c>
      <c r="G31" t="s">
        <v>99</v>
      </c>
      <c r="H31" s="93">
        <v>0</v>
      </c>
      <c r="J31" s="174" t="s">
        <v>256</v>
      </c>
      <c r="K31" s="172" t="s">
        <v>257</v>
      </c>
      <c r="L31" s="172"/>
      <c r="M31" s="172"/>
      <c r="N31" s="172"/>
      <c r="O31" s="172"/>
    </row>
    <row r="32" spans="1:16" x14ac:dyDescent="0.25">
      <c r="A32" t="s">
        <v>109</v>
      </c>
      <c r="B32" s="133">
        <v>6010000</v>
      </c>
      <c r="D32" s="61"/>
      <c r="E32" s="61"/>
      <c r="G32" t="s">
        <v>100</v>
      </c>
      <c r="H32" s="93">
        <v>0.1</v>
      </c>
      <c r="J32" s="174"/>
      <c r="K32" s="134" t="s">
        <v>248</v>
      </c>
      <c r="L32" s="134" t="s">
        <v>249</v>
      </c>
      <c r="M32" s="134" t="s">
        <v>250</v>
      </c>
      <c r="N32" s="134" t="s">
        <v>251</v>
      </c>
      <c r="O32" s="134" t="s">
        <v>252</v>
      </c>
    </row>
    <row r="33" spans="1:15" x14ac:dyDescent="0.25">
      <c r="A33" t="s">
        <v>110</v>
      </c>
      <c r="B33" s="133">
        <v>3420000</v>
      </c>
      <c r="G33" t="s">
        <v>101</v>
      </c>
      <c r="H33" s="93">
        <v>0.3</v>
      </c>
      <c r="J33" s="12" t="s">
        <v>254</v>
      </c>
      <c r="K33" s="54">
        <v>0.10499158721256314</v>
      </c>
      <c r="L33" s="54">
        <v>0.10531732418524871</v>
      </c>
      <c r="M33" s="54">
        <v>0.11510791366906475</v>
      </c>
      <c r="N33" s="54">
        <v>0.10112866817155758</v>
      </c>
      <c r="O33" s="54">
        <v>0.10511606941627227</v>
      </c>
    </row>
    <row r="34" spans="1:15" x14ac:dyDescent="0.25">
      <c r="A34" t="s">
        <v>243</v>
      </c>
      <c r="B34" s="14">
        <v>7.0999999999999994E-2</v>
      </c>
      <c r="G34" t="s">
        <v>102</v>
      </c>
      <c r="H34" s="93">
        <v>1</v>
      </c>
      <c r="J34" s="12" t="s">
        <v>255</v>
      </c>
      <c r="K34" s="54">
        <v>7.8743690409422376E-2</v>
      </c>
      <c r="L34" s="54">
        <v>7.8987993138936563E-2</v>
      </c>
      <c r="M34" s="54">
        <v>8.6330935251798524E-2</v>
      </c>
      <c r="N34" s="54">
        <v>7.5846501128668142E-2</v>
      </c>
      <c r="O34" s="54">
        <v>7.8837052062204219E-2</v>
      </c>
    </row>
    <row r="35" spans="1:15" x14ac:dyDescent="0.25">
      <c r="A35" t="s">
        <v>253</v>
      </c>
      <c r="B35" s="141" t="s">
        <v>249</v>
      </c>
    </row>
    <row r="36" spans="1:15" x14ac:dyDescent="0.25">
      <c r="A36" t="s">
        <v>271</v>
      </c>
      <c r="B36" s="151" t="s">
        <v>280</v>
      </c>
    </row>
    <row r="37" spans="1:15" x14ac:dyDescent="0.25">
      <c r="A37" s="34" t="s">
        <v>272</v>
      </c>
      <c r="B37" s="146">
        <v>40.04</v>
      </c>
      <c r="D37" t="s">
        <v>290</v>
      </c>
      <c r="E37" s="146">
        <v>0.05</v>
      </c>
      <c r="F37" t="s">
        <v>293</v>
      </c>
    </row>
    <row r="38" spans="1:15" x14ac:dyDescent="0.25">
      <c r="A38" s="34" t="s">
        <v>273</v>
      </c>
      <c r="B38" s="146">
        <v>34.57</v>
      </c>
      <c r="D38" t="s">
        <v>291</v>
      </c>
      <c r="E38" s="146">
        <v>0.1</v>
      </c>
      <c r="F38" t="s">
        <v>293</v>
      </c>
    </row>
    <row r="39" spans="1:15" x14ac:dyDescent="0.25">
      <c r="A39" s="34" t="s">
        <v>274</v>
      </c>
      <c r="B39" s="146">
        <v>4.7699999999999996</v>
      </c>
      <c r="D39" t="s">
        <v>289</v>
      </c>
      <c r="E39" s="146">
        <v>0.1</v>
      </c>
      <c r="F39" s="13" t="s">
        <v>293</v>
      </c>
    </row>
    <row r="40" spans="1:15" x14ac:dyDescent="0.25">
      <c r="A40" s="34" t="s">
        <v>275</v>
      </c>
      <c r="B40" s="146">
        <v>11.05</v>
      </c>
      <c r="F40" s="13"/>
    </row>
    <row r="41" spans="1:15" x14ac:dyDescent="0.25">
      <c r="A41" s="34" t="s">
        <v>276</v>
      </c>
      <c r="B41" s="146">
        <v>2.17</v>
      </c>
      <c r="D41" s="12" t="s">
        <v>292</v>
      </c>
      <c r="E41">
        <v>300</v>
      </c>
    </row>
    <row r="42" spans="1:15" x14ac:dyDescent="0.25">
      <c r="A42" s="34" t="s">
        <v>277</v>
      </c>
      <c r="B42" s="146">
        <v>18.59</v>
      </c>
    </row>
    <row r="43" spans="1:15" x14ac:dyDescent="0.25">
      <c r="A43" s="34" t="s">
        <v>278</v>
      </c>
      <c r="B43" s="146">
        <v>6.1</v>
      </c>
      <c r="F43" s="61"/>
      <c r="G43" s="61"/>
    </row>
    <row r="44" spans="1:15" x14ac:dyDescent="0.25">
      <c r="A44" s="34" t="s">
        <v>279</v>
      </c>
      <c r="B44" s="146">
        <v>11.89</v>
      </c>
    </row>
    <row r="45" spans="1:15" x14ac:dyDescent="0.25">
      <c r="A45" s="23" t="s">
        <v>313</v>
      </c>
      <c r="I45" t="s">
        <v>307</v>
      </c>
      <c r="K45" t="s">
        <v>308</v>
      </c>
    </row>
    <row r="46" spans="1:15" x14ac:dyDescent="0.25">
      <c r="A46" s="34" t="s">
        <v>307</v>
      </c>
      <c r="B46" s="165">
        <f>SUM(B47:B49)</f>
        <v>5.5649122807017538E-2</v>
      </c>
      <c r="C46" s="12"/>
      <c r="D46">
        <v>2.4</v>
      </c>
      <c r="E46" t="s">
        <v>315</v>
      </c>
      <c r="H46" t="s">
        <v>309</v>
      </c>
      <c r="I46" t="s">
        <v>310</v>
      </c>
      <c r="J46" t="s">
        <v>311</v>
      </c>
      <c r="K46" t="s">
        <v>310</v>
      </c>
      <c r="L46" t="s">
        <v>311</v>
      </c>
    </row>
    <row r="47" spans="1:15" x14ac:dyDescent="0.25">
      <c r="A47" s="163" t="s">
        <v>254</v>
      </c>
      <c r="B47" s="164">
        <f>B80/B33</f>
        <v>5.0649122807017541E-2</v>
      </c>
      <c r="D47" s="14"/>
      <c r="H47" t="s">
        <v>254</v>
      </c>
      <c r="J47">
        <v>108573</v>
      </c>
      <c r="L47">
        <v>128117</v>
      </c>
    </row>
    <row r="48" spans="1:15" x14ac:dyDescent="0.25">
      <c r="A48" s="163" t="s">
        <v>312</v>
      </c>
      <c r="B48" s="164">
        <f>B81/B33</f>
        <v>5.9356725146198831E-4</v>
      </c>
      <c r="D48" s="14"/>
      <c r="H48" t="s">
        <v>312</v>
      </c>
      <c r="J48">
        <v>57657</v>
      </c>
      <c r="L48">
        <v>60085</v>
      </c>
    </row>
    <row r="49" spans="1:12" x14ac:dyDescent="0.25">
      <c r="A49" s="163" t="s">
        <v>255</v>
      </c>
      <c r="B49" s="164">
        <f>B82/B33</f>
        <v>4.406432748538012E-3</v>
      </c>
      <c r="D49" s="14"/>
      <c r="H49" t="s">
        <v>255</v>
      </c>
      <c r="J49">
        <v>31516</v>
      </c>
      <c r="L49">
        <v>31111</v>
      </c>
    </row>
    <row r="50" spans="1:12" x14ac:dyDescent="0.25">
      <c r="A50" s="34" t="s">
        <v>308</v>
      </c>
      <c r="B50" s="165">
        <f>SUM(B51:B53)</f>
        <v>8.3584795321637428E-2</v>
      </c>
    </row>
    <row r="51" spans="1:12" x14ac:dyDescent="0.25">
      <c r="A51" s="163" t="s">
        <v>254</v>
      </c>
      <c r="B51" s="164">
        <f>B86/B33</f>
        <v>2.1964912280701753E-2</v>
      </c>
    </row>
    <row r="52" spans="1:12" x14ac:dyDescent="0.25">
      <c r="A52" s="163" t="s">
        <v>312</v>
      </c>
      <c r="B52" s="164">
        <f>B87/B33</f>
        <v>1.9307017543859648E-2</v>
      </c>
    </row>
    <row r="53" spans="1:12" x14ac:dyDescent="0.25">
      <c r="A53" s="163" t="s">
        <v>255</v>
      </c>
      <c r="B53" s="164">
        <f>B88/B33</f>
        <v>4.2312865497076024E-2</v>
      </c>
    </row>
    <row r="54" spans="1:12" x14ac:dyDescent="0.25">
      <c r="A54" t="s">
        <v>326</v>
      </c>
      <c r="B54" s="16">
        <f>B4/B6</f>
        <v>0.4642857142857143</v>
      </c>
    </row>
    <row r="55" spans="1:12" x14ac:dyDescent="0.25">
      <c r="A55" t="s">
        <v>327</v>
      </c>
      <c r="B55" s="16">
        <f>B5/B6</f>
        <v>0.5357142857142857</v>
      </c>
    </row>
    <row r="56" spans="1:12" x14ac:dyDescent="0.25">
      <c r="A56" s="34" t="s">
        <v>328</v>
      </c>
      <c r="B56">
        <v>0</v>
      </c>
    </row>
    <row r="57" spans="1:12" x14ac:dyDescent="0.25">
      <c r="A57" s="34" t="s">
        <v>329</v>
      </c>
      <c r="B57">
        <v>3</v>
      </c>
    </row>
    <row r="58" spans="1:12" x14ac:dyDescent="0.25">
      <c r="A58" s="34" t="s">
        <v>330</v>
      </c>
      <c r="B58">
        <v>5</v>
      </c>
    </row>
    <row r="59" spans="1:12" x14ac:dyDescent="0.25">
      <c r="A59" s="34" t="s">
        <v>331</v>
      </c>
      <c r="B59">
        <v>8</v>
      </c>
    </row>
    <row r="60" spans="1:12" x14ac:dyDescent="0.25">
      <c r="A60" s="34" t="s">
        <v>332</v>
      </c>
      <c r="B60">
        <v>17</v>
      </c>
    </row>
    <row r="61" spans="1:12" x14ac:dyDescent="0.25">
      <c r="A61" s="34" t="s">
        <v>333</v>
      </c>
      <c r="B61" s="45">
        <v>0.8</v>
      </c>
    </row>
    <row r="62" spans="1:12" x14ac:dyDescent="0.25">
      <c r="A62" s="34" t="s">
        <v>334</v>
      </c>
      <c r="B62" s="13">
        <v>0.5</v>
      </c>
    </row>
    <row r="63" spans="1:12" x14ac:dyDescent="0.25">
      <c r="A63" s="34" t="s">
        <v>335</v>
      </c>
      <c r="B63" s="13">
        <v>0.4</v>
      </c>
    </row>
    <row r="64" spans="1:12" x14ac:dyDescent="0.25">
      <c r="A64" s="34" t="s">
        <v>336</v>
      </c>
      <c r="B64" s="13">
        <v>0.2</v>
      </c>
    </row>
    <row r="65" spans="1:3" x14ac:dyDescent="0.25">
      <c r="A65" s="34" t="s">
        <v>337</v>
      </c>
      <c r="B65" s="98">
        <v>0.1</v>
      </c>
    </row>
    <row r="66" spans="1:3" x14ac:dyDescent="0.25">
      <c r="A66" s="34" t="s">
        <v>338</v>
      </c>
      <c r="B66" s="100">
        <v>20</v>
      </c>
    </row>
    <row r="67" spans="1:3" x14ac:dyDescent="0.25">
      <c r="A67" s="34" t="s">
        <v>339</v>
      </c>
      <c r="B67" s="100">
        <v>25</v>
      </c>
    </row>
    <row r="68" spans="1:3" x14ac:dyDescent="0.25">
      <c r="A68" s="34" t="s">
        <v>340</v>
      </c>
      <c r="B68" s="100">
        <v>30</v>
      </c>
    </row>
    <row r="69" spans="1:3" x14ac:dyDescent="0.25">
      <c r="A69" s="34" t="s">
        <v>341</v>
      </c>
      <c r="B69" s="100">
        <v>45</v>
      </c>
    </row>
    <row r="70" spans="1:3" x14ac:dyDescent="0.25">
      <c r="A70" s="34" t="s">
        <v>342</v>
      </c>
      <c r="B70" s="100">
        <v>55</v>
      </c>
    </row>
    <row r="71" spans="1:3" x14ac:dyDescent="0.25">
      <c r="A71" s="43" t="s">
        <v>343</v>
      </c>
      <c r="B71" s="145">
        <v>13.4</v>
      </c>
    </row>
    <row r="72" spans="1:3" x14ac:dyDescent="0.25">
      <c r="A72" s="43" t="s">
        <v>344</v>
      </c>
      <c r="B72" s="145">
        <v>15.2</v>
      </c>
    </row>
    <row r="73" spans="1:3" x14ac:dyDescent="0.25">
      <c r="A73" s="43" t="s">
        <v>345</v>
      </c>
      <c r="B73" s="145">
        <v>14.5</v>
      </c>
    </row>
    <row r="74" spans="1:3" x14ac:dyDescent="0.25">
      <c r="A74" s="43" t="s">
        <v>346</v>
      </c>
      <c r="B74" s="13">
        <v>0.7</v>
      </c>
    </row>
    <row r="75" spans="1:3" x14ac:dyDescent="0.25">
      <c r="A75" s="43" t="s">
        <v>347</v>
      </c>
      <c r="B75" s="13">
        <v>0.3</v>
      </c>
    </row>
    <row r="76" spans="1:3" x14ac:dyDescent="0.25">
      <c r="A76" s="43" t="s">
        <v>348</v>
      </c>
      <c r="B76" s="13">
        <v>0.9</v>
      </c>
    </row>
    <row r="77" spans="1:3" x14ac:dyDescent="0.25">
      <c r="A77" s="43" t="s">
        <v>349</v>
      </c>
      <c r="B77" s="13">
        <v>0.1</v>
      </c>
    </row>
    <row r="78" spans="1:3" x14ac:dyDescent="0.25">
      <c r="A78" s="43" t="s">
        <v>350</v>
      </c>
      <c r="B78" s="13">
        <v>0.85</v>
      </c>
    </row>
    <row r="79" spans="1:3" x14ac:dyDescent="0.25">
      <c r="A79" s="43" t="s">
        <v>351</v>
      </c>
      <c r="B79" s="13">
        <v>0.15</v>
      </c>
    </row>
    <row r="80" spans="1:3" x14ac:dyDescent="0.25">
      <c r="A80" s="163" t="s">
        <v>357</v>
      </c>
      <c r="B80">
        <v>173220</v>
      </c>
      <c r="C80" s="53"/>
    </row>
    <row r="81" spans="1:3" x14ac:dyDescent="0.25">
      <c r="A81" s="163" t="s">
        <v>352</v>
      </c>
      <c r="B81">
        <v>2030</v>
      </c>
      <c r="C81" s="53"/>
    </row>
    <row r="82" spans="1:3" x14ac:dyDescent="0.25">
      <c r="A82" s="163" t="s">
        <v>353</v>
      </c>
      <c r="B82">
        <v>15070</v>
      </c>
      <c r="C82" s="53"/>
    </row>
    <row r="83" spans="1:3" x14ac:dyDescent="0.25">
      <c r="A83" s="163" t="s">
        <v>354</v>
      </c>
      <c r="B83" s="148">
        <v>108573</v>
      </c>
    </row>
    <row r="84" spans="1:3" x14ac:dyDescent="0.25">
      <c r="A84" s="163" t="s">
        <v>355</v>
      </c>
      <c r="B84" s="148">
        <v>57657</v>
      </c>
    </row>
    <row r="85" spans="1:3" x14ac:dyDescent="0.25">
      <c r="A85" s="163" t="s">
        <v>356</v>
      </c>
      <c r="B85" s="148">
        <v>31516</v>
      </c>
    </row>
    <row r="86" spans="1:3" x14ac:dyDescent="0.25">
      <c r="A86" s="163" t="s">
        <v>358</v>
      </c>
      <c r="B86">
        <v>75120</v>
      </c>
    </row>
    <row r="87" spans="1:3" x14ac:dyDescent="0.25">
      <c r="A87" s="163" t="s">
        <v>359</v>
      </c>
      <c r="B87">
        <v>66030</v>
      </c>
    </row>
    <row r="88" spans="1:3" x14ac:dyDescent="0.25">
      <c r="A88" s="163" t="s">
        <v>360</v>
      </c>
      <c r="B88">
        <v>144710</v>
      </c>
    </row>
    <row r="89" spans="1:3" x14ac:dyDescent="0.25">
      <c r="A89" s="163" t="s">
        <v>361</v>
      </c>
      <c r="B89" s="148">
        <v>128117</v>
      </c>
    </row>
    <row r="90" spans="1:3" x14ac:dyDescent="0.25">
      <c r="A90" s="163" t="s">
        <v>362</v>
      </c>
      <c r="B90" s="148">
        <v>60085</v>
      </c>
    </row>
    <row r="91" spans="1:3" x14ac:dyDescent="0.25">
      <c r="A91" s="163" t="s">
        <v>363</v>
      </c>
      <c r="B91" s="148">
        <v>31111</v>
      </c>
    </row>
    <row r="92" spans="1:3" x14ac:dyDescent="0.25">
      <c r="A92" s="163" t="s">
        <v>364</v>
      </c>
      <c r="B92" s="62">
        <v>0.41617412140575077</v>
      </c>
    </row>
    <row r="93" spans="1:3" x14ac:dyDescent="0.25">
      <c r="A93" s="163" t="s">
        <v>365</v>
      </c>
      <c r="B93" s="62">
        <v>0.42838103892170226</v>
      </c>
    </row>
    <row r="94" spans="1:3" x14ac:dyDescent="0.25">
      <c r="A94" s="163" t="s">
        <v>366</v>
      </c>
      <c r="B94" s="62">
        <v>0.36624283048856332</v>
      </c>
    </row>
    <row r="95" spans="1:3" x14ac:dyDescent="0.25">
      <c r="A95" s="163"/>
      <c r="B95" s="18"/>
    </row>
  </sheetData>
  <mergeCells count="5">
    <mergeCell ref="H2:J2"/>
    <mergeCell ref="N2:N3"/>
    <mergeCell ref="O2:O3"/>
    <mergeCell ref="K31:O31"/>
    <mergeCell ref="J31:J3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1:AO29"/>
  <sheetViews>
    <sheetView topLeftCell="G1" workbookViewId="0">
      <selection activeCell="Y28" sqref="Y28:Y29"/>
    </sheetView>
  </sheetViews>
  <sheetFormatPr defaultRowHeight="15" x14ac:dyDescent="0.25"/>
  <cols>
    <col min="23" max="23" width="10.5703125" customWidth="1"/>
    <col min="24" max="24" width="11.5703125" customWidth="1"/>
    <col min="25" max="25" width="13.42578125" bestFit="1" customWidth="1"/>
    <col min="26" max="26" width="13.28515625" bestFit="1" customWidth="1"/>
    <col min="27" max="27" width="11.42578125" customWidth="1"/>
    <col min="28" max="28" width="13.42578125" bestFit="1" customWidth="1"/>
    <col min="29" max="29" width="9.5703125" customWidth="1"/>
    <col min="30" max="30" width="10.7109375" customWidth="1"/>
    <col min="32" max="32" width="11.140625" customWidth="1"/>
    <col min="33" max="33" width="10.7109375" customWidth="1"/>
    <col min="35" max="35" width="11.7109375" bestFit="1" customWidth="1"/>
    <col min="36" max="36" width="13.42578125" bestFit="1" customWidth="1"/>
    <col min="37" max="37" width="11.7109375" bestFit="1" customWidth="1"/>
    <col min="38" max="38" width="11.42578125" customWidth="1"/>
    <col min="39" max="40" width="13.42578125" bestFit="1" customWidth="1"/>
    <col min="41" max="41" width="13.28515625" bestFit="1" customWidth="1"/>
  </cols>
  <sheetData>
    <row r="1" spans="16:41" x14ac:dyDescent="0.25"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10</v>
      </c>
      <c r="AF1">
        <v>11</v>
      </c>
      <c r="AG1">
        <v>12</v>
      </c>
      <c r="AH1">
        <v>13</v>
      </c>
      <c r="AI1">
        <v>14</v>
      </c>
      <c r="AJ1">
        <v>15</v>
      </c>
      <c r="AK1">
        <v>16</v>
      </c>
      <c r="AL1">
        <v>17</v>
      </c>
      <c r="AM1">
        <v>18</v>
      </c>
      <c r="AN1">
        <v>19</v>
      </c>
      <c r="AO1">
        <v>20</v>
      </c>
    </row>
    <row r="2" spans="16:41" ht="23.25" x14ac:dyDescent="0.35">
      <c r="P2" s="181">
        <f>E28</f>
        <v>2040</v>
      </c>
      <c r="Q2" s="181"/>
      <c r="W2" s="178" t="s">
        <v>206</v>
      </c>
      <c r="X2" s="178"/>
      <c r="Y2" s="178"/>
      <c r="Z2" s="178"/>
      <c r="AA2" s="178"/>
      <c r="AB2" s="178"/>
      <c r="AD2" s="72"/>
      <c r="AE2" s="72"/>
      <c r="AF2" s="72"/>
      <c r="AG2" s="72"/>
      <c r="AH2" s="72"/>
      <c r="AI2" s="178" t="s">
        <v>208</v>
      </c>
      <c r="AJ2" s="178"/>
      <c r="AK2" s="178"/>
      <c r="AL2" s="178"/>
      <c r="AM2" s="178"/>
      <c r="AN2" s="178"/>
    </row>
    <row r="3" spans="16:41" ht="20.25" customHeight="1" x14ac:dyDescent="0.25">
      <c r="V3" s="129" t="s">
        <v>97</v>
      </c>
      <c r="W3" s="129" t="s">
        <v>115</v>
      </c>
      <c r="X3" s="129" t="s">
        <v>236</v>
      </c>
      <c r="Y3" s="129" t="str">
        <f>City!$A$11</f>
        <v>Urban</v>
      </c>
      <c r="Z3" s="130" t="s">
        <v>238</v>
      </c>
      <c r="AA3" s="130" t="s">
        <v>237</v>
      </c>
      <c r="AB3" s="132" t="str">
        <f>City!$A$14</f>
        <v>Rural</v>
      </c>
      <c r="AC3" s="137" t="s">
        <v>180</v>
      </c>
      <c r="AD3" s="129" t="str">
        <f>City!$A$10</f>
        <v>Downtown</v>
      </c>
      <c r="AE3" s="129" t="str">
        <f>City!$A$11</f>
        <v>Urban</v>
      </c>
      <c r="AF3" s="130" t="s">
        <v>234</v>
      </c>
      <c r="AG3" s="130" t="s">
        <v>235</v>
      </c>
      <c r="AH3" s="132" t="str">
        <f>City!$A$14</f>
        <v>Rural</v>
      </c>
      <c r="AI3" s="129" t="str">
        <f>City!$A$10</f>
        <v>Downtown</v>
      </c>
      <c r="AJ3" s="129" t="str">
        <f>City!$A$11</f>
        <v>Urban</v>
      </c>
      <c r="AK3" s="130" t="s">
        <v>234</v>
      </c>
      <c r="AL3" s="130" t="s">
        <v>235</v>
      </c>
      <c r="AM3" s="132" t="str">
        <f>City!$A$14</f>
        <v>Rural</v>
      </c>
      <c r="AN3" s="129" t="s">
        <v>115</v>
      </c>
      <c r="AO3" s="129" t="s">
        <v>98</v>
      </c>
    </row>
    <row r="4" spans="16:41" x14ac:dyDescent="0.25">
      <c r="V4">
        <f>VLOOKUP($E28,Fleet!$B4:$U56,V1)</f>
        <v>2040</v>
      </c>
      <c r="W4" s="18">
        <f>VLOOKUP($E28,Fleet!$B4:$U56,W1)</f>
        <v>4995229.3168429015</v>
      </c>
      <c r="X4" s="18">
        <f>VLOOKUP($E28,Fleet!$B4:$U56,X1)</f>
        <v>499522.93168429018</v>
      </c>
      <c r="Y4" s="18">
        <f>VLOOKUP($E28,Fleet!$B4:$U56,Y1)</f>
        <v>1248807.3292107254</v>
      </c>
      <c r="Z4" s="18">
        <f>VLOOKUP($E28,Fleet!$B4:$U56,Z1)</f>
        <v>499522.93168429018</v>
      </c>
      <c r="AA4" s="18">
        <f>VLOOKUP($E28,Fleet!$B4:$U56,AA1)</f>
        <v>1998091.7267371607</v>
      </c>
      <c r="AB4" s="18">
        <f>VLOOKUP($E28,Fleet!$B4:$U56,AB1)</f>
        <v>749284.3975264352</v>
      </c>
      <c r="AC4" s="16">
        <f>VLOOKUP($E28,Fleet!$B4:$U56,AC1)</f>
        <v>0.45396821767515028</v>
      </c>
      <c r="AD4" s="14">
        <f>VLOOKUP($E28,Fleet!$B4:$U56,AD1)</f>
        <v>0.16169300058479466</v>
      </c>
      <c r="AE4" s="14">
        <f>VLOOKUP($E28,Fleet!$B4:$U56,AE1)</f>
        <v>0.14552370052631519</v>
      </c>
      <c r="AF4" s="14">
        <f>VLOOKUP($E28,Fleet!$B4:$U56,AF1)</f>
        <v>0.11180479430680312</v>
      </c>
      <c r="AG4" s="14">
        <f>VLOOKUP($E28,Fleet!$B4:$U56,AG1)</f>
        <v>7.8874634431607152E-2</v>
      </c>
      <c r="AH4" s="14">
        <f>VLOOKUP($E28,Fleet!$B4:$U56,AH1)</f>
        <v>7.8874634431607152E-2</v>
      </c>
      <c r="AI4" s="18">
        <f>VLOOKUP($E28,Fleet!$B4:$U56,AI1)</f>
        <v>462856.20851741551</v>
      </c>
      <c r="AJ4" s="18">
        <f>VLOOKUP($E28,Fleet!$B4:$U56,AJ1)</f>
        <v>1166307.2020852575</v>
      </c>
      <c r="AK4" s="18">
        <f>VLOOKUP($E28,Fleet!$B4:$U56,AK1)</f>
        <v>474169.23407987808</v>
      </c>
      <c r="AL4" s="18">
        <f>VLOOKUP($E28,Fleet!$B4:$U56,AL1)</f>
        <v>1926546.901045698</v>
      </c>
      <c r="AM4" s="18">
        <f>VLOOKUP($E28,Fleet!$B4:$U56,AM1)</f>
        <v>722455.08789213665</v>
      </c>
      <c r="AN4" s="18">
        <f>VLOOKUP($E28,Fleet!$B4:$U56,AN1)</f>
        <v>4752334.6336203851</v>
      </c>
      <c r="AO4" s="18">
        <f>VLOOKUP($E28,Fleet!$B4:$U56,AO1)</f>
        <v>2157408.8834205344</v>
      </c>
    </row>
    <row r="6" spans="16:41" x14ac:dyDescent="0.25">
      <c r="V6" s="131"/>
      <c r="W6" s="131"/>
      <c r="X6" s="131"/>
      <c r="Y6" s="131"/>
    </row>
    <row r="27" spans="4:25" ht="18" customHeight="1" x14ac:dyDescent="0.25">
      <c r="J27" s="24"/>
    </row>
    <row r="28" spans="4:25" ht="18" customHeight="1" x14ac:dyDescent="0.25">
      <c r="D28" s="12" t="s">
        <v>118</v>
      </c>
      <c r="E28" s="25">
        <v>2040</v>
      </c>
      <c r="G28" t="s">
        <v>245</v>
      </c>
      <c r="J28" s="24">
        <f>AC4</f>
        <v>0.45396821767515028</v>
      </c>
      <c r="Y28" s="41" t="s">
        <v>152</v>
      </c>
    </row>
    <row r="29" spans="4:25" ht="18" customHeight="1" x14ac:dyDescent="0.3">
      <c r="G29" t="s">
        <v>246</v>
      </c>
      <c r="J29" s="24">
        <f>(AN4-W4)/W4</f>
        <v>-4.8625331854840928E-2</v>
      </c>
      <c r="K29" s="42" t="str">
        <f>IF(J29&gt;=0,Y28,Y29)</f>
        <v>↓↓</v>
      </c>
      <c r="Y29" s="41" t="s">
        <v>153</v>
      </c>
    </row>
  </sheetData>
  <mergeCells count="3">
    <mergeCell ref="P2:Q2"/>
    <mergeCell ref="W2:AB2"/>
    <mergeCell ref="AI2:AN2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C58"/>
  <sheetViews>
    <sheetView workbookViewId="0">
      <selection activeCell="E15" sqref="E15"/>
    </sheetView>
  </sheetViews>
  <sheetFormatPr defaultRowHeight="15" x14ac:dyDescent="0.25"/>
  <cols>
    <col min="3" max="3" width="13" customWidth="1"/>
    <col min="4" max="4" width="12.85546875" customWidth="1"/>
    <col min="5" max="8" width="15.140625" customWidth="1"/>
    <col min="9" max="9" width="14.28515625" bestFit="1" customWidth="1"/>
    <col min="20" max="20" width="11.5703125" bestFit="1" customWidth="1"/>
    <col min="26" max="27" width="10.5703125" bestFit="1" customWidth="1"/>
    <col min="28" max="28" width="9.28515625" bestFit="1" customWidth="1"/>
    <col min="29" max="29" width="12.85546875" customWidth="1"/>
  </cols>
  <sheetData>
    <row r="1" spans="1:20" ht="15.75" x14ac:dyDescent="0.25">
      <c r="A1" s="26" t="s">
        <v>265</v>
      </c>
    </row>
    <row r="2" spans="1:20" ht="15.75" x14ac:dyDescent="0.25">
      <c r="A2" s="26"/>
    </row>
    <row r="3" spans="1:20" x14ac:dyDescent="0.25">
      <c r="C3" s="172" t="s">
        <v>268</v>
      </c>
      <c r="D3" s="172"/>
      <c r="E3" s="172"/>
      <c r="F3" s="172" t="s">
        <v>267</v>
      </c>
      <c r="G3" s="172"/>
      <c r="H3" s="172"/>
    </row>
    <row r="4" spans="1:20" x14ac:dyDescent="0.25">
      <c r="C4" s="27">
        <f>City!B19</f>
        <v>0.1</v>
      </c>
      <c r="D4" s="27">
        <f>City!B20</f>
        <v>0.15</v>
      </c>
      <c r="E4" s="38">
        <f>City!B21</f>
        <v>0.25</v>
      </c>
      <c r="F4" s="147">
        <f>City!B71</f>
        <v>13.4</v>
      </c>
      <c r="G4" s="147">
        <f>City!B72</f>
        <v>15.2</v>
      </c>
      <c r="H4" s="147">
        <f>City!B73</f>
        <v>14.5</v>
      </c>
    </row>
    <row r="5" spans="1:20" ht="30" x14ac:dyDescent="0.25">
      <c r="B5" t="s">
        <v>97</v>
      </c>
      <c r="C5" s="139" t="s">
        <v>35</v>
      </c>
      <c r="D5" s="139" t="s">
        <v>157</v>
      </c>
      <c r="E5" s="139" t="s">
        <v>36</v>
      </c>
      <c r="F5" s="139" t="s">
        <v>35</v>
      </c>
      <c r="G5" s="139" t="s">
        <v>157</v>
      </c>
      <c r="H5" s="139" t="s">
        <v>36</v>
      </c>
      <c r="I5" s="139" t="s">
        <v>266</v>
      </c>
      <c r="J5" s="140" t="s">
        <v>102</v>
      </c>
      <c r="K5" s="6" t="s">
        <v>137</v>
      </c>
    </row>
    <row r="6" spans="1:20" x14ac:dyDescent="0.25">
      <c r="A6">
        <v>1</v>
      </c>
      <c r="B6">
        <f>City!B3</f>
        <v>2018</v>
      </c>
      <c r="C6" s="18">
        <f>City!$B$32*(1+City!$B$8)*C$4*(1+RideSource!$H7*$J$6)*nonDriver!C5*$J$7*(1+ShareRide!$H5*$J$8)*(1+Pricing!$I6*$J$9)*'Fleet Types'!$F15</f>
        <v>0</v>
      </c>
      <c r="D6" s="18">
        <f>City!$B$32*(1+City!$B$8)*D$4*(1+RideSource!$H7*$J$6)*nonDriver!D5*$J$7*(1+ShareRide!$H5*$J$8)*(1+Pricing!$I6*$J$9)*'Fleet Types'!$F15</f>
        <v>0</v>
      </c>
      <c r="E6" s="18">
        <f>City!$B$32*(1+City!$B$8)*E$4*(1+RideSource!$H7*$J$6)*nonDriver!E5*$J$7*(1+ShareRide!$H5*$J$8)*(1+Pricing!$I6*$J$9)*'Fleet Types'!$F15</f>
        <v>0</v>
      </c>
      <c r="F6" s="148">
        <f>C6*F$4</f>
        <v>0</v>
      </c>
      <c r="G6" s="148">
        <f>D6*G$4</f>
        <v>0</v>
      </c>
      <c r="H6" s="148">
        <f>E6*H$4</f>
        <v>0</v>
      </c>
      <c r="I6" s="148">
        <f>SUM(F6:H6)</f>
        <v>0</v>
      </c>
      <c r="J6" s="16">
        <v>7.0000000000000007E-2</v>
      </c>
      <c r="K6" s="2" t="s">
        <v>164</v>
      </c>
    </row>
    <row r="7" spans="1:20" x14ac:dyDescent="0.25">
      <c r="A7">
        <f>A6+1</f>
        <v>2</v>
      </c>
      <c r="B7">
        <f>B6+1</f>
        <v>2019</v>
      </c>
      <c r="C7" s="18">
        <f>City!$B$32*(1+City!$B$8)*C$4*(1+RideSource!$H8*$J$6)*nonDriver!C6*$J$7*(1+ShareRide!$H6*$J$8)*(1+Pricing!$I7*$J$9)*'Fleet Types'!$F16</f>
        <v>0</v>
      </c>
      <c r="D7" s="18">
        <f>City!$B$32*(1+City!$B$8)*D$4*(1+RideSource!$H8*$J$6)*nonDriver!D6*$J$7*(1+ShareRide!$H6*$J$8)*(1+Pricing!$I7*$J$9)*'Fleet Types'!$F16</f>
        <v>0</v>
      </c>
      <c r="E7" s="18">
        <f>City!$B$32*(1+City!$B$8)*E$4*(1+RideSource!$H8*$J$6)*nonDriver!E6*$J$7*(1+ShareRide!$H6*$J$8)*(1+Pricing!$I7*$J$9)*'Fleet Types'!$F16</f>
        <v>0</v>
      </c>
      <c r="F7" s="148">
        <f t="shared" ref="F7:F58" si="0">C7*F$4</f>
        <v>0</v>
      </c>
      <c r="G7" s="148">
        <f t="shared" ref="G7:G58" si="1">D7*G$4</f>
        <v>0</v>
      </c>
      <c r="H7" s="148">
        <f t="shared" ref="H7:H58" si="2">E7*H$4</f>
        <v>0</v>
      </c>
      <c r="I7" s="148">
        <f t="shared" ref="I7:I38" si="3">SUMPRODUCT(C7:E7*F$4:H$4)</f>
        <v>0</v>
      </c>
      <c r="J7" s="16">
        <v>0.25</v>
      </c>
      <c r="K7" t="s">
        <v>165</v>
      </c>
    </row>
    <row r="8" spans="1:20" x14ac:dyDescent="0.25">
      <c r="A8">
        <f t="shared" ref="A8:B23" si="4">A7+1</f>
        <v>3</v>
      </c>
      <c r="B8">
        <f t="shared" si="4"/>
        <v>2020</v>
      </c>
      <c r="C8" s="18">
        <f>City!$B$32*(1+City!$B$8)*C$4*(1+RideSource!$H9*$J$6)*nonDriver!C7*$J$7*(1+ShareRide!$H7*$J$8)*(1+Pricing!$I8*$J$9)*'Fleet Types'!$F17</f>
        <v>0</v>
      </c>
      <c r="D8" s="18">
        <f>City!$B$32*(1+City!$B$8)*D$4*(1+RideSource!$H9*$J$6)*nonDriver!D7*$J$7*(1+ShareRide!$H7*$J$8)*(1+Pricing!$I8*$J$9)*'Fleet Types'!$F17</f>
        <v>0</v>
      </c>
      <c r="E8" s="18">
        <f>City!$B$32*(1+City!$B$8)*E$4*(1+RideSource!$H9*$J$6)*nonDriver!E7*$J$7*(1+ShareRide!$H7*$J$8)*(1+Pricing!$I8*$J$9)*'Fleet Types'!$F17</f>
        <v>0</v>
      </c>
      <c r="F8" s="148">
        <f t="shared" si="0"/>
        <v>0</v>
      </c>
      <c r="G8" s="148">
        <f t="shared" si="1"/>
        <v>0</v>
      </c>
      <c r="H8" s="148">
        <f t="shared" si="2"/>
        <v>0</v>
      </c>
      <c r="I8" s="148">
        <f t="shared" si="3"/>
        <v>0</v>
      </c>
      <c r="J8" s="16">
        <v>0.1</v>
      </c>
      <c r="K8" s="2" t="s">
        <v>167</v>
      </c>
      <c r="R8" s="140"/>
    </row>
    <row r="9" spans="1:20" x14ac:dyDescent="0.25">
      <c r="A9">
        <f t="shared" si="4"/>
        <v>4</v>
      </c>
      <c r="B9">
        <f t="shared" si="4"/>
        <v>2021</v>
      </c>
      <c r="C9" s="18">
        <f>City!$B$32*(1+City!$B$8)*C$4*(1+RideSource!$H10*$J$6)*nonDriver!C8*$J$7*(1+ShareRide!$H8*$J$8)*(1+Pricing!$I9*$J$9)*'Fleet Types'!$F18</f>
        <v>0</v>
      </c>
      <c r="D9" s="18">
        <f>City!$B$32*(1+City!$B$8)*D$4*(1+RideSource!$H10*$J$6)*nonDriver!D8*$J$7*(1+ShareRide!$H8*$J$8)*(1+Pricing!$I9*$J$9)*'Fleet Types'!$F18</f>
        <v>0</v>
      </c>
      <c r="E9" s="18">
        <f>City!$B$32*(1+City!$B$8)*E$4*(1+RideSource!$H10*$J$6)*nonDriver!E8*$J$7*(1+ShareRide!$H8*$J$8)*(1+Pricing!$I9*$J$9)*'Fleet Types'!$F18</f>
        <v>0</v>
      </c>
      <c r="F9" s="148">
        <f t="shared" si="0"/>
        <v>0</v>
      </c>
      <c r="G9" s="148">
        <f t="shared" si="1"/>
        <v>0</v>
      </c>
      <c r="H9" s="148">
        <f t="shared" si="2"/>
        <v>0</v>
      </c>
      <c r="I9" s="148">
        <f t="shared" si="3"/>
        <v>0</v>
      </c>
      <c r="J9" s="13">
        <v>-0.05</v>
      </c>
      <c r="K9" s="2" t="s">
        <v>231</v>
      </c>
      <c r="R9" s="46"/>
    </row>
    <row r="10" spans="1:20" x14ac:dyDescent="0.25">
      <c r="A10">
        <f t="shared" si="4"/>
        <v>5</v>
      </c>
      <c r="B10">
        <f t="shared" si="4"/>
        <v>2022</v>
      </c>
      <c r="C10" s="18">
        <f>City!$B$32*(1+City!$B$8)*C$4*(1+RideSource!$H11*$J$6)*nonDriver!C9*$J$7*(1+ShareRide!$H9*$J$8)*(1+Pricing!$I10*$J$9)*'Fleet Types'!$F19</f>
        <v>0</v>
      </c>
      <c r="D10" s="18">
        <f>City!$B$32*(1+City!$B$8)*D$4*(1+RideSource!$H11*$J$6)*nonDriver!D9*$J$7*(1+ShareRide!$H9*$J$8)*(1+Pricing!$I10*$J$9)*'Fleet Types'!$F19</f>
        <v>0</v>
      </c>
      <c r="E10" s="18">
        <f>City!$B$32*(1+City!$B$8)*E$4*(1+RideSource!$H11*$J$6)*nonDriver!E9*$J$7*(1+ShareRide!$H9*$J$8)*(1+Pricing!$I10*$J$9)*'Fleet Types'!$F19</f>
        <v>0</v>
      </c>
      <c r="F10" s="148">
        <f t="shared" si="0"/>
        <v>0</v>
      </c>
      <c r="G10" s="148">
        <f t="shared" si="1"/>
        <v>0</v>
      </c>
      <c r="H10" s="148">
        <f t="shared" si="2"/>
        <v>0</v>
      </c>
      <c r="I10" s="148">
        <f t="shared" si="3"/>
        <v>0</v>
      </c>
      <c r="R10" s="46"/>
    </row>
    <row r="11" spans="1:20" x14ac:dyDescent="0.25">
      <c r="A11">
        <f t="shared" si="4"/>
        <v>6</v>
      </c>
      <c r="B11">
        <f t="shared" si="4"/>
        <v>2023</v>
      </c>
      <c r="C11" s="18">
        <f>City!$B$32*(1+City!$B$8)*C$4*(1+RideSource!$H12*$J$6)*nonDriver!C10*$J$7*(1+ShareRide!$H10*$J$8)*(1+Pricing!$I11*$J$9)*'Fleet Types'!$F20</f>
        <v>0</v>
      </c>
      <c r="D11" s="18">
        <f>City!$B$32*(1+City!$B$8)*D$4*(1+RideSource!$H12*$J$6)*nonDriver!D10*$J$7*(1+ShareRide!$H10*$J$8)*(1+Pricing!$I11*$J$9)*'Fleet Types'!$F20</f>
        <v>0</v>
      </c>
      <c r="E11" s="18">
        <f>City!$B$32*(1+City!$B$8)*E$4*(1+RideSource!$H12*$J$6)*nonDriver!E10*$J$7*(1+ShareRide!$H10*$J$8)*(1+Pricing!$I11*$J$9)*'Fleet Types'!$F20</f>
        <v>0</v>
      </c>
      <c r="F11" s="148">
        <f t="shared" si="0"/>
        <v>0</v>
      </c>
      <c r="G11" s="148">
        <f t="shared" si="1"/>
        <v>0</v>
      </c>
      <c r="H11" s="148">
        <f t="shared" si="2"/>
        <v>0</v>
      </c>
      <c r="I11" s="148">
        <f t="shared" si="3"/>
        <v>0</v>
      </c>
      <c r="R11" s="46"/>
    </row>
    <row r="12" spans="1:20" x14ac:dyDescent="0.25">
      <c r="A12">
        <f t="shared" si="4"/>
        <v>7</v>
      </c>
      <c r="B12">
        <f t="shared" si="4"/>
        <v>2024</v>
      </c>
      <c r="C12" s="18">
        <f>City!$B$32*(1+City!$B$8)*C$4*(1+RideSource!$H13*$J$6)*nonDriver!C11*$J$7*(1+ShareRide!$H11*$J$8)*(1+Pricing!$I12*$J$9)*'Fleet Types'!$F21</f>
        <v>0</v>
      </c>
      <c r="D12" s="18">
        <f>City!$B$32*(1+City!$B$8)*D$4*(1+RideSource!$H13*$J$6)*nonDriver!D11*$J$7*(1+ShareRide!$H11*$J$8)*(1+Pricing!$I12*$J$9)*'Fleet Types'!$F21</f>
        <v>0</v>
      </c>
      <c r="E12" s="18">
        <f>City!$B$32*(1+City!$B$8)*E$4*(1+RideSource!$H13*$J$6)*nonDriver!E11*$J$7*(1+ShareRide!$H11*$J$8)*(1+Pricing!$I12*$J$9)*'Fleet Types'!$F21</f>
        <v>0</v>
      </c>
      <c r="F12" s="148">
        <f t="shared" si="0"/>
        <v>0</v>
      </c>
      <c r="G12" s="148">
        <f t="shared" si="1"/>
        <v>0</v>
      </c>
      <c r="H12" s="148">
        <f t="shared" si="2"/>
        <v>0</v>
      </c>
      <c r="I12" s="148">
        <f t="shared" si="3"/>
        <v>0</v>
      </c>
      <c r="R12" s="45"/>
    </row>
    <row r="13" spans="1:20" x14ac:dyDescent="0.25">
      <c r="A13">
        <f t="shared" si="4"/>
        <v>8</v>
      </c>
      <c r="B13">
        <f t="shared" si="4"/>
        <v>2025</v>
      </c>
      <c r="C13" s="18">
        <f>City!$B$32*(1+City!$B$8)*C$4*(1+RideSource!$H14*$J$6)*nonDriver!C12*$J$7*(1+ShareRide!$H12*$J$8)*(1+Pricing!$I13*$J$9)*'Fleet Types'!$F22</f>
        <v>0</v>
      </c>
      <c r="D13" s="18">
        <f>City!$B$32*(1+City!$B$8)*D$4*(1+RideSource!$H14*$J$6)*nonDriver!D12*$J$7*(1+ShareRide!$H12*$J$8)*(1+Pricing!$I13*$J$9)*'Fleet Types'!$F22</f>
        <v>0</v>
      </c>
      <c r="E13" s="18">
        <f>City!$B$32*(1+City!$B$8)*E$4*(1+RideSource!$H14*$J$6)*nonDriver!E12*$J$7*(1+ShareRide!$H12*$J$8)*(1+Pricing!$I13*$J$9)*'Fleet Types'!$F22</f>
        <v>0</v>
      </c>
      <c r="F13" s="148">
        <f t="shared" si="0"/>
        <v>0</v>
      </c>
      <c r="G13" s="148">
        <f t="shared" si="1"/>
        <v>0</v>
      </c>
      <c r="H13" s="148">
        <f t="shared" si="2"/>
        <v>0</v>
      </c>
      <c r="I13" s="148">
        <f t="shared" si="3"/>
        <v>0</v>
      </c>
      <c r="R13" s="46"/>
      <c r="S13" s="16"/>
      <c r="T13" s="2"/>
    </row>
    <row r="14" spans="1:20" x14ac:dyDescent="0.25">
      <c r="A14">
        <f t="shared" si="4"/>
        <v>9</v>
      </c>
      <c r="B14">
        <f t="shared" si="4"/>
        <v>2026</v>
      </c>
      <c r="C14" s="18">
        <f>City!$B$32*(1+City!$B$8)*C$4*(1+RideSource!$H15*$J$6)*nonDriver!C13*$J$7*(1+ShareRide!$H13*$J$8)*(1+Pricing!$I14*$J$9)*'Fleet Types'!$F23</f>
        <v>0</v>
      </c>
      <c r="D14" s="18">
        <f>City!$B$32*(1+City!$B$8)*D$4*(1+RideSource!$H15*$J$6)*nonDriver!D13*$J$7*(1+ShareRide!$H13*$J$8)*(1+Pricing!$I14*$J$9)*'Fleet Types'!$F23</f>
        <v>0</v>
      </c>
      <c r="E14" s="18">
        <f>City!$B$32*(1+City!$B$8)*E$4*(1+RideSource!$H15*$J$6)*nonDriver!E13*$J$7*(1+ShareRide!$H13*$J$8)*(1+Pricing!$I14*$J$9)*'Fleet Types'!$F23</f>
        <v>0</v>
      </c>
      <c r="F14" s="148">
        <f t="shared" si="0"/>
        <v>0</v>
      </c>
      <c r="G14" s="148">
        <f t="shared" si="1"/>
        <v>0</v>
      </c>
      <c r="H14" s="148">
        <f t="shared" si="2"/>
        <v>0</v>
      </c>
      <c r="I14" s="148">
        <f t="shared" si="3"/>
        <v>0</v>
      </c>
    </row>
    <row r="15" spans="1:20" x14ac:dyDescent="0.25">
      <c r="A15">
        <f t="shared" si="4"/>
        <v>10</v>
      </c>
      <c r="B15">
        <f t="shared" si="4"/>
        <v>2027</v>
      </c>
      <c r="C15" s="18">
        <f>City!$B$32*(1+City!$B$8)*C$4*(1+RideSource!$H16*$J$6)*nonDriver!C14*$J$7*(1+ShareRide!$H14*$J$8)*(1+Pricing!$I15*$J$9)*'Fleet Types'!$F24</f>
        <v>0</v>
      </c>
      <c r="D15" s="18">
        <f>City!$B$32*(1+City!$B$8)*D$4*(1+RideSource!$H16*$J$6)*nonDriver!D14*$J$7*(1+ShareRide!$H14*$J$8)*(1+Pricing!$I15*$J$9)*'Fleet Types'!$F24</f>
        <v>0</v>
      </c>
      <c r="E15" s="18">
        <f>City!$B$32*(1+City!$B$8)*E$4*(1+RideSource!$H16*$J$6)*nonDriver!E14*$J$7*(1+ShareRide!$H14*$J$8)*(1+Pricing!$I15*$J$9)*'Fleet Types'!$F24</f>
        <v>0</v>
      </c>
      <c r="F15" s="148">
        <f t="shared" si="0"/>
        <v>0</v>
      </c>
      <c r="G15" s="148">
        <f t="shared" si="1"/>
        <v>0</v>
      </c>
      <c r="H15" s="148">
        <f t="shared" si="2"/>
        <v>0</v>
      </c>
      <c r="I15" s="148">
        <f t="shared" si="3"/>
        <v>0</v>
      </c>
    </row>
    <row r="16" spans="1:20" x14ac:dyDescent="0.25">
      <c r="A16">
        <f t="shared" si="4"/>
        <v>11</v>
      </c>
      <c r="B16">
        <f t="shared" si="4"/>
        <v>2028</v>
      </c>
      <c r="C16" s="18">
        <f>City!$B$32*(1+City!$B$8)*C$4*(1+RideSource!$H17*$J$6)*nonDriver!C15*$J$7*(1+ShareRide!$H15*$J$8)*(1+Pricing!$I16*$J$9)*'Fleet Types'!$F25</f>
        <v>0</v>
      </c>
      <c r="D16" s="18">
        <f>City!$B$32*(1+City!$B$8)*D$4*(1+RideSource!$H17*$J$6)*nonDriver!D15*$J$7*(1+ShareRide!$H15*$J$8)*(1+Pricing!$I16*$J$9)*'Fleet Types'!$F25</f>
        <v>0</v>
      </c>
      <c r="E16" s="18">
        <f>City!$B$32*(1+City!$B$8)*E$4*(1+RideSource!$H17*$J$6)*nonDriver!E15*$J$7*(1+ShareRide!$H15*$J$8)*(1+Pricing!$I16*$J$9)*'Fleet Types'!$F25</f>
        <v>0</v>
      </c>
      <c r="F16" s="148">
        <f t="shared" si="0"/>
        <v>0</v>
      </c>
      <c r="G16" s="148">
        <f t="shared" si="1"/>
        <v>0</v>
      </c>
      <c r="H16" s="148">
        <f t="shared" si="2"/>
        <v>0</v>
      </c>
      <c r="I16" s="148">
        <f t="shared" si="3"/>
        <v>0</v>
      </c>
    </row>
    <row r="17" spans="1:29" x14ac:dyDescent="0.25">
      <c r="A17">
        <f t="shared" si="4"/>
        <v>12</v>
      </c>
      <c r="B17">
        <f t="shared" si="4"/>
        <v>2029</v>
      </c>
      <c r="C17" s="18">
        <f>City!$B$32*(1+City!$B$8)*C$4*(1+RideSource!$H18*$J$6)*nonDriver!C16*$J$7*(1+ShareRide!$H16*$J$8)*(1+Pricing!$I17*$J$9)*'Fleet Types'!$F26</f>
        <v>0</v>
      </c>
      <c r="D17" s="18">
        <f>City!$B$32*(1+City!$B$8)*D$4*(1+RideSource!$H18*$J$6)*nonDriver!D16*$J$7*(1+ShareRide!$H16*$J$8)*(1+Pricing!$I17*$J$9)*'Fleet Types'!$F26</f>
        <v>0</v>
      </c>
      <c r="E17" s="18">
        <f>City!$B$32*(1+City!$B$8)*E$4*(1+RideSource!$H18*$J$6)*nonDriver!E16*$J$7*(1+ShareRide!$H16*$J$8)*(1+Pricing!$I17*$J$9)*'Fleet Types'!$F26</f>
        <v>0</v>
      </c>
      <c r="F17" s="148">
        <f t="shared" si="0"/>
        <v>0</v>
      </c>
      <c r="G17" s="148">
        <f t="shared" si="1"/>
        <v>0</v>
      </c>
      <c r="H17" s="148">
        <f t="shared" si="2"/>
        <v>0</v>
      </c>
      <c r="I17" s="148">
        <f t="shared" si="3"/>
        <v>0</v>
      </c>
    </row>
    <row r="18" spans="1:29" x14ac:dyDescent="0.25">
      <c r="A18">
        <f t="shared" si="4"/>
        <v>13</v>
      </c>
      <c r="B18">
        <f t="shared" si="4"/>
        <v>2030</v>
      </c>
      <c r="C18" s="18">
        <f>City!$B$32*(1+City!$B$8)*C$4*(1+RideSource!$H19*$J$6)*nonDriver!C17*$J$7*(1+ShareRide!$H17*$J$8)*(1+Pricing!$I18*$J$9)*'Fleet Types'!$F27</f>
        <v>0</v>
      </c>
      <c r="D18" s="18">
        <f>City!$B$32*(1+City!$B$8)*D$4*(1+RideSource!$H19*$J$6)*nonDriver!D17*$J$7*(1+ShareRide!$H17*$J$8)*(1+Pricing!$I18*$J$9)*'Fleet Types'!$F27</f>
        <v>0</v>
      </c>
      <c r="E18" s="18">
        <f>City!$B$32*(1+City!$B$8)*E$4*(1+RideSource!$H19*$J$6)*nonDriver!E17*$J$7*(1+ShareRide!$H17*$J$8)*(1+Pricing!$I18*$J$9)*'Fleet Types'!$F27</f>
        <v>0</v>
      </c>
      <c r="F18" s="148">
        <f t="shared" si="0"/>
        <v>0</v>
      </c>
      <c r="G18" s="148">
        <f t="shared" si="1"/>
        <v>0</v>
      </c>
      <c r="H18" s="148">
        <f t="shared" si="2"/>
        <v>0</v>
      </c>
      <c r="I18" s="148">
        <f t="shared" si="3"/>
        <v>0</v>
      </c>
    </row>
    <row r="19" spans="1:29" x14ac:dyDescent="0.25">
      <c r="A19">
        <f t="shared" si="4"/>
        <v>14</v>
      </c>
      <c r="B19">
        <f t="shared" si="4"/>
        <v>2031</v>
      </c>
      <c r="C19" s="18">
        <f>City!$B$32*(1+City!$B$8)*C$4*(1+RideSource!$H20*$J$6)*nonDriver!C18*$J$7*(1+ShareRide!$H18*$J$8)*(1+Pricing!$I19*$J$9)*'Fleet Types'!$F28</f>
        <v>0</v>
      </c>
      <c r="D19" s="18">
        <f>City!$B$32*(1+City!$B$8)*D$4*(1+RideSource!$H20*$J$6)*nonDriver!D18*$J$7*(1+ShareRide!$H18*$J$8)*(1+Pricing!$I19*$J$9)*'Fleet Types'!$F28</f>
        <v>0</v>
      </c>
      <c r="E19" s="18">
        <f>City!$B$32*(1+City!$B$8)*E$4*(1+RideSource!$H20*$J$6)*nonDriver!E18*$J$7*(1+ShareRide!$H18*$J$8)*(1+Pricing!$I19*$J$9)*'Fleet Types'!$F28</f>
        <v>0</v>
      </c>
      <c r="F19" s="148">
        <f t="shared" si="0"/>
        <v>0</v>
      </c>
      <c r="G19" s="148">
        <f t="shared" si="1"/>
        <v>0</v>
      </c>
      <c r="H19" s="148">
        <f t="shared" si="2"/>
        <v>0</v>
      </c>
      <c r="I19" s="148">
        <f t="shared" si="3"/>
        <v>0</v>
      </c>
    </row>
    <row r="20" spans="1:29" x14ac:dyDescent="0.25">
      <c r="A20">
        <f t="shared" si="4"/>
        <v>15</v>
      </c>
      <c r="B20">
        <f t="shared" si="4"/>
        <v>2032</v>
      </c>
      <c r="C20" s="18">
        <f>City!$B$32*(1+City!$B$8)*C$4*(1+RideSource!$H21*$J$6)*nonDriver!C19*$J$7*(1+ShareRide!$H19*$J$8)*(1+Pricing!$I20*$J$9)*'Fleet Types'!$F29</f>
        <v>0</v>
      </c>
      <c r="D20" s="18">
        <f>City!$B$32*(1+City!$B$8)*D$4*(1+RideSource!$H21*$J$6)*nonDriver!D19*$J$7*(1+ShareRide!$H19*$J$8)*(1+Pricing!$I20*$J$9)*'Fleet Types'!$F29</f>
        <v>0</v>
      </c>
      <c r="E20" s="18">
        <f>City!$B$32*(1+City!$B$8)*E$4*(1+RideSource!$H21*$J$6)*nonDriver!E19*$J$7*(1+ShareRide!$H19*$J$8)*(1+Pricing!$I20*$J$9)*'Fleet Types'!$F29</f>
        <v>0</v>
      </c>
      <c r="F20" s="148">
        <f t="shared" si="0"/>
        <v>0</v>
      </c>
      <c r="G20" s="148">
        <f t="shared" si="1"/>
        <v>0</v>
      </c>
      <c r="H20" s="148">
        <f t="shared" si="2"/>
        <v>0</v>
      </c>
      <c r="I20" s="148">
        <f t="shared" si="3"/>
        <v>0</v>
      </c>
    </row>
    <row r="21" spans="1:29" x14ac:dyDescent="0.25">
      <c r="A21">
        <f t="shared" si="4"/>
        <v>16</v>
      </c>
      <c r="B21">
        <f t="shared" si="4"/>
        <v>2033</v>
      </c>
      <c r="C21" s="18">
        <f>City!$B$32*(1+City!$B$8)*C$4*(1+RideSource!$H22*$J$6)*nonDriver!C20*$J$7*(1+ShareRide!$H20*$J$8)*(1+Pricing!$I21*$J$9)*'Fleet Types'!$F30</f>
        <v>0</v>
      </c>
      <c r="D21" s="18">
        <f>City!$B$32*(1+City!$B$8)*D$4*(1+RideSource!$H22*$J$6)*nonDriver!D20*$J$7*(1+ShareRide!$H20*$J$8)*(1+Pricing!$I21*$J$9)*'Fleet Types'!$F30</f>
        <v>0</v>
      </c>
      <c r="E21" s="18">
        <f>City!$B$32*(1+City!$B$8)*E$4*(1+RideSource!$H22*$J$6)*nonDriver!E20*$J$7*(1+ShareRide!$H20*$J$8)*(1+Pricing!$I21*$J$9)*'Fleet Types'!$F30</f>
        <v>0</v>
      </c>
      <c r="F21" s="148">
        <f t="shared" si="0"/>
        <v>0</v>
      </c>
      <c r="G21" s="148">
        <f t="shared" si="1"/>
        <v>0</v>
      </c>
      <c r="H21" s="148">
        <f t="shared" si="2"/>
        <v>0</v>
      </c>
      <c r="I21" s="148">
        <f t="shared" si="3"/>
        <v>0</v>
      </c>
    </row>
    <row r="22" spans="1:29" x14ac:dyDescent="0.25">
      <c r="A22">
        <f t="shared" si="4"/>
        <v>17</v>
      </c>
      <c r="B22">
        <f t="shared" si="4"/>
        <v>2034</v>
      </c>
      <c r="C22" s="18">
        <f>City!$B$32*(1+City!$B$8)*C$4*(1+RideSource!$H23*$J$6)*nonDriver!C21*$J$7*(1+ShareRide!$H21*$J$8)*(1+Pricing!$I22*$J$9)*'Fleet Types'!$F31</f>
        <v>0</v>
      </c>
      <c r="D22" s="18">
        <f>City!$B$32*(1+City!$B$8)*D$4*(1+RideSource!$H23*$J$6)*nonDriver!D21*$J$7*(1+ShareRide!$H21*$J$8)*(1+Pricing!$I22*$J$9)*'Fleet Types'!$F31</f>
        <v>0</v>
      </c>
      <c r="E22" s="18">
        <f>City!$B$32*(1+City!$B$8)*E$4*(1+RideSource!$H23*$J$6)*nonDriver!E21*$J$7*(1+ShareRide!$H21*$J$8)*(1+Pricing!$I22*$J$9)*'Fleet Types'!$F31</f>
        <v>0</v>
      </c>
      <c r="F22" s="148">
        <f t="shared" si="0"/>
        <v>0</v>
      </c>
      <c r="G22" s="148">
        <f t="shared" si="1"/>
        <v>0</v>
      </c>
      <c r="H22" s="148">
        <f t="shared" si="2"/>
        <v>0</v>
      </c>
      <c r="I22" s="148">
        <f t="shared" si="3"/>
        <v>0</v>
      </c>
    </row>
    <row r="23" spans="1:29" x14ac:dyDescent="0.25">
      <c r="A23">
        <f t="shared" si="4"/>
        <v>18</v>
      </c>
      <c r="B23">
        <f t="shared" si="4"/>
        <v>2035</v>
      </c>
      <c r="C23" s="18">
        <f>City!$B$32*(1+City!$B$8)*C$4*(1+RideSource!$H24*$J$6)*nonDriver!C22*$J$7*(1+ShareRide!$H22*$J$8)*(1+Pricing!$I23*$J$9)*'Fleet Types'!$F32</f>
        <v>0</v>
      </c>
      <c r="D23" s="18">
        <f>City!$B$32*(1+City!$B$8)*D$4*(1+RideSource!$H24*$J$6)*nonDriver!D22*$J$7*(1+ShareRide!$H22*$J$8)*(1+Pricing!$I23*$J$9)*'Fleet Types'!$F32</f>
        <v>0</v>
      </c>
      <c r="E23" s="18">
        <f>City!$B$32*(1+City!$B$8)*E$4*(1+RideSource!$H24*$J$6)*nonDriver!E22*$J$7*(1+ShareRide!$H22*$J$8)*(1+Pricing!$I23*$J$9)*'Fleet Types'!$F32</f>
        <v>0</v>
      </c>
      <c r="F23" s="148">
        <f t="shared" si="0"/>
        <v>0</v>
      </c>
      <c r="G23" s="148">
        <f t="shared" si="1"/>
        <v>0</v>
      </c>
      <c r="H23" s="148">
        <f t="shared" si="2"/>
        <v>0</v>
      </c>
      <c r="I23" s="148">
        <f t="shared" si="3"/>
        <v>0</v>
      </c>
    </row>
    <row r="24" spans="1:29" x14ac:dyDescent="0.25">
      <c r="A24">
        <f t="shared" ref="A24:B39" si="5">A23+1</f>
        <v>19</v>
      </c>
      <c r="B24">
        <f t="shared" si="5"/>
        <v>2036</v>
      </c>
      <c r="C24" s="18">
        <f>City!$B$32*(1+City!$B$8)*C$4*(1+RideSource!$H25*$J$6)*nonDriver!C23*$J$7*(1+ShareRide!$H23*$J$8)*(1+Pricing!$I24*$J$9)*'Fleet Types'!$F33</f>
        <v>27389.264367363514</v>
      </c>
      <c r="D24" s="18">
        <f>City!$B$32*(1+City!$B$8)*D$4*(1+RideSource!$H25*$J$6)*nonDriver!D23*$J$7*(1+ShareRide!$H23*$J$8)*(1+Pricing!$I24*$J$9)*'Fleet Types'!$F33</f>
        <v>0</v>
      </c>
      <c r="E24" s="18">
        <f>City!$B$32*(1+City!$B$8)*E$4*(1+RideSource!$H25*$J$6)*nonDriver!E23*$J$7*(1+ShareRide!$H23*$J$8)*(1+Pricing!$I24*$J$9)*'Fleet Types'!$F33</f>
        <v>0</v>
      </c>
      <c r="F24" s="148">
        <f t="shared" si="0"/>
        <v>367016.14252267109</v>
      </c>
      <c r="G24" s="148">
        <f t="shared" si="1"/>
        <v>0</v>
      </c>
      <c r="H24" s="148">
        <f t="shared" si="2"/>
        <v>0</v>
      </c>
      <c r="I24" s="148">
        <f t="shared" si="3"/>
        <v>367016.14252267109</v>
      </c>
      <c r="Y24" s="138"/>
      <c r="Z24" s="138"/>
      <c r="AA24" s="138"/>
      <c r="AB24" s="138"/>
      <c r="AC24" s="138"/>
    </row>
    <row r="25" spans="1:29" x14ac:dyDescent="0.25">
      <c r="A25">
        <f t="shared" si="5"/>
        <v>20</v>
      </c>
      <c r="B25">
        <f t="shared" si="5"/>
        <v>2037</v>
      </c>
      <c r="C25" s="18">
        <f>City!$B$32*(1+City!$B$8)*C$4*(1+RideSource!$H26*$J$6)*nonDriver!C24*$J$7*(1+ShareRide!$H24*$J$8)*(1+Pricing!$I25*$J$9)*'Fleet Types'!$F34</f>
        <v>31874.282704189784</v>
      </c>
      <c r="D25" s="18">
        <f>City!$B$32*(1+City!$B$8)*D$4*(1+RideSource!$H26*$J$6)*nonDriver!D24*$J$7*(1+ShareRide!$H24*$J$8)*(1+Pricing!$I25*$J$9)*'Fleet Types'!$F34</f>
        <v>0</v>
      </c>
      <c r="E25" s="18">
        <f>City!$B$32*(1+City!$B$8)*E$4*(1+RideSource!$H26*$J$6)*nonDriver!E24*$J$7*(1+ShareRide!$H24*$J$8)*(1+Pricing!$I25*$J$9)*'Fleet Types'!$F34</f>
        <v>0</v>
      </c>
      <c r="F25" s="148">
        <f t="shared" si="0"/>
        <v>427115.3882361431</v>
      </c>
      <c r="G25" s="148">
        <f t="shared" si="1"/>
        <v>0</v>
      </c>
      <c r="H25" s="148">
        <f t="shared" si="2"/>
        <v>0</v>
      </c>
      <c r="I25" s="148">
        <f t="shared" si="3"/>
        <v>427115.3882361431</v>
      </c>
      <c r="O25" s="12"/>
      <c r="P25" s="150"/>
      <c r="T25" s="149"/>
      <c r="Z25" s="18"/>
      <c r="AA25" s="18"/>
      <c r="AB25" s="18"/>
      <c r="AC25" s="148"/>
    </row>
    <row r="26" spans="1:29" x14ac:dyDescent="0.25">
      <c r="A26">
        <f t="shared" si="5"/>
        <v>21</v>
      </c>
      <c r="B26">
        <f t="shared" si="5"/>
        <v>2038</v>
      </c>
      <c r="C26" s="18">
        <f>City!$B$32*(1+City!$B$8)*C$4*(1+RideSource!$H27*$J$6)*nonDriver!C25*$J$7*(1+ShareRide!$H25*$J$8)*(1+Pricing!$I26*$J$9)*'Fleet Types'!$F35</f>
        <v>36817.951181687888</v>
      </c>
      <c r="D26" s="18">
        <f>City!$B$32*(1+City!$B$8)*D$4*(1+RideSource!$H27*$J$6)*nonDriver!D25*$J$7*(1+ShareRide!$H25*$J$8)*(1+Pricing!$I26*$J$9)*'Fleet Types'!$F35</f>
        <v>55226.926772531842</v>
      </c>
      <c r="E26" s="18">
        <f>City!$B$32*(1+City!$B$8)*E$4*(1+RideSource!$H27*$J$6)*nonDriver!E25*$J$7*(1+ShareRide!$H25*$J$8)*(1+Pricing!$I26*$J$9)*'Fleet Types'!$F35</f>
        <v>0</v>
      </c>
      <c r="F26" s="148">
        <f t="shared" si="0"/>
        <v>493360.54583461769</v>
      </c>
      <c r="G26" s="148">
        <f t="shared" si="1"/>
        <v>839449.28694248397</v>
      </c>
      <c r="H26" s="148">
        <f t="shared" si="2"/>
        <v>0</v>
      </c>
      <c r="I26" s="148">
        <f t="shared" si="3"/>
        <v>1332809.8327771015</v>
      </c>
    </row>
    <row r="27" spans="1:29" x14ac:dyDescent="0.25">
      <c r="A27">
        <f t="shared" si="5"/>
        <v>22</v>
      </c>
      <c r="B27">
        <f t="shared" si="5"/>
        <v>2039</v>
      </c>
      <c r="C27" s="18">
        <f>City!$B$32*(1+City!$B$8)*C$4*(1+RideSource!$H28*$J$6)*nonDriver!C26*$J$7*(1+ShareRide!$H26*$J$8)*(1+Pricing!$I27*$J$9)*'Fleet Types'!$F36</f>
        <v>42009.181595013943</v>
      </c>
      <c r="D27" s="18">
        <f>City!$B$32*(1+City!$B$8)*D$4*(1+RideSource!$H28*$J$6)*nonDriver!D26*$J$7*(1+ShareRide!$H26*$J$8)*(1+Pricing!$I27*$J$9)*'Fleet Types'!$F36</f>
        <v>63013.772392520914</v>
      </c>
      <c r="E27" s="18">
        <f>City!$B$32*(1+City!$B$8)*E$4*(1+RideSource!$H28*$J$6)*nonDriver!E26*$J$7*(1+ShareRide!$H26*$J$8)*(1+Pricing!$I27*$J$9)*'Fleet Types'!$F36</f>
        <v>0</v>
      </c>
      <c r="F27" s="148">
        <f t="shared" si="0"/>
        <v>562923.03337318683</v>
      </c>
      <c r="G27" s="148">
        <f t="shared" si="1"/>
        <v>957809.34036631789</v>
      </c>
      <c r="H27" s="148">
        <f t="shared" si="2"/>
        <v>0</v>
      </c>
      <c r="I27" s="148">
        <f t="shared" si="3"/>
        <v>1520732.3737395047</v>
      </c>
    </row>
    <row r="28" spans="1:29" x14ac:dyDescent="0.25">
      <c r="A28">
        <f t="shared" si="5"/>
        <v>23</v>
      </c>
      <c r="B28">
        <f t="shared" si="5"/>
        <v>2040</v>
      </c>
      <c r="C28" s="18">
        <f>City!$B$32*(1+City!$B$8)*C$4*(1+RideSource!$H29*$J$6)*nonDriver!C27*$J$7*(1+ShareRide!$H27*$J$8)*(1+Pricing!$I28*$J$9)*'Fleet Types'!$F37</f>
        <v>47601.730046368342</v>
      </c>
      <c r="D28" s="18">
        <f>City!$B$32*(1+City!$B$8)*D$4*(1+RideSource!$H29*$J$6)*nonDriver!D27*$J$7*(1+ShareRide!$H27*$J$8)*(1+Pricing!$I28*$J$9)*'Fleet Types'!$F37</f>
        <v>71402.59506955251</v>
      </c>
      <c r="E28" s="18">
        <f>City!$B$32*(1+City!$B$8)*E$4*(1+RideSource!$H29*$J$6)*nonDriver!E27*$J$7*(1+ShareRide!$H27*$J$8)*(1+Pricing!$I28*$J$9)*'Fleet Types'!$F37</f>
        <v>0</v>
      </c>
      <c r="F28" s="148">
        <f t="shared" si="0"/>
        <v>637863.18262133584</v>
      </c>
      <c r="G28" s="148">
        <f t="shared" si="1"/>
        <v>1085319.4450571982</v>
      </c>
      <c r="H28" s="148">
        <f t="shared" si="2"/>
        <v>0</v>
      </c>
      <c r="I28" s="148">
        <f t="shared" si="3"/>
        <v>1723182.627678534</v>
      </c>
    </row>
    <row r="29" spans="1:29" x14ac:dyDescent="0.25">
      <c r="A29">
        <f t="shared" si="5"/>
        <v>24</v>
      </c>
      <c r="B29">
        <f t="shared" si="5"/>
        <v>2041</v>
      </c>
      <c r="C29" s="18">
        <f>City!$B$32*(1+City!$B$8)*C$4*(1+RideSource!$H30*$J$6)*nonDriver!C28*$J$7*(1+ShareRide!$H28*$J$8)*(1+Pricing!$I29*$J$9)*'Fleet Types'!$F38</f>
        <v>53549.008526442733</v>
      </c>
      <c r="D29" s="18">
        <f>City!$B$32*(1+City!$B$8)*D$4*(1+RideSource!$H30*$J$6)*nonDriver!D28*$J$7*(1+ShareRide!$H28*$J$8)*(1+Pricing!$I29*$J$9)*'Fleet Types'!$F38</f>
        <v>80323.512789664092</v>
      </c>
      <c r="E29" s="18">
        <f>City!$B$32*(1+City!$B$8)*E$4*(1+RideSource!$H30*$J$6)*nonDriver!E28*$J$7*(1+ShareRide!$H28*$J$8)*(1+Pricing!$I29*$J$9)*'Fleet Types'!$F38</f>
        <v>0</v>
      </c>
      <c r="F29" s="148">
        <f t="shared" si="0"/>
        <v>717556.71425433259</v>
      </c>
      <c r="G29" s="148">
        <f t="shared" si="1"/>
        <v>1220917.3944028942</v>
      </c>
      <c r="H29" s="148">
        <f t="shared" si="2"/>
        <v>0</v>
      </c>
      <c r="I29" s="148">
        <f t="shared" si="3"/>
        <v>1938474.1086572269</v>
      </c>
    </row>
    <row r="30" spans="1:29" x14ac:dyDescent="0.25">
      <c r="A30">
        <f t="shared" si="5"/>
        <v>25</v>
      </c>
      <c r="B30">
        <f t="shared" si="5"/>
        <v>2042</v>
      </c>
      <c r="C30" s="18">
        <f>City!$B$32*(1+City!$B$8)*C$4*(1+RideSource!$H31*$J$6)*nonDriver!C29*$J$7*(1+ShareRide!$H29*$J$8)*(1+Pricing!$I30*$J$9)*'Fleet Types'!$F39</f>
        <v>59832.365315679002</v>
      </c>
      <c r="D30" s="18">
        <f>City!$B$32*(1+City!$B$8)*D$4*(1+RideSource!$H31*$J$6)*nonDriver!D29*$J$7*(1+ShareRide!$H29*$J$8)*(1+Pricing!$I30*$J$9)*'Fleet Types'!$F39</f>
        <v>89748.547973518507</v>
      </c>
      <c r="E30" s="18">
        <f>City!$B$32*(1+City!$B$8)*E$4*(1+RideSource!$H31*$J$6)*nonDriver!E29*$J$7*(1+ShareRide!$H29*$J$8)*(1+Pricing!$I30*$J$9)*'Fleet Types'!$F39</f>
        <v>0</v>
      </c>
      <c r="F30" s="148">
        <f t="shared" si="0"/>
        <v>801753.69523009867</v>
      </c>
      <c r="G30" s="148">
        <f t="shared" si="1"/>
        <v>1364177.9291974811</v>
      </c>
      <c r="H30" s="148">
        <f t="shared" si="2"/>
        <v>0</v>
      </c>
      <c r="I30" s="148">
        <f t="shared" si="3"/>
        <v>2165931.6244275798</v>
      </c>
    </row>
    <row r="31" spans="1:29" x14ac:dyDescent="0.25">
      <c r="A31">
        <f t="shared" si="5"/>
        <v>26</v>
      </c>
      <c r="B31">
        <f t="shared" si="5"/>
        <v>2043</v>
      </c>
      <c r="C31" s="18">
        <f>City!$B$32*(1+City!$B$8)*C$4*(1+RideSource!$H32*$J$6)*nonDriver!C30*$J$7*(1+ShareRide!$H30*$J$8)*(1+Pricing!$I31*$J$9)*'Fleet Types'!$F40</f>
        <v>66398.674569784445</v>
      </c>
      <c r="D31" s="18">
        <f>City!$B$32*(1+City!$B$8)*D$4*(1+RideSource!$H32*$J$6)*nonDriver!D30*$J$7*(1+ShareRide!$H30*$J$8)*(1+Pricing!$I31*$J$9)*'Fleet Types'!$F40</f>
        <v>99598.011854676675</v>
      </c>
      <c r="E31" s="18">
        <f>City!$B$32*(1+City!$B$8)*E$4*(1+RideSource!$H32*$J$6)*nonDriver!E30*$J$7*(1+ShareRide!$H30*$J$8)*(1+Pricing!$I31*$J$9)*'Fleet Types'!$F40</f>
        <v>0</v>
      </c>
      <c r="F31" s="148">
        <f t="shared" si="0"/>
        <v>889742.23923511163</v>
      </c>
      <c r="G31" s="148">
        <f t="shared" si="1"/>
        <v>1513889.7801910853</v>
      </c>
      <c r="H31" s="148">
        <f t="shared" si="2"/>
        <v>0</v>
      </c>
      <c r="I31" s="148">
        <f t="shared" si="3"/>
        <v>2403632.0194261968</v>
      </c>
    </row>
    <row r="32" spans="1:29" x14ac:dyDescent="0.25">
      <c r="A32">
        <f t="shared" si="5"/>
        <v>27</v>
      </c>
      <c r="B32">
        <f t="shared" si="5"/>
        <v>2044</v>
      </c>
      <c r="C32" s="18">
        <f>City!$B$32*(1+City!$B$8)*C$4*(1+RideSource!$H33*$J$6)*nonDriver!C31*$J$7*(1+ShareRide!$H31*$J$8)*(1+Pricing!$I32*$J$9)*'Fleet Types'!$F41</f>
        <v>73179.739908809992</v>
      </c>
      <c r="D32" s="18">
        <f>City!$B$32*(1+City!$B$8)*D$4*(1+RideSource!$H33*$J$6)*nonDriver!D31*$J$7*(1+ShareRide!$H31*$J$8)*(1+Pricing!$I32*$J$9)*'Fleet Types'!$F41</f>
        <v>109769.609863215</v>
      </c>
      <c r="E32" s="18">
        <f>City!$B$32*(1+City!$B$8)*E$4*(1+RideSource!$H33*$J$6)*nonDriver!E31*$J$7*(1+ShareRide!$H31*$J$8)*(1+Pricing!$I32*$J$9)*'Fleet Types'!$F41</f>
        <v>0</v>
      </c>
      <c r="F32" s="148">
        <f t="shared" si="0"/>
        <v>980608.51477805397</v>
      </c>
      <c r="G32" s="148">
        <f t="shared" si="1"/>
        <v>1668498.0699208679</v>
      </c>
      <c r="H32" s="148">
        <f t="shared" si="2"/>
        <v>0</v>
      </c>
      <c r="I32" s="148">
        <f t="shared" si="3"/>
        <v>2649106.584698922</v>
      </c>
    </row>
    <row r="33" spans="1:9" x14ac:dyDescent="0.25">
      <c r="A33">
        <f t="shared" si="5"/>
        <v>28</v>
      </c>
      <c r="B33">
        <f t="shared" si="5"/>
        <v>2045</v>
      </c>
      <c r="C33" s="18">
        <f>City!$B$32*(1+City!$B$8)*C$4*(1+RideSource!$H34*$J$6)*nonDriver!C32*$J$7*(1+ShareRide!$H32*$J$8)*(1+Pricing!$I33*$J$9)*'Fleet Types'!$F42</f>
        <v>80095.187392206353</v>
      </c>
      <c r="D33" s="18">
        <f>City!$B$32*(1+City!$B$8)*D$4*(1+RideSource!$H34*$J$6)*nonDriver!D32*$J$7*(1+ShareRide!$H32*$J$8)*(1+Pricing!$I33*$J$9)*'Fleet Types'!$F42</f>
        <v>120142.78108830952</v>
      </c>
      <c r="E33" s="18">
        <f>City!$B$32*(1+City!$B$8)*E$4*(1+RideSource!$H34*$J$6)*nonDriver!E32*$J$7*(1+ShareRide!$H32*$J$8)*(1+Pricing!$I33*$J$9)*'Fleet Types'!$F42</f>
        <v>0</v>
      </c>
      <c r="F33" s="148">
        <f t="shared" si="0"/>
        <v>1073275.5110555652</v>
      </c>
      <c r="G33" s="148">
        <f t="shared" si="1"/>
        <v>1826170.2725423046</v>
      </c>
      <c r="H33" s="148">
        <f t="shared" si="2"/>
        <v>0</v>
      </c>
      <c r="I33" s="148">
        <f t="shared" si="3"/>
        <v>2899445.7835978698</v>
      </c>
    </row>
    <row r="34" spans="1:9" x14ac:dyDescent="0.25">
      <c r="A34">
        <f t="shared" si="5"/>
        <v>29</v>
      </c>
      <c r="B34">
        <f t="shared" si="5"/>
        <v>2046</v>
      </c>
      <c r="C34" s="18">
        <f>City!$B$32*(1+City!$B$8)*C$4*(1+RideSource!$H35*$J$6)*nonDriver!C33*$J$7*(1+ShareRide!$H33*$J$8)*(1+Pricing!$I34*$J$9)*'Fleet Types'!$F43</f>
        <v>87056.967202618398</v>
      </c>
      <c r="D34" s="18">
        <f>City!$B$32*(1+City!$B$8)*D$4*(1+RideSource!$H35*$J$6)*nonDriver!D33*$J$7*(1+ShareRide!$H33*$J$8)*(1+Pricing!$I34*$J$9)*'Fleet Types'!$F43</f>
        <v>130585.4508039276</v>
      </c>
      <c r="E34" s="18">
        <f>City!$B$32*(1+City!$B$8)*E$4*(1+RideSource!$H35*$J$6)*nonDriver!E33*$J$7*(1+ShareRide!$H33*$J$8)*(1+Pricing!$I34*$J$9)*'Fleet Types'!$F43</f>
        <v>0</v>
      </c>
      <c r="F34" s="148">
        <f t="shared" si="0"/>
        <v>1166563.3605150867</v>
      </c>
      <c r="G34" s="148">
        <f t="shared" si="1"/>
        <v>1984898.8522196994</v>
      </c>
      <c r="H34" s="148">
        <f t="shared" si="2"/>
        <v>0</v>
      </c>
      <c r="I34" s="148">
        <f t="shared" si="3"/>
        <v>3151462.2127347859</v>
      </c>
    </row>
    <row r="35" spans="1:9" x14ac:dyDescent="0.25">
      <c r="A35">
        <f t="shared" si="5"/>
        <v>30</v>
      </c>
      <c r="B35">
        <f t="shared" si="5"/>
        <v>2047</v>
      </c>
      <c r="C35" s="18">
        <f>City!$B$32*(1+City!$B$8)*C$4*(1+RideSource!$H36*$J$6)*nonDriver!C34*$J$7*(1+ShareRide!$H34*$J$8)*(1+Pricing!$I35*$J$9)*'Fleet Types'!$F44</f>
        <v>93974.932182357312</v>
      </c>
      <c r="D35" s="18">
        <f>City!$B$32*(1+City!$B$8)*D$4*(1+RideSource!$H36*$J$6)*nonDriver!D34*$J$7*(1+ShareRide!$H34*$J$8)*(1+Pricing!$I35*$J$9)*'Fleet Types'!$F44</f>
        <v>140962.39827353598</v>
      </c>
      <c r="E35" s="18">
        <f>City!$B$32*(1+City!$B$8)*E$4*(1+RideSource!$H36*$J$6)*nonDriver!E34*$J$7*(1+ShareRide!$H34*$J$8)*(1+Pricing!$I35*$J$9)*'Fleet Types'!$F44</f>
        <v>0</v>
      </c>
      <c r="F35" s="148">
        <f t="shared" si="0"/>
        <v>1259264.0912435879</v>
      </c>
      <c r="G35" s="148">
        <f t="shared" si="1"/>
        <v>2142628.4537577466</v>
      </c>
      <c r="H35" s="148">
        <f t="shared" si="2"/>
        <v>0</v>
      </c>
      <c r="I35" s="148">
        <f t="shared" si="3"/>
        <v>3401892.5450013345</v>
      </c>
    </row>
    <row r="36" spans="1:9" x14ac:dyDescent="0.25">
      <c r="A36">
        <f t="shared" si="5"/>
        <v>31</v>
      </c>
      <c r="B36">
        <f t="shared" si="5"/>
        <v>2048</v>
      </c>
      <c r="C36" s="18">
        <f>City!$B$32*(1+City!$B$8)*C$4*(1+RideSource!$H37*$J$6)*nonDriver!C35*$J$7*(1+ShareRide!$H35*$J$8)*(1+Pricing!$I36*$J$9)*'Fleet Types'!$F45</f>
        <v>100762.69576344258</v>
      </c>
      <c r="D36" s="18">
        <f>City!$B$32*(1+City!$B$8)*D$4*(1+RideSource!$H37*$J$6)*nonDriver!D35*$J$7*(1+ShareRide!$H35*$J$8)*(1+Pricing!$I36*$J$9)*'Fleet Types'!$F45</f>
        <v>151144.04364516385</v>
      </c>
      <c r="E36" s="18">
        <f>City!$B$32*(1+City!$B$8)*E$4*(1+RideSource!$H37*$J$6)*nonDriver!E35*$J$7*(1+ShareRide!$H35*$J$8)*(1+Pricing!$I36*$J$9)*'Fleet Types'!$F45</f>
        <v>0</v>
      </c>
      <c r="F36" s="148">
        <f t="shared" si="0"/>
        <v>1350220.1232301306</v>
      </c>
      <c r="G36" s="148">
        <f t="shared" si="1"/>
        <v>2297389.4634064906</v>
      </c>
      <c r="H36" s="148">
        <f t="shared" si="2"/>
        <v>0</v>
      </c>
      <c r="I36" s="148">
        <f t="shared" si="3"/>
        <v>3647609.5866366215</v>
      </c>
    </row>
    <row r="37" spans="1:9" x14ac:dyDescent="0.25">
      <c r="A37">
        <f t="shared" si="5"/>
        <v>32</v>
      </c>
      <c r="B37">
        <f t="shared" si="5"/>
        <v>2049</v>
      </c>
      <c r="C37" s="18">
        <f>City!$B$32*(1+City!$B$8)*C$4*(1+RideSource!$H38*$J$6)*nonDriver!C36*$J$7*(1+ShareRide!$H36*$J$8)*(1+Pricing!$I37*$J$9)*'Fleet Types'!$F46</f>
        <v>107342.90322333391</v>
      </c>
      <c r="D37" s="18">
        <f>City!$B$32*(1+City!$B$8)*D$4*(1+RideSource!$H38*$J$6)*nonDriver!D36*$J$7*(1+ShareRide!$H36*$J$8)*(1+Pricing!$I37*$J$9)*'Fleet Types'!$F46</f>
        <v>161014.35483500088</v>
      </c>
      <c r="E37" s="18">
        <f>City!$B$32*(1+City!$B$8)*E$4*(1+RideSource!$H38*$J$6)*nonDriver!E36*$J$7*(1+ShareRide!$H36*$J$8)*(1+Pricing!$I37*$J$9)*'Fleet Types'!$F46</f>
        <v>0</v>
      </c>
      <c r="F37" s="148">
        <f t="shared" si="0"/>
        <v>1438394.9031926745</v>
      </c>
      <c r="G37" s="148">
        <f t="shared" si="1"/>
        <v>2447418.193492013</v>
      </c>
      <c r="H37" s="148">
        <f t="shared" si="2"/>
        <v>0</v>
      </c>
      <c r="I37" s="148">
        <f t="shared" si="3"/>
        <v>3885813.0966846878</v>
      </c>
    </row>
    <row r="38" spans="1:9" x14ac:dyDescent="0.25">
      <c r="A38">
        <f t="shared" si="5"/>
        <v>33</v>
      </c>
      <c r="B38">
        <f t="shared" si="5"/>
        <v>2050</v>
      </c>
      <c r="C38" s="18">
        <f>City!$B$32*(1+City!$B$8)*C$4*(1+RideSource!$H39*$J$6)*nonDriver!C37*$J$7*(1+ShareRide!$H37*$J$8)*(1+Pricing!$I38*$J$9)*'Fleet Types'!$F47</f>
        <v>113651.20463534749</v>
      </c>
      <c r="D38" s="18">
        <f>City!$B$32*(1+City!$B$8)*D$4*(1+RideSource!$H39*$J$6)*nonDriver!D37*$J$7*(1+ShareRide!$H37*$J$8)*(1+Pricing!$I38*$J$9)*'Fleet Types'!$F47</f>
        <v>170476.80695302124</v>
      </c>
      <c r="E38" s="18">
        <f>City!$B$32*(1+City!$B$8)*E$4*(1+RideSource!$H39*$J$6)*nonDriver!E37*$J$7*(1+ShareRide!$H37*$J$8)*(1+Pricing!$I38*$J$9)*'Fleet Types'!$F47</f>
        <v>0</v>
      </c>
      <c r="F38" s="148">
        <f t="shared" si="0"/>
        <v>1522926.1421136563</v>
      </c>
      <c r="G38" s="148">
        <f t="shared" si="1"/>
        <v>2591247.4656859227</v>
      </c>
      <c r="H38" s="148">
        <f t="shared" si="2"/>
        <v>0</v>
      </c>
      <c r="I38" s="148">
        <f t="shared" si="3"/>
        <v>4114173.6077995789</v>
      </c>
    </row>
    <row r="39" spans="1:9" x14ac:dyDescent="0.25">
      <c r="A39">
        <f t="shared" si="5"/>
        <v>34</v>
      </c>
      <c r="B39">
        <f t="shared" si="5"/>
        <v>2051</v>
      </c>
      <c r="C39" s="18">
        <f>City!$B$32*(1+City!$B$8)*C$4*(1+RideSource!$H40*$J$6)*nonDriver!C38*$J$7*(1+ShareRide!$H38*$J$8)*(1+Pricing!$I39*$J$9)*'Fleet Types'!$F48</f>
        <v>119514.44644234479</v>
      </c>
      <c r="D39" s="18">
        <f>City!$B$32*(1+City!$B$8)*D$4*(1+RideSource!$H40*$J$6)*nonDriver!D38*$J$7*(1+ShareRide!$H38*$J$8)*(1+Pricing!$I39*$J$9)*'Fleet Types'!$F48</f>
        <v>179271.66966351718</v>
      </c>
      <c r="E39" s="18">
        <f>City!$B$32*(1+City!$B$8)*E$4*(1+RideSource!$H40*$J$6)*nonDriver!E38*$J$7*(1+ShareRide!$H38*$J$8)*(1+Pricing!$I39*$J$9)*'Fleet Types'!$F48</f>
        <v>0</v>
      </c>
      <c r="F39" s="148">
        <f t="shared" si="0"/>
        <v>1601493.5823274204</v>
      </c>
      <c r="G39" s="148">
        <f t="shared" si="1"/>
        <v>2724929.378885461</v>
      </c>
      <c r="H39" s="148">
        <f t="shared" si="2"/>
        <v>0</v>
      </c>
      <c r="I39" s="148">
        <f t="shared" ref="I39:I58" si="6">SUMPRODUCT(C39:E39*F$4:H$4)</f>
        <v>4326422.9612128809</v>
      </c>
    </row>
    <row r="40" spans="1:9" x14ac:dyDescent="0.25">
      <c r="A40">
        <f t="shared" ref="A40:B55" si="7">A39+1</f>
        <v>35</v>
      </c>
      <c r="B40">
        <f t="shared" si="7"/>
        <v>2052</v>
      </c>
      <c r="C40" s="18">
        <f>City!$B$32*(1+City!$B$8)*C$4*(1+RideSource!$H41*$J$6)*nonDriver!C39*$J$7*(1+ShareRide!$H39*$J$8)*(1+Pricing!$I40*$J$9)*'Fleet Types'!$F49</f>
        <v>124925.78428438648</v>
      </c>
      <c r="D40" s="18">
        <f>City!$B$32*(1+City!$B$8)*D$4*(1+RideSource!$H41*$J$6)*nonDriver!D39*$J$7*(1+ShareRide!$H39*$J$8)*(1+Pricing!$I40*$J$9)*'Fleet Types'!$F49</f>
        <v>187388.67642657974</v>
      </c>
      <c r="E40" s="18">
        <f>City!$B$32*(1+City!$B$8)*E$4*(1+RideSource!$H41*$J$6)*nonDriver!E39*$J$7*(1+ShareRide!$H39*$J$8)*(1+Pricing!$I40*$J$9)*'Fleet Types'!$F49</f>
        <v>0</v>
      </c>
      <c r="F40" s="148">
        <f t="shared" si="0"/>
        <v>1674005.5094107788</v>
      </c>
      <c r="G40" s="148">
        <f t="shared" si="1"/>
        <v>2848307.8816840118</v>
      </c>
      <c r="H40" s="148">
        <f t="shared" si="2"/>
        <v>0</v>
      </c>
      <c r="I40" s="148">
        <f t="shared" si="6"/>
        <v>4522313.3910947908</v>
      </c>
    </row>
    <row r="41" spans="1:9" x14ac:dyDescent="0.25">
      <c r="A41">
        <f t="shared" si="7"/>
        <v>36</v>
      </c>
      <c r="B41">
        <f t="shared" si="7"/>
        <v>2053</v>
      </c>
      <c r="C41" s="18">
        <f>City!$B$32*(1+City!$B$8)*C$4*(1+RideSource!$H42*$J$6)*nonDriver!C40*$J$7*(1+ShareRide!$H40*$J$8)*(1+Pricing!$I41*$J$9)*'Fleet Types'!$F50</f>
        <v>129947.66813381974</v>
      </c>
      <c r="D41" s="18">
        <f>City!$B$32*(1+City!$B$8)*D$4*(1+RideSource!$H42*$J$6)*nonDriver!D40*$J$7*(1+ShareRide!$H40*$J$8)*(1+Pricing!$I41*$J$9)*'Fleet Types'!$F50</f>
        <v>194921.50220072962</v>
      </c>
      <c r="E41" s="18">
        <f>City!$B$32*(1+City!$B$8)*E$4*(1+RideSource!$H42*$J$6)*nonDriver!E40*$J$7*(1+ShareRide!$H40*$J$8)*(1+Pricing!$I41*$J$9)*'Fleet Types'!$F50</f>
        <v>0</v>
      </c>
      <c r="F41" s="148">
        <f t="shared" si="0"/>
        <v>1741298.7529931846</v>
      </c>
      <c r="G41" s="148">
        <f t="shared" si="1"/>
        <v>2962806.8334510899</v>
      </c>
      <c r="H41" s="148">
        <f t="shared" si="2"/>
        <v>0</v>
      </c>
      <c r="I41" s="148">
        <f t="shared" si="6"/>
        <v>4704105.5864442745</v>
      </c>
    </row>
    <row r="42" spans="1:9" x14ac:dyDescent="0.25">
      <c r="A42">
        <f t="shared" si="7"/>
        <v>37</v>
      </c>
      <c r="B42">
        <f t="shared" si="7"/>
        <v>2054</v>
      </c>
      <c r="C42" s="18">
        <f>City!$B$32*(1+City!$B$8)*C$4*(1+RideSource!$H43*$J$6)*nonDriver!C41*$J$7*(1+ShareRide!$H41*$J$8)*(1+Pricing!$I42*$J$9)*'Fleet Types'!$F51</f>
        <v>134576.88704925345</v>
      </c>
      <c r="D42" s="18">
        <f>City!$B$32*(1+City!$B$8)*D$4*(1+RideSource!$H43*$J$6)*nonDriver!D41*$J$7*(1+ShareRide!$H41*$J$8)*(1+Pricing!$I42*$J$9)*'Fleet Types'!$F51</f>
        <v>201865.3305738802</v>
      </c>
      <c r="E42" s="18">
        <f>City!$B$32*(1+City!$B$8)*E$4*(1+RideSource!$H43*$J$6)*nonDriver!E41*$J$7*(1+ShareRide!$H41*$J$8)*(1+Pricing!$I42*$J$9)*'Fleet Types'!$F51</f>
        <v>0</v>
      </c>
      <c r="F42" s="148">
        <f t="shared" si="0"/>
        <v>1803330.2864599964</v>
      </c>
      <c r="G42" s="148">
        <f t="shared" si="1"/>
        <v>3068353.0247229789</v>
      </c>
      <c r="H42" s="148">
        <f t="shared" si="2"/>
        <v>0</v>
      </c>
      <c r="I42" s="148">
        <f t="shared" si="6"/>
        <v>4871683.3111829758</v>
      </c>
    </row>
    <row r="43" spans="1:9" x14ac:dyDescent="0.25">
      <c r="A43">
        <f t="shared" si="7"/>
        <v>38</v>
      </c>
      <c r="B43">
        <f t="shared" si="7"/>
        <v>2055</v>
      </c>
      <c r="C43" s="18">
        <f>City!$B$32*(1+City!$B$8)*C$4*(1+RideSource!$H44*$J$6)*nonDriver!C42*$J$7*(1+ShareRide!$H42*$J$8)*(1+Pricing!$I43*$J$9)*'Fleet Types'!$F52</f>
        <v>138820.74361448956</v>
      </c>
      <c r="D43" s="18">
        <f>City!$B$32*(1+City!$B$8)*D$4*(1+RideSource!$H44*$J$6)*nonDriver!D42*$J$7*(1+ShareRide!$H42*$J$8)*(1+Pricing!$I43*$J$9)*'Fleet Types'!$F52</f>
        <v>208231.11542173434</v>
      </c>
      <c r="E43" s="18">
        <f>City!$B$32*(1+City!$B$8)*E$4*(1+RideSource!$H44*$J$6)*nonDriver!E42*$J$7*(1+ShareRide!$H42*$J$8)*(1+Pricing!$I43*$J$9)*'Fleet Types'!$F52</f>
        <v>0</v>
      </c>
      <c r="F43" s="148">
        <f t="shared" si="0"/>
        <v>1860197.9644341602</v>
      </c>
      <c r="G43" s="148">
        <f t="shared" si="1"/>
        <v>3165112.9544103621</v>
      </c>
      <c r="H43" s="148">
        <f t="shared" si="2"/>
        <v>0</v>
      </c>
      <c r="I43" s="148">
        <f t="shared" si="6"/>
        <v>5025310.918844522</v>
      </c>
    </row>
    <row r="44" spans="1:9" x14ac:dyDescent="0.25">
      <c r="A44">
        <f t="shared" si="7"/>
        <v>39</v>
      </c>
      <c r="B44">
        <f t="shared" si="7"/>
        <v>2056</v>
      </c>
      <c r="C44" s="18">
        <f>City!$B$32*(1+City!$B$8)*C$4*(1+RideSource!$H45*$J$6)*nonDriver!C43*$J$7*(1+ShareRide!$H43*$J$8)*(1+Pricing!$I44*$J$9)*'Fleet Types'!$F53</f>
        <v>142694.40134941752</v>
      </c>
      <c r="D44" s="18">
        <f>City!$B$32*(1+City!$B$8)*D$4*(1+RideSource!$H45*$J$6)*nonDriver!D43*$J$7*(1+ShareRide!$H43*$J$8)*(1+Pricing!$I44*$J$9)*'Fleet Types'!$F53</f>
        <v>214041.60202412624</v>
      </c>
      <c r="E44" s="18">
        <f>City!$B$32*(1+City!$B$8)*E$4*(1+RideSource!$H45*$J$6)*nonDriver!E43*$J$7*(1+ShareRide!$H43*$J$8)*(1+Pricing!$I44*$J$9)*'Fleet Types'!$F53</f>
        <v>0</v>
      </c>
      <c r="F44" s="148">
        <f t="shared" si="0"/>
        <v>1912104.9780821947</v>
      </c>
      <c r="G44" s="148">
        <f t="shared" si="1"/>
        <v>3253432.3507667189</v>
      </c>
      <c r="H44" s="148">
        <f t="shared" si="2"/>
        <v>0</v>
      </c>
      <c r="I44" s="148">
        <f t="shared" si="6"/>
        <v>5165537.3288489133</v>
      </c>
    </row>
    <row r="45" spans="1:9" x14ac:dyDescent="0.25">
      <c r="A45">
        <f t="shared" si="7"/>
        <v>40</v>
      </c>
      <c r="B45">
        <f t="shared" si="7"/>
        <v>2057</v>
      </c>
      <c r="C45" s="18">
        <f>City!$B$32*(1+City!$B$8)*C$4*(1+RideSource!$H46*$J$6)*nonDriver!C44*$J$7*(1+ShareRide!$H44*$J$8)*(1+Pricing!$I45*$J$9)*'Fleet Types'!$F54</f>
        <v>146218.41800303443</v>
      </c>
      <c r="D45" s="18">
        <f>City!$B$32*(1+City!$B$8)*D$4*(1+RideSource!$H46*$J$6)*nonDriver!D44*$J$7*(1+ShareRide!$H44*$J$8)*(1+Pricing!$I45*$J$9)*'Fleet Types'!$F54</f>
        <v>219327.62700455164</v>
      </c>
      <c r="E45" s="18">
        <f>City!$B$32*(1+City!$B$8)*E$4*(1+RideSource!$H46*$J$6)*nonDriver!E44*$J$7*(1+ShareRide!$H44*$J$8)*(1+Pricing!$I45*$J$9)*'Fleet Types'!$F54</f>
        <v>0</v>
      </c>
      <c r="F45" s="148">
        <f t="shared" si="0"/>
        <v>1959326.8012406614</v>
      </c>
      <c r="G45" s="148">
        <f t="shared" si="1"/>
        <v>3333779.9304691846</v>
      </c>
      <c r="H45" s="148">
        <f t="shared" si="2"/>
        <v>0</v>
      </c>
      <c r="I45" s="148">
        <f t="shared" si="6"/>
        <v>5293106.7317098463</v>
      </c>
    </row>
    <row r="46" spans="1:9" x14ac:dyDescent="0.25">
      <c r="A46">
        <f t="shared" si="7"/>
        <v>41</v>
      </c>
      <c r="B46">
        <f t="shared" si="7"/>
        <v>2058</v>
      </c>
      <c r="C46" s="18">
        <f>City!$B$32*(1+City!$B$8)*C$4*(1+RideSource!$H47*$J$6)*nonDriver!C45*$J$7*(1+ShareRide!$H45*$J$8)*(1+Pricing!$I46*$J$9)*'Fleet Types'!$F55</f>
        <v>149416.63255376089</v>
      </c>
      <c r="D46" s="18">
        <f>City!$B$32*(1+City!$B$8)*D$4*(1+RideSource!$H47*$J$6)*nonDriver!D45*$J$7*(1+ShareRide!$H45*$J$8)*(1+Pricing!$I46*$J$9)*'Fleet Types'!$F55</f>
        <v>224124.94883064131</v>
      </c>
      <c r="E46" s="18">
        <f>City!$B$32*(1+City!$B$8)*E$4*(1+RideSource!$H47*$J$6)*nonDriver!E45*$J$7*(1+ShareRide!$H45*$J$8)*(1+Pricing!$I46*$J$9)*'Fleet Types'!$F55</f>
        <v>0</v>
      </c>
      <c r="F46" s="148">
        <f t="shared" si="0"/>
        <v>2002182.876220396</v>
      </c>
      <c r="G46" s="148">
        <f t="shared" si="1"/>
        <v>3406699.222225748</v>
      </c>
      <c r="H46" s="148">
        <f t="shared" si="2"/>
        <v>0</v>
      </c>
      <c r="I46" s="148">
        <f t="shared" si="6"/>
        <v>5408882.0984461438</v>
      </c>
    </row>
    <row r="47" spans="1:9" x14ac:dyDescent="0.25">
      <c r="A47">
        <f t="shared" si="7"/>
        <v>42</v>
      </c>
      <c r="B47">
        <f t="shared" si="7"/>
        <v>2059</v>
      </c>
      <c r="C47" s="18">
        <f>City!$B$32*(1+City!$B$8)*C$4*(1+RideSource!$H48*$J$6)*nonDriver!C46*$J$7*(1+ShareRide!$H46*$J$8)*(1+Pricing!$I47*$J$9)*'Fleet Types'!$F56</f>
        <v>152314.47187650672</v>
      </c>
      <c r="D47" s="18">
        <f>City!$B$32*(1+City!$B$8)*D$4*(1+RideSource!$H48*$J$6)*nonDriver!D46*$J$7*(1+ShareRide!$H46*$J$8)*(1+Pricing!$I47*$J$9)*'Fleet Types'!$F56</f>
        <v>228471.70781476007</v>
      </c>
      <c r="E47" s="18">
        <f>City!$B$32*(1+City!$B$8)*E$4*(1+RideSource!$H48*$J$6)*nonDriver!E46*$J$7*(1+ShareRide!$H46*$J$8)*(1+Pricing!$I47*$J$9)*'Fleet Types'!$F56</f>
        <v>0</v>
      </c>
      <c r="F47" s="148">
        <f t="shared" si="0"/>
        <v>2041013.9231451901</v>
      </c>
      <c r="G47" s="148">
        <f t="shared" si="1"/>
        <v>3472769.958784353</v>
      </c>
      <c r="H47" s="148">
        <f t="shared" si="2"/>
        <v>0</v>
      </c>
      <c r="I47" s="148">
        <f t="shared" si="6"/>
        <v>5513783.8819295429</v>
      </c>
    </row>
    <row r="48" spans="1:9" x14ac:dyDescent="0.25">
      <c r="A48">
        <f t="shared" si="7"/>
        <v>43</v>
      </c>
      <c r="B48">
        <f t="shared" si="7"/>
        <v>2060</v>
      </c>
      <c r="C48" s="18">
        <f>City!$B$32*(1+City!$B$8)*C$4*(1+RideSource!$H49*$J$6)*nonDriver!C47*$J$7*(1+ShareRide!$H47*$J$8)*(1+Pricing!$I48*$J$9)*'Fleet Types'!$F57</f>
        <v>154937.67235080543</v>
      </c>
      <c r="D48" s="18">
        <f>City!$B$32*(1+City!$B$8)*D$4*(1+RideSource!$H49*$J$6)*nonDriver!D47*$J$7*(1+ShareRide!$H47*$J$8)*(1+Pricing!$I48*$J$9)*'Fleet Types'!$F57</f>
        <v>232406.50852620814</v>
      </c>
      <c r="E48" s="18">
        <f>City!$B$32*(1+City!$B$8)*E$4*(1+RideSource!$H49*$J$6)*nonDriver!E47*$J$7*(1+ShareRide!$H47*$J$8)*(1+Pricing!$I48*$J$9)*'Fleet Types'!$F57</f>
        <v>0</v>
      </c>
      <c r="F48" s="148">
        <f t="shared" si="0"/>
        <v>2076164.8095007928</v>
      </c>
      <c r="G48" s="148">
        <f t="shared" si="1"/>
        <v>3532578.9295983636</v>
      </c>
      <c r="H48" s="148">
        <f t="shared" si="2"/>
        <v>0</v>
      </c>
      <c r="I48" s="148">
        <f t="shared" si="6"/>
        <v>5608743.7390991561</v>
      </c>
    </row>
    <row r="49" spans="1:9" x14ac:dyDescent="0.25">
      <c r="A49">
        <f t="shared" si="7"/>
        <v>44</v>
      </c>
      <c r="B49">
        <f t="shared" si="7"/>
        <v>2061</v>
      </c>
      <c r="C49" s="18">
        <f>City!$B$32*(1+City!$B$8)*C$4*(1+RideSource!$H50*$J$6)*nonDriver!C48*$J$7*(1+ShareRide!$H48*$J$8)*(1+Pricing!$I49*$J$9)*'Fleet Types'!$F58</f>
        <v>157311.37066249765</v>
      </c>
      <c r="D49" s="18">
        <f>City!$B$32*(1+City!$B$8)*D$4*(1+RideSource!$H50*$J$6)*nonDriver!D48*$J$7*(1+ShareRide!$H48*$J$8)*(1+Pricing!$I49*$J$9)*'Fleet Types'!$F58</f>
        <v>235967.05599374647</v>
      </c>
      <c r="E49" s="18">
        <f>City!$B$32*(1+City!$B$8)*E$4*(1+RideSource!$H50*$J$6)*nonDriver!E48*$J$7*(1+ShareRide!$H48*$J$8)*(1+Pricing!$I49*$J$9)*'Fleet Types'!$F58</f>
        <v>0</v>
      </c>
      <c r="F49" s="148">
        <f t="shared" si="0"/>
        <v>2107972.3668774683</v>
      </c>
      <c r="G49" s="148">
        <f t="shared" si="1"/>
        <v>3586699.2511049462</v>
      </c>
      <c r="H49" s="148">
        <f t="shared" si="2"/>
        <v>0</v>
      </c>
      <c r="I49" s="148">
        <f t="shared" si="6"/>
        <v>5694671.6179824146</v>
      </c>
    </row>
    <row r="50" spans="1:9" x14ac:dyDescent="0.25">
      <c r="A50">
        <f t="shared" si="7"/>
        <v>45</v>
      </c>
      <c r="B50">
        <f t="shared" si="7"/>
        <v>2062</v>
      </c>
      <c r="C50" s="18">
        <f>City!$B$32*(1+City!$B$8)*C$4*(1+RideSource!$H51*$J$6)*nonDriver!C49*$J$7*(1+ShareRide!$H49*$J$8)*(1+Pricing!$I50*$J$9)*'Fleet Types'!$F59</f>
        <v>158447.817352588</v>
      </c>
      <c r="D50" s="18">
        <f>City!$B$32*(1+City!$B$8)*D$4*(1+RideSource!$H51*$J$6)*nonDriver!D49*$J$7*(1+ShareRide!$H49*$J$8)*(1+Pricing!$I50*$J$9)*'Fleet Types'!$F59</f>
        <v>237671.726028882</v>
      </c>
      <c r="E50" s="18">
        <f>City!$B$32*(1+City!$B$8)*E$4*(1+RideSource!$H51*$J$6)*nonDriver!E49*$J$7*(1+ShareRide!$H49*$J$8)*(1+Pricing!$I50*$J$9)*'Fleet Types'!$F59</f>
        <v>0</v>
      </c>
      <c r="F50" s="148">
        <f t="shared" si="0"/>
        <v>2123200.7525246791</v>
      </c>
      <c r="G50" s="148">
        <f t="shared" si="1"/>
        <v>3612610.2356390064</v>
      </c>
      <c r="H50" s="148">
        <f t="shared" si="2"/>
        <v>0</v>
      </c>
      <c r="I50" s="148">
        <f t="shared" si="6"/>
        <v>5735810.9881636854</v>
      </c>
    </row>
    <row r="51" spans="1:9" x14ac:dyDescent="0.25">
      <c r="A51">
        <f t="shared" si="7"/>
        <v>46</v>
      </c>
      <c r="B51">
        <f t="shared" si="7"/>
        <v>2063</v>
      </c>
      <c r="C51" s="18">
        <f>City!$B$32*(1+City!$B$8)*C$4*(1+RideSource!$H52*$J$6)*nonDriver!C50*$J$7*(1+ShareRide!$H50*$J$8)*(1+Pricing!$I51*$J$9)*'Fleet Types'!$F60</f>
        <v>158447.817352588</v>
      </c>
      <c r="D51" s="18">
        <f>City!$B$32*(1+City!$B$8)*D$4*(1+RideSource!$H52*$J$6)*nonDriver!D50*$J$7*(1+ShareRide!$H50*$J$8)*(1+Pricing!$I51*$J$9)*'Fleet Types'!$F60</f>
        <v>237671.726028882</v>
      </c>
      <c r="E51" s="18">
        <f>City!$B$32*(1+City!$B$8)*E$4*(1+RideSource!$H52*$J$6)*nonDriver!E50*$J$7*(1+ShareRide!$H50*$J$8)*(1+Pricing!$I51*$J$9)*'Fleet Types'!$F60</f>
        <v>0</v>
      </c>
      <c r="F51" s="148">
        <f t="shared" si="0"/>
        <v>2123200.7525246791</v>
      </c>
      <c r="G51" s="148">
        <f t="shared" si="1"/>
        <v>3612610.2356390064</v>
      </c>
      <c r="H51" s="148">
        <f t="shared" si="2"/>
        <v>0</v>
      </c>
      <c r="I51" s="148">
        <f t="shared" si="6"/>
        <v>5735810.9881636854</v>
      </c>
    </row>
    <row r="52" spans="1:9" x14ac:dyDescent="0.25">
      <c r="A52">
        <f t="shared" si="7"/>
        <v>47</v>
      </c>
      <c r="B52">
        <f t="shared" si="7"/>
        <v>2064</v>
      </c>
      <c r="C52" s="18">
        <f>City!$B$32*(1+City!$B$8)*C$4*(1+RideSource!$H53*$J$6)*nonDriver!C51*$J$7*(1+ShareRide!$H51*$J$8)*(1+Pricing!$I52*$J$9)*'Fleet Types'!$F61</f>
        <v>158447.817352588</v>
      </c>
      <c r="D52" s="18">
        <f>City!$B$32*(1+City!$B$8)*D$4*(1+RideSource!$H53*$J$6)*nonDriver!D51*$J$7*(1+ShareRide!$H51*$J$8)*(1+Pricing!$I52*$J$9)*'Fleet Types'!$F61</f>
        <v>237671.726028882</v>
      </c>
      <c r="E52" s="18">
        <f>City!$B$32*(1+City!$B$8)*E$4*(1+RideSource!$H53*$J$6)*nonDriver!E51*$J$7*(1+ShareRide!$H51*$J$8)*(1+Pricing!$I52*$J$9)*'Fleet Types'!$F61</f>
        <v>0</v>
      </c>
      <c r="F52" s="148">
        <f t="shared" si="0"/>
        <v>2123200.7525246791</v>
      </c>
      <c r="G52" s="148">
        <f t="shared" si="1"/>
        <v>3612610.2356390064</v>
      </c>
      <c r="H52" s="148">
        <f t="shared" si="2"/>
        <v>0</v>
      </c>
      <c r="I52" s="148">
        <f t="shared" si="6"/>
        <v>5735810.9881636854</v>
      </c>
    </row>
    <row r="53" spans="1:9" x14ac:dyDescent="0.25">
      <c r="A53">
        <f t="shared" si="7"/>
        <v>48</v>
      </c>
      <c r="B53">
        <f t="shared" si="7"/>
        <v>2065</v>
      </c>
      <c r="C53" s="18">
        <f>City!$B$32*(1+City!$B$8)*C$4*(1+RideSource!$H54*$J$6)*nonDriver!C52*$J$7*(1+ShareRide!$H52*$J$8)*(1+Pricing!$I53*$J$9)*'Fleet Types'!$F62</f>
        <v>158447.817352588</v>
      </c>
      <c r="D53" s="18">
        <f>City!$B$32*(1+City!$B$8)*D$4*(1+RideSource!$H54*$J$6)*nonDriver!D52*$J$7*(1+ShareRide!$H52*$J$8)*(1+Pricing!$I53*$J$9)*'Fleet Types'!$F62</f>
        <v>237671.726028882</v>
      </c>
      <c r="E53" s="18">
        <f>City!$B$32*(1+City!$B$8)*E$4*(1+RideSource!$H54*$J$6)*nonDriver!E52*$J$7*(1+ShareRide!$H52*$J$8)*(1+Pricing!$I53*$J$9)*'Fleet Types'!$F62</f>
        <v>0</v>
      </c>
      <c r="F53" s="148">
        <f t="shared" si="0"/>
        <v>2123200.7525246791</v>
      </c>
      <c r="G53" s="148">
        <f t="shared" si="1"/>
        <v>3612610.2356390064</v>
      </c>
      <c r="H53" s="148">
        <f t="shared" si="2"/>
        <v>0</v>
      </c>
      <c r="I53" s="148">
        <f t="shared" si="6"/>
        <v>5735810.9881636854</v>
      </c>
    </row>
    <row r="54" spans="1:9" x14ac:dyDescent="0.25">
      <c r="A54">
        <f t="shared" si="7"/>
        <v>49</v>
      </c>
      <c r="B54">
        <f t="shared" si="7"/>
        <v>2066</v>
      </c>
      <c r="C54" s="18">
        <f>City!$B$32*(1+City!$B$8)*C$4*(1+RideSource!$H55*$J$6)*nonDriver!C53*$J$7*(1+ShareRide!$H53*$J$8)*(1+Pricing!$I54*$J$9)*'Fleet Types'!$F63</f>
        <v>158447.817352588</v>
      </c>
      <c r="D54" s="18">
        <f>City!$B$32*(1+City!$B$8)*D$4*(1+RideSource!$H55*$J$6)*nonDriver!D53*$J$7*(1+ShareRide!$H53*$J$8)*(1+Pricing!$I54*$J$9)*'Fleet Types'!$F63</f>
        <v>237671.726028882</v>
      </c>
      <c r="E54" s="18">
        <f>City!$B$32*(1+City!$B$8)*E$4*(1+RideSource!$H55*$J$6)*nonDriver!E53*$J$7*(1+ShareRide!$H53*$J$8)*(1+Pricing!$I54*$J$9)*'Fleet Types'!$F63</f>
        <v>0</v>
      </c>
      <c r="F54" s="148">
        <f t="shared" si="0"/>
        <v>2123200.7525246791</v>
      </c>
      <c r="G54" s="148">
        <f t="shared" si="1"/>
        <v>3612610.2356390064</v>
      </c>
      <c r="H54" s="148">
        <f t="shared" si="2"/>
        <v>0</v>
      </c>
      <c r="I54" s="148">
        <f t="shared" si="6"/>
        <v>5735810.9881636854</v>
      </c>
    </row>
    <row r="55" spans="1:9" x14ac:dyDescent="0.25">
      <c r="A55">
        <f t="shared" si="7"/>
        <v>50</v>
      </c>
      <c r="B55">
        <f t="shared" si="7"/>
        <v>2067</v>
      </c>
      <c r="C55" s="18">
        <f>City!$B$32*(1+City!$B$8)*C$4*(1+RideSource!$H56*$J$6)*nonDriver!C54*$J$7*(1+ShareRide!$H54*$J$8)*(1+Pricing!$I55*$J$9)*'Fleet Types'!$F64</f>
        <v>158447.817352588</v>
      </c>
      <c r="D55" s="18">
        <f>City!$B$32*(1+City!$B$8)*D$4*(1+RideSource!$H56*$J$6)*nonDriver!D54*$J$7*(1+ShareRide!$H54*$J$8)*(1+Pricing!$I55*$J$9)*'Fleet Types'!$F64</f>
        <v>237671.726028882</v>
      </c>
      <c r="E55" s="18">
        <f>City!$B$32*(1+City!$B$8)*E$4*(1+RideSource!$H56*$J$6)*nonDriver!E54*$J$7*(1+ShareRide!$H54*$J$8)*(1+Pricing!$I55*$J$9)*'Fleet Types'!$F64</f>
        <v>0</v>
      </c>
      <c r="F55" s="148">
        <f t="shared" si="0"/>
        <v>2123200.7525246791</v>
      </c>
      <c r="G55" s="148">
        <f t="shared" si="1"/>
        <v>3612610.2356390064</v>
      </c>
      <c r="H55" s="148">
        <f t="shared" si="2"/>
        <v>0</v>
      </c>
      <c r="I55" s="148">
        <f t="shared" si="6"/>
        <v>5735810.9881636854</v>
      </c>
    </row>
    <row r="56" spans="1:9" x14ac:dyDescent="0.25">
      <c r="A56">
        <f t="shared" ref="A56:B58" si="8">A55+1</f>
        <v>51</v>
      </c>
      <c r="B56">
        <f t="shared" si="8"/>
        <v>2068</v>
      </c>
      <c r="C56" s="18">
        <f>City!$B$32*(1+City!$B$8)*C$4*(1+RideSource!$H57*$J$6)*nonDriver!C55*$J$7*(1+ShareRide!$H55*$J$8)*(1+Pricing!$I56*$J$9)*'Fleet Types'!$F65</f>
        <v>158447.817352588</v>
      </c>
      <c r="D56" s="18">
        <f>City!$B$32*(1+City!$B$8)*D$4*(1+RideSource!$H57*$J$6)*nonDriver!D55*$J$7*(1+ShareRide!$H55*$J$8)*(1+Pricing!$I56*$J$9)*'Fleet Types'!$F65</f>
        <v>237671.726028882</v>
      </c>
      <c r="E56" s="18">
        <f>City!$B$32*(1+City!$B$8)*E$4*(1+RideSource!$H57*$J$6)*nonDriver!E55*$J$7*(1+ShareRide!$H55*$J$8)*(1+Pricing!$I56*$J$9)*'Fleet Types'!$F65</f>
        <v>0</v>
      </c>
      <c r="F56" s="148">
        <f t="shared" si="0"/>
        <v>2123200.7525246791</v>
      </c>
      <c r="G56" s="148">
        <f t="shared" si="1"/>
        <v>3612610.2356390064</v>
      </c>
      <c r="H56" s="148">
        <f t="shared" si="2"/>
        <v>0</v>
      </c>
      <c r="I56" s="148">
        <f t="shared" si="6"/>
        <v>5735810.9881636854</v>
      </c>
    </row>
    <row r="57" spans="1:9" x14ac:dyDescent="0.25">
      <c r="A57">
        <f t="shared" si="8"/>
        <v>52</v>
      </c>
      <c r="B57">
        <f t="shared" si="8"/>
        <v>2069</v>
      </c>
      <c r="C57" s="18">
        <f>City!$B$32*(1+City!$B$8)*C$4*(1+RideSource!$H58*$J$6)*nonDriver!C56*$J$7*(1+ShareRide!$H56*$J$8)*(1+Pricing!$I57*$J$9)*'Fleet Types'!$F66</f>
        <v>158447.817352588</v>
      </c>
      <c r="D57" s="18">
        <f>City!$B$32*(1+City!$B$8)*D$4*(1+RideSource!$H58*$J$6)*nonDriver!D56*$J$7*(1+ShareRide!$H56*$J$8)*(1+Pricing!$I57*$J$9)*'Fleet Types'!$F66</f>
        <v>237671.726028882</v>
      </c>
      <c r="E57" s="18">
        <f>City!$B$32*(1+City!$B$8)*E$4*(1+RideSource!$H58*$J$6)*nonDriver!E56*$J$7*(1+ShareRide!$H56*$J$8)*(1+Pricing!$I57*$J$9)*'Fleet Types'!$F66</f>
        <v>0</v>
      </c>
      <c r="F57" s="148">
        <f t="shared" si="0"/>
        <v>2123200.7525246791</v>
      </c>
      <c r="G57" s="148">
        <f t="shared" si="1"/>
        <v>3612610.2356390064</v>
      </c>
      <c r="H57" s="148">
        <f t="shared" si="2"/>
        <v>0</v>
      </c>
      <c r="I57" s="148">
        <f t="shared" si="6"/>
        <v>5735810.9881636854</v>
      </c>
    </row>
    <row r="58" spans="1:9" x14ac:dyDescent="0.25">
      <c r="A58">
        <f t="shared" si="8"/>
        <v>53</v>
      </c>
      <c r="B58">
        <f t="shared" si="8"/>
        <v>2070</v>
      </c>
      <c r="C58" s="18">
        <f>City!$B$32*(1+City!$B$8)*C$4*(1+RideSource!$H59*$J$6)*nonDriver!C57*$J$7*(1+ShareRide!$H57*$J$8)*(1+Pricing!$I58*$J$9)*'Fleet Types'!$F67</f>
        <v>158447.817352588</v>
      </c>
      <c r="D58" s="18">
        <f>City!$B$32*(1+City!$B$8)*D$4*(1+RideSource!$H59*$J$6)*nonDriver!D57*$J$7*(1+ShareRide!$H57*$J$8)*(1+Pricing!$I58*$J$9)*'Fleet Types'!$F67</f>
        <v>237671.726028882</v>
      </c>
      <c r="E58" s="18">
        <f>City!$B$32*(1+City!$B$8)*E$4*(1+RideSource!$H59*$J$6)*nonDriver!E57*$J$7*(1+ShareRide!$H57*$J$8)*(1+Pricing!$I58*$J$9)*'Fleet Types'!$F67</f>
        <v>0</v>
      </c>
      <c r="F58" s="148">
        <f t="shared" si="0"/>
        <v>2123200.7525246791</v>
      </c>
      <c r="G58" s="148">
        <f t="shared" si="1"/>
        <v>3612610.2356390064</v>
      </c>
      <c r="H58" s="148">
        <f t="shared" si="2"/>
        <v>0</v>
      </c>
      <c r="I58" s="148">
        <f t="shared" si="6"/>
        <v>5735810.9881636854</v>
      </c>
    </row>
  </sheetData>
  <mergeCells count="2">
    <mergeCell ref="C3:E3"/>
    <mergeCell ref="F3:H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5"/>
  <sheetViews>
    <sheetView workbookViewId="0">
      <selection activeCell="K36" sqref="K36"/>
    </sheetView>
  </sheetViews>
  <sheetFormatPr defaultRowHeight="15" x14ac:dyDescent="0.25"/>
  <cols>
    <col min="3" max="4" width="11.5703125" bestFit="1" customWidth="1"/>
    <col min="5" max="5" width="14.42578125" bestFit="1" customWidth="1"/>
    <col min="6" max="8" width="14.28515625" bestFit="1" customWidth="1"/>
    <col min="9" max="9" width="12.42578125" customWidth="1"/>
    <col min="14" max="15" width="10.5703125" bestFit="1" customWidth="1"/>
    <col min="16" max="16" width="9.28515625" bestFit="1" customWidth="1"/>
    <col min="17" max="17" width="12.85546875" customWidth="1"/>
  </cols>
  <sheetData>
    <row r="1" spans="1:8" ht="15.75" x14ac:dyDescent="0.25">
      <c r="A1" s="26" t="s">
        <v>265</v>
      </c>
    </row>
    <row r="8" spans="1:8" x14ac:dyDescent="0.25">
      <c r="F8" s="140"/>
    </row>
    <row r="9" spans="1:8" x14ac:dyDescent="0.25">
      <c r="F9" s="46"/>
    </row>
    <row r="10" spans="1:8" x14ac:dyDescent="0.25">
      <c r="F10" s="46"/>
    </row>
    <row r="11" spans="1:8" x14ac:dyDescent="0.25">
      <c r="F11" s="46"/>
    </row>
    <row r="12" spans="1:8" x14ac:dyDescent="0.25">
      <c r="F12" s="45"/>
    </row>
    <row r="13" spans="1:8" x14ac:dyDescent="0.25">
      <c r="F13" s="46"/>
      <c r="G13" s="16"/>
      <c r="H13" s="2"/>
    </row>
    <row r="24" spans="3:7" ht="14.25" customHeight="1" x14ac:dyDescent="0.25"/>
    <row r="29" spans="3:7" x14ac:dyDescent="0.25">
      <c r="C29" s="12" t="s">
        <v>118</v>
      </c>
      <c r="D29" s="10">
        <v>2050</v>
      </c>
      <c r="F29" s="12" t="s">
        <v>269</v>
      </c>
      <c r="G29" s="149">
        <f>I35</f>
        <v>4114173.6077995789</v>
      </c>
    </row>
    <row r="33" spans="2:9" x14ac:dyDescent="0.25">
      <c r="B33" s="138">
        <v>1</v>
      </c>
      <c r="C33" s="138">
        <v>2</v>
      </c>
      <c r="D33" s="138">
        <v>3</v>
      </c>
      <c r="E33" s="138">
        <v>4</v>
      </c>
      <c r="F33" s="138">
        <v>5</v>
      </c>
      <c r="G33" s="138">
        <v>6</v>
      </c>
      <c r="H33" s="138">
        <v>7</v>
      </c>
      <c r="I33" s="138">
        <v>8</v>
      </c>
    </row>
    <row r="34" spans="2:9" ht="45" x14ac:dyDescent="0.25">
      <c r="B34" t="s">
        <v>97</v>
      </c>
      <c r="C34" s="139" t="s">
        <v>35</v>
      </c>
      <c r="D34" s="139" t="s">
        <v>157</v>
      </c>
      <c r="E34" s="139" t="s">
        <v>36</v>
      </c>
      <c r="F34" s="139" t="s">
        <v>35</v>
      </c>
      <c r="G34" s="139" t="s">
        <v>157</v>
      </c>
      <c r="H34" s="139" t="s">
        <v>36</v>
      </c>
      <c r="I34" s="139" t="s">
        <v>266</v>
      </c>
    </row>
    <row r="35" spans="2:9" x14ac:dyDescent="0.25">
      <c r="B35">
        <f>VLOOKUP($D29,Spending!$B$6:$I$58,B33)</f>
        <v>2050</v>
      </c>
      <c r="C35" s="18">
        <f>VLOOKUP($D29,Spending!$B$6:$I$58,C33)</f>
        <v>113651.20463534749</v>
      </c>
      <c r="D35" s="18">
        <f>VLOOKUP($D29,Spending!$B$6:$I$58,D33)</f>
        <v>170476.80695302124</v>
      </c>
      <c r="E35" s="18">
        <f>VLOOKUP($D29,Spending!$B$6:$I$58,E33)</f>
        <v>0</v>
      </c>
      <c r="F35" s="148">
        <f>VLOOKUP($D29,Spending!$B$6:$I$58,F33)</f>
        <v>1522926.1421136563</v>
      </c>
      <c r="G35" s="148">
        <f>VLOOKUP($D29,Spending!$B$6:$I$58,G33)</f>
        <v>2591247.4656859227</v>
      </c>
      <c r="H35" s="148">
        <f>VLOOKUP($D29,Spending!$B$6:$I$58,H33)</f>
        <v>0</v>
      </c>
      <c r="I35" s="148">
        <f>VLOOKUP($D29,Spending!$B$6:$I$58,I33)</f>
        <v>4114173.6077995789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I60"/>
  <sheetViews>
    <sheetView topLeftCell="B1" workbookViewId="0">
      <selection activeCell="C21" sqref="C21"/>
    </sheetView>
  </sheetViews>
  <sheetFormatPr defaultRowHeight="15" x14ac:dyDescent="0.25"/>
  <cols>
    <col min="3" max="3" width="12.140625" customWidth="1"/>
    <col min="4" max="4" width="14.28515625" customWidth="1"/>
    <col min="5" max="5" width="13.7109375" customWidth="1"/>
    <col min="6" max="9" width="15.140625" customWidth="1"/>
    <col min="10" max="10" width="14.28515625" bestFit="1" customWidth="1"/>
    <col min="11" max="11" width="13.42578125" customWidth="1"/>
    <col min="12" max="12" width="15.85546875" customWidth="1"/>
    <col min="13" max="13" width="10.140625" customWidth="1"/>
    <col min="14" max="14" width="9.5703125" customWidth="1"/>
    <col min="15" max="15" width="8.5703125" customWidth="1"/>
    <col min="16" max="16" width="9.28515625" customWidth="1"/>
    <col min="17" max="17" width="8.140625" customWidth="1"/>
    <col min="18" max="18" width="15.140625" customWidth="1"/>
    <col min="19" max="19" width="14.7109375" customWidth="1"/>
    <col min="20" max="20" width="12.5703125" bestFit="1" customWidth="1"/>
    <col min="21" max="21" width="13.140625" customWidth="1"/>
    <col min="22" max="22" width="14.28515625" bestFit="1" customWidth="1"/>
    <col min="23" max="23" width="15.28515625" bestFit="1" customWidth="1"/>
    <col min="24" max="24" width="14.28515625" bestFit="1" customWidth="1"/>
    <col min="25" max="25" width="14" customWidth="1"/>
    <col min="26" max="29" width="13.7109375" bestFit="1" customWidth="1"/>
    <col min="30" max="31" width="15.28515625" bestFit="1" customWidth="1"/>
    <col min="32" max="33" width="10.5703125" bestFit="1" customWidth="1"/>
    <col min="34" max="34" width="9.28515625" bestFit="1" customWidth="1"/>
    <col min="35" max="35" width="12.85546875" customWidth="1"/>
  </cols>
  <sheetData>
    <row r="1" spans="1:34" ht="15.75" x14ac:dyDescent="0.25">
      <c r="A1" s="26" t="s">
        <v>298</v>
      </c>
    </row>
    <row r="2" spans="1:34" ht="15.75" x14ac:dyDescent="0.25">
      <c r="A2" s="26"/>
    </row>
    <row r="3" spans="1:34" x14ac:dyDescent="0.25">
      <c r="D3" s="172" t="s">
        <v>300</v>
      </c>
      <c r="E3" s="172"/>
      <c r="F3" s="172"/>
      <c r="G3" s="172"/>
      <c r="H3" s="172"/>
      <c r="I3" s="172"/>
      <c r="J3" s="172"/>
      <c r="K3" s="172"/>
      <c r="L3" s="172"/>
      <c r="M3" s="153"/>
      <c r="N3" s="153"/>
      <c r="O3" s="143"/>
      <c r="P3" s="143"/>
      <c r="Q3" s="153"/>
      <c r="R3" s="172" t="s">
        <v>299</v>
      </c>
      <c r="S3" s="172"/>
      <c r="T3" s="172"/>
      <c r="U3" s="172"/>
      <c r="V3" s="172"/>
      <c r="W3" s="172"/>
      <c r="X3" s="172"/>
      <c r="Y3" s="172"/>
      <c r="Z3" s="172"/>
      <c r="AA3" s="172" t="s">
        <v>297</v>
      </c>
      <c r="AB3" s="172"/>
      <c r="AC3" s="172"/>
    </row>
    <row r="4" spans="1:34" x14ac:dyDescent="0.25">
      <c r="C4" s="12" t="s">
        <v>282</v>
      </c>
      <c r="D4" s="152">
        <f>City!$B37</f>
        <v>40.04</v>
      </c>
      <c r="E4" s="152">
        <f>City!$B38</f>
        <v>34.57</v>
      </c>
      <c r="F4" s="152">
        <f>City!$B39</f>
        <v>4.7699999999999996</v>
      </c>
      <c r="G4" s="152">
        <f>City!$B40</f>
        <v>11.05</v>
      </c>
      <c r="H4" s="152">
        <f>City!$B41</f>
        <v>2.17</v>
      </c>
      <c r="I4" s="152">
        <f>City!$B42</f>
        <v>18.59</v>
      </c>
      <c r="J4" s="152">
        <f>City!$B43</f>
        <v>6.1</v>
      </c>
      <c r="K4" s="152">
        <f>City!$B44</f>
        <v>11.89</v>
      </c>
      <c r="AA4" s="161">
        <f>City!E37*City!E41</f>
        <v>15</v>
      </c>
      <c r="AB4" s="161">
        <f>City!E38*City!E41</f>
        <v>30</v>
      </c>
      <c r="AC4" s="161">
        <f>City!E39*City!E41</f>
        <v>30</v>
      </c>
    </row>
    <row r="5" spans="1:34" ht="33.75" customHeight="1" x14ac:dyDescent="0.25">
      <c r="B5" t="s">
        <v>97</v>
      </c>
      <c r="C5" t="s">
        <v>281</v>
      </c>
      <c r="D5" s="144" t="str">
        <f>City!$A$37</f>
        <v>Parking Revenues</v>
      </c>
      <c r="E5" s="144" t="str">
        <f>City!$A$38</f>
        <v>Parking Fines</v>
      </c>
      <c r="F5" s="144" t="str">
        <f>City!$A$39</f>
        <v>Traffic Citations</v>
      </c>
      <c r="G5" s="144" t="str">
        <f>City!$A$40</f>
        <v>Camera</v>
      </c>
      <c r="H5" s="144" t="str">
        <f>City!$A$41</f>
        <v>Towing</v>
      </c>
      <c r="I5" s="144" t="str">
        <f>City!$A$42</f>
        <v>Gas Tax</v>
      </c>
      <c r="J5" s="144" t="str">
        <f>City!$A$43</f>
        <v>Licensing</v>
      </c>
      <c r="K5" s="144" t="str">
        <f>City!$A$44</f>
        <v>Registration</v>
      </c>
      <c r="L5" s="143" t="s">
        <v>115</v>
      </c>
      <c r="M5" s="154" t="s">
        <v>294</v>
      </c>
      <c r="N5" s="154" t="s">
        <v>286</v>
      </c>
      <c r="O5" s="144" t="s">
        <v>284</v>
      </c>
      <c r="P5" s="144" t="s">
        <v>283</v>
      </c>
      <c r="Q5" s="154" t="s">
        <v>285</v>
      </c>
      <c r="R5" s="154" t="str">
        <f>City!$A$37</f>
        <v>Parking Revenues</v>
      </c>
      <c r="S5" s="154" t="str">
        <f>City!$A$38</f>
        <v>Parking Fines</v>
      </c>
      <c r="T5" s="154" t="str">
        <f>City!$A$39</f>
        <v>Traffic Citations</v>
      </c>
      <c r="U5" s="154" t="str">
        <f>City!$A$40</f>
        <v>Camera</v>
      </c>
      <c r="V5" s="154" t="str">
        <f>City!$A$41</f>
        <v>Towing</v>
      </c>
      <c r="W5" s="154" t="str">
        <f>City!$A$42</f>
        <v>Gas Tax</v>
      </c>
      <c r="X5" s="154" t="str">
        <f>City!$A$43</f>
        <v>Licensing</v>
      </c>
      <c r="Y5" s="154" t="str">
        <f>City!$A$44</f>
        <v>Registration</v>
      </c>
      <c r="Z5" s="143" t="s">
        <v>115</v>
      </c>
      <c r="AA5" s="154" t="s">
        <v>287</v>
      </c>
      <c r="AB5" s="154" t="s">
        <v>288</v>
      </c>
      <c r="AC5" s="154" t="s">
        <v>289</v>
      </c>
      <c r="AD5" s="154" t="s">
        <v>295</v>
      </c>
      <c r="AE5" s="154" t="s">
        <v>296</v>
      </c>
      <c r="AG5" s="140"/>
      <c r="AH5" s="6"/>
    </row>
    <row r="6" spans="1:34" x14ac:dyDescent="0.25">
      <c r="A6">
        <v>1</v>
      </c>
      <c r="B6">
        <f>City!B3</f>
        <v>2018</v>
      </c>
      <c r="C6" s="156">
        <f>City!B32</f>
        <v>6010000</v>
      </c>
      <c r="D6" s="148">
        <f>$C6*D$4</f>
        <v>240640400</v>
      </c>
      <c r="E6" s="148">
        <f t="shared" ref="E6:K21" si="0">$C6*E$4</f>
        <v>207765700</v>
      </c>
      <c r="F6" s="148">
        <f t="shared" si="0"/>
        <v>28667699.999999996</v>
      </c>
      <c r="G6" s="148">
        <f t="shared" si="0"/>
        <v>66410500.000000007</v>
      </c>
      <c r="H6" s="148">
        <f t="shared" si="0"/>
        <v>13041700</v>
      </c>
      <c r="I6" s="148">
        <f t="shared" si="0"/>
        <v>111725900</v>
      </c>
      <c r="J6" s="148">
        <f t="shared" si="0"/>
        <v>36661000</v>
      </c>
      <c r="K6" s="148">
        <f t="shared" si="0"/>
        <v>71458900</v>
      </c>
      <c r="L6" s="149">
        <f>SUM(D6:K6)</f>
        <v>776371800</v>
      </c>
      <c r="M6" s="58">
        <f>Miles!F4/C6</f>
        <v>13.976703268399632</v>
      </c>
      <c r="N6" s="14">
        <f>'Fleet Types'!F15</f>
        <v>0</v>
      </c>
      <c r="O6" s="157">
        <f>Miles!G4/Miles!D4</f>
        <v>0.99999983991704111</v>
      </c>
      <c r="P6" s="157">
        <f>Fleet!T4/Fleet!C4</f>
        <v>0.9999973881522608</v>
      </c>
      <c r="Q6" s="157">
        <f>EV!C5</f>
        <v>0</v>
      </c>
      <c r="R6" s="149">
        <f t="shared" ref="R6:R37" si="1">D6*P6*(1-N6)</f>
        <v>240639771.4839153</v>
      </c>
      <c r="S6" s="149">
        <f t="shared" ref="S6:S37" si="2">E6*P6*(1-N6)</f>
        <v>207765157.34762618</v>
      </c>
      <c r="T6" s="149">
        <f t="shared" ref="T6:T37" si="3">F6*O6*(1-N6)</f>
        <v>28667695.410789754</v>
      </c>
      <c r="U6" s="149">
        <f t="shared" ref="U6:U37" si="4">G6*O6*(1-N6)</f>
        <v>66410489.368810669</v>
      </c>
      <c r="V6" s="149">
        <f t="shared" ref="V6:V37" si="5">H6*P6*(1-N6)</f>
        <v>13041665.937065341</v>
      </c>
      <c r="W6" s="149">
        <f t="shared" ref="W6:W37" si="6">I6*O6*IF(Q6&gt;0,Q6/2,1)</f>
        <v>111725882.11458734</v>
      </c>
      <c r="X6" s="149">
        <f>J6*P6</f>
        <v>36660904.247050032</v>
      </c>
      <c r="Y6" s="149">
        <f>K6*P6</f>
        <v>71458713.36023359</v>
      </c>
      <c r="Z6" s="149">
        <f>SUM(R6:Y6)</f>
        <v>776370279.27007818</v>
      </c>
      <c r="AA6" s="148">
        <f>VMT_fee!K5*M6*C6*AA$4</f>
        <v>0</v>
      </c>
      <c r="AB6" s="148">
        <f>NOVMT!K5*N6*M6*C6*AB$4</f>
        <v>0</v>
      </c>
      <c r="AC6" s="146">
        <f>Pricing!I6*M6*C6*AC$4</f>
        <v>0</v>
      </c>
      <c r="AD6" s="149">
        <f>SUM(AA6:AC6)</f>
        <v>0</v>
      </c>
      <c r="AE6" s="149">
        <f>Z6+AD6</f>
        <v>776370279.27007818</v>
      </c>
      <c r="AG6" s="16"/>
      <c r="AH6" s="2"/>
    </row>
    <row r="7" spans="1:34" x14ac:dyDescent="0.25">
      <c r="A7">
        <f>A6+1</f>
        <v>2</v>
      </c>
      <c r="B7">
        <f>B6+1</f>
        <v>2019</v>
      </c>
      <c r="C7" s="18">
        <f>C6*(1+City!$B$8)</f>
        <v>6100149.9999999991</v>
      </c>
      <c r="D7" s="148">
        <f t="shared" ref="D7:K38" si="7">$C7*D$4</f>
        <v>244250005.99999997</v>
      </c>
      <c r="E7" s="148">
        <f t="shared" si="0"/>
        <v>210882185.49999997</v>
      </c>
      <c r="F7" s="148">
        <f t="shared" si="0"/>
        <v>29097715.499999993</v>
      </c>
      <c r="G7" s="148">
        <f t="shared" si="0"/>
        <v>67406657.5</v>
      </c>
      <c r="H7" s="148">
        <f t="shared" si="0"/>
        <v>13237325.499999998</v>
      </c>
      <c r="I7" s="148">
        <f t="shared" si="0"/>
        <v>113401788.49999999</v>
      </c>
      <c r="J7" s="148">
        <f t="shared" si="0"/>
        <v>37210914.999999993</v>
      </c>
      <c r="K7" s="148">
        <f t="shared" si="0"/>
        <v>72530783.499999985</v>
      </c>
      <c r="L7" s="149">
        <f t="shared" ref="L7:L58" si="8">SUM(D7:K7)</f>
        <v>788017377</v>
      </c>
      <c r="M7" s="58">
        <f>Miles!F5/C7</f>
        <v>13.976701569384232</v>
      </c>
      <c r="N7" s="14">
        <f>'Fleet Types'!F16</f>
        <v>0</v>
      </c>
      <c r="O7" s="157">
        <f>Miles!G5/Miles!D5</f>
        <v>0.99999983991704089</v>
      </c>
      <c r="P7" s="157">
        <f>Fleet!T5/Fleet!C5</f>
        <v>0.9999564407831113</v>
      </c>
      <c r="Q7" s="157">
        <f>EV!C6</f>
        <v>0</v>
      </c>
      <c r="R7" s="149">
        <f t="shared" si="1"/>
        <v>244239366.66101354</v>
      </c>
      <c r="S7" s="149">
        <f t="shared" si="2"/>
        <v>210872999.63714382</v>
      </c>
      <c r="T7" s="149">
        <f t="shared" si="3"/>
        <v>29097710.841951594</v>
      </c>
      <c r="U7" s="149">
        <f t="shared" si="4"/>
        <v>67406646.709342808</v>
      </c>
      <c r="V7" s="149">
        <f t="shared" si="5"/>
        <v>13236748.892467517</v>
      </c>
      <c r="W7" s="149">
        <f t="shared" si="6"/>
        <v>113401770.34630612</v>
      </c>
      <c r="X7" s="149">
        <f t="shared" ref="X7:X58" si="9">J7*P7</f>
        <v>37209294.121682882</v>
      </c>
      <c r="Y7" s="149">
        <f t="shared" ref="Y7:Y58" si="10">K7*P7</f>
        <v>72527624.115870401</v>
      </c>
      <c r="Z7" s="149">
        <f t="shared" ref="Z7:Z58" si="11">SUM(R7:Y7)</f>
        <v>787992161.3257786</v>
      </c>
      <c r="AA7" s="148">
        <f>VMT_fee!K6*O7*M7*C7*AA$4</f>
        <v>0</v>
      </c>
      <c r="AB7" s="148">
        <f>NOVMT!K6*N7*M7*C7*AB$4</f>
        <v>0</v>
      </c>
      <c r="AC7" s="148">
        <f>Pricing!I7*M7*C7*AC$4</f>
        <v>0</v>
      </c>
      <c r="AD7" s="149">
        <f t="shared" ref="AD7:AD58" si="12">SUM(AA7:AC7)</f>
        <v>0</v>
      </c>
      <c r="AE7" s="149">
        <f t="shared" ref="AE7:AE58" si="13">Z7+AD7</f>
        <v>787992161.3257786</v>
      </c>
      <c r="AG7" s="16"/>
    </row>
    <row r="8" spans="1:34" x14ac:dyDescent="0.25">
      <c r="A8">
        <f t="shared" ref="A8:B23" si="14">A7+1</f>
        <v>3</v>
      </c>
      <c r="B8">
        <f t="shared" si="14"/>
        <v>2020</v>
      </c>
      <c r="C8" s="18">
        <f>C7*(1+City!$B$8)</f>
        <v>6191652.2499999981</v>
      </c>
      <c r="D8" s="148">
        <f t="shared" si="7"/>
        <v>247913756.08999991</v>
      </c>
      <c r="E8" s="148">
        <f t="shared" si="0"/>
        <v>214045418.28249994</v>
      </c>
      <c r="F8" s="148">
        <f t="shared" si="0"/>
        <v>29534181.232499987</v>
      </c>
      <c r="G8" s="148">
        <f t="shared" si="0"/>
        <v>68417757.362499982</v>
      </c>
      <c r="H8" s="148">
        <f t="shared" si="0"/>
        <v>13435885.382499995</v>
      </c>
      <c r="I8" s="148">
        <f t="shared" si="0"/>
        <v>115102815.32749997</v>
      </c>
      <c r="J8" s="148">
        <f t="shared" si="0"/>
        <v>37769078.724999987</v>
      </c>
      <c r="K8" s="148">
        <f t="shared" si="0"/>
        <v>73618745.252499983</v>
      </c>
      <c r="L8" s="149">
        <f t="shared" si="8"/>
        <v>799837637.65499973</v>
      </c>
      <c r="M8" s="58">
        <f>Miles!F6/C8</f>
        <v>13.976667864265748</v>
      </c>
      <c r="N8" s="14">
        <f>'Fleet Types'!F17</f>
        <v>0</v>
      </c>
      <c r="O8" s="157">
        <f>Miles!G6/Miles!D6</f>
        <v>0.99999789079812462</v>
      </c>
      <c r="P8" s="157">
        <f>Fleet!T6/Fleet!C6</f>
        <v>0.99976286139077786</v>
      </c>
      <c r="Q8" s="157">
        <f>EV!C7</f>
        <v>0</v>
      </c>
      <c r="R8" s="149">
        <f t="shared" si="1"/>
        <v>247854966.16667369</v>
      </c>
      <c r="S8" s="149">
        <f t="shared" si="2"/>
        <v>213994659.84969807</v>
      </c>
      <c r="T8" s="149">
        <f t="shared" si="3"/>
        <v>29534118.938949544</v>
      </c>
      <c r="U8" s="149">
        <f t="shared" si="4"/>
        <v>68417613.055637851</v>
      </c>
      <c r="V8" s="149">
        <f t="shared" si="5"/>
        <v>13432699.215326721</v>
      </c>
      <c r="W8" s="149">
        <f t="shared" si="6"/>
        <v>115102572.55242603</v>
      </c>
      <c r="X8" s="149">
        <f t="shared" si="9"/>
        <v>37760122.218199536</v>
      </c>
      <c r="Y8" s="149">
        <f t="shared" si="10"/>
        <v>73601287.405638129</v>
      </c>
      <c r="Z8" s="149">
        <f t="shared" si="11"/>
        <v>799698039.40254939</v>
      </c>
      <c r="AA8" s="148">
        <f>VMT_fee!K7*O8*M8*C8*AA$4</f>
        <v>0</v>
      </c>
      <c r="AB8" s="148">
        <f>NOVMT!K7*N8*M8*C8*AB$4</f>
        <v>0</v>
      </c>
      <c r="AC8" s="148">
        <f>Pricing!I8*M8*C8*AC$4</f>
        <v>0</v>
      </c>
      <c r="AD8" s="149">
        <f t="shared" si="12"/>
        <v>0</v>
      </c>
      <c r="AE8" s="149">
        <f t="shared" si="13"/>
        <v>799698039.40254939</v>
      </c>
      <c r="AG8" s="16"/>
      <c r="AH8" s="2"/>
    </row>
    <row r="9" spans="1:34" x14ac:dyDescent="0.25">
      <c r="A9">
        <f t="shared" si="14"/>
        <v>4</v>
      </c>
      <c r="B9">
        <f t="shared" si="14"/>
        <v>2021</v>
      </c>
      <c r="C9" s="18">
        <f>C8*(1+City!$B$8)</f>
        <v>6284527.0337499976</v>
      </c>
      <c r="D9" s="148">
        <f t="shared" si="7"/>
        <v>251632462.4313499</v>
      </c>
      <c r="E9" s="148">
        <f t="shared" si="0"/>
        <v>217256099.55673742</v>
      </c>
      <c r="F9" s="148">
        <f t="shared" si="0"/>
        <v>29977193.950987484</v>
      </c>
      <c r="G9" s="148">
        <f t="shared" si="0"/>
        <v>69444023.72293748</v>
      </c>
      <c r="H9" s="148">
        <f t="shared" si="0"/>
        <v>13637423.663237493</v>
      </c>
      <c r="I9" s="148">
        <f t="shared" si="0"/>
        <v>116829357.55741246</v>
      </c>
      <c r="J9" s="148">
        <f t="shared" si="0"/>
        <v>38335614.905874982</v>
      </c>
      <c r="K9" s="148">
        <f t="shared" si="0"/>
        <v>74723026.431287482</v>
      </c>
      <c r="L9" s="149">
        <f t="shared" si="8"/>
        <v>811835202.21982467</v>
      </c>
      <c r="M9" s="58">
        <f>Miles!F7/C9</f>
        <v>13.976539186315136</v>
      </c>
      <c r="N9" s="14">
        <f>'Fleet Types'!F18</f>
        <v>0</v>
      </c>
      <c r="O9" s="157">
        <f>Miles!G7/Miles!D7</f>
        <v>0.999989713132999</v>
      </c>
      <c r="P9" s="157">
        <f>Fleet!T7/Fleet!C7</f>
        <v>0.99935248134010002</v>
      </c>
      <c r="Q9" s="157">
        <f>EV!C8</f>
        <v>0</v>
      </c>
      <c r="R9" s="149">
        <f t="shared" si="1"/>
        <v>251469525.71648902</v>
      </c>
      <c r="S9" s="149">
        <f t="shared" si="2"/>
        <v>217115422.17829734</v>
      </c>
      <c r="T9" s="149">
        <f t="shared" si="3"/>
        <v>29976885.579580247</v>
      </c>
      <c r="U9" s="149">
        <f t="shared" si="4"/>
        <v>69443309.361501426</v>
      </c>
      <c r="V9" s="149">
        <f t="shared" si="5"/>
        <v>13628593.176942585</v>
      </c>
      <c r="W9" s="149">
        <f t="shared" si="6"/>
        <v>116828155.74934946</v>
      </c>
      <c r="X9" s="149">
        <f t="shared" si="9"/>
        <v>38310791.87988469</v>
      </c>
      <c r="Y9" s="149">
        <f t="shared" si="10"/>
        <v>74674641.877349019</v>
      </c>
      <c r="Z9" s="149">
        <f t="shared" si="11"/>
        <v>811447325.5193938</v>
      </c>
      <c r="AA9" s="148">
        <f>VMT_fee!K8*O9*M9*C9*AA$4</f>
        <v>0</v>
      </c>
      <c r="AB9" s="148">
        <f>NOVMT!K8*N9*M9*C9*AB$4</f>
        <v>0</v>
      </c>
      <c r="AC9" s="148">
        <f>Pricing!I9*M9*C9*AC$4</f>
        <v>0</v>
      </c>
      <c r="AD9" s="149">
        <f t="shared" si="12"/>
        <v>0</v>
      </c>
      <c r="AE9" s="149">
        <f t="shared" si="13"/>
        <v>811447325.5193938</v>
      </c>
      <c r="AG9" s="13"/>
      <c r="AH9" s="2"/>
    </row>
    <row r="10" spans="1:34" x14ac:dyDescent="0.25">
      <c r="A10">
        <f t="shared" si="14"/>
        <v>5</v>
      </c>
      <c r="B10">
        <f t="shared" si="14"/>
        <v>2022</v>
      </c>
      <c r="C10" s="18">
        <f>C9*(1+City!$B$8)</f>
        <v>6378794.9392562471</v>
      </c>
      <c r="D10" s="148">
        <f t="shared" si="7"/>
        <v>255406949.36782014</v>
      </c>
      <c r="E10" s="148">
        <f t="shared" si="0"/>
        <v>220514941.05008847</v>
      </c>
      <c r="F10" s="148">
        <f t="shared" si="0"/>
        <v>30426851.860252295</v>
      </c>
      <c r="G10" s="148">
        <f t="shared" si="0"/>
        <v>70485684.07878153</v>
      </c>
      <c r="H10" s="148">
        <f t="shared" si="0"/>
        <v>13841985.018186055</v>
      </c>
      <c r="I10" s="148">
        <f t="shared" si="0"/>
        <v>118581797.92077364</v>
      </c>
      <c r="J10" s="148">
        <f t="shared" si="0"/>
        <v>38910649.129463106</v>
      </c>
      <c r="K10" s="148">
        <f t="shared" si="0"/>
        <v>75843871.827756777</v>
      </c>
      <c r="L10" s="149">
        <f t="shared" si="8"/>
        <v>824012730.25312197</v>
      </c>
      <c r="M10" s="58">
        <f>Miles!F8/C10</f>
        <v>13.976228159587977</v>
      </c>
      <c r="N10" s="14">
        <f>'Fleet Types'!F19</f>
        <v>0</v>
      </c>
      <c r="O10" s="157">
        <f>Miles!G8/Miles!D8</f>
        <v>0.99996912252538883</v>
      </c>
      <c r="P10" s="157">
        <f>Fleet!T8/Fleet!C8</f>
        <v>0.99875500786207305</v>
      </c>
      <c r="Q10" s="157">
        <f>EV!C9</f>
        <v>0</v>
      </c>
      <c r="R10" s="149">
        <f t="shared" si="1"/>
        <v>255088969.7238853</v>
      </c>
      <c r="S10" s="149">
        <f t="shared" si="2"/>
        <v>220240401.68218568</v>
      </c>
      <c r="T10" s="149">
        <f t="shared" si="3"/>
        <v>30425912.355906483</v>
      </c>
      <c r="U10" s="149">
        <f t="shared" si="4"/>
        <v>70483507.658860937</v>
      </c>
      <c r="V10" s="149">
        <f t="shared" si="5"/>
        <v>13824751.85566511</v>
      </c>
      <c r="W10" s="149">
        <f t="shared" si="6"/>
        <v>118578136.41431899</v>
      </c>
      <c r="X10" s="149">
        <f t="shared" si="9"/>
        <v>38862205.677215293</v>
      </c>
      <c r="Y10" s="149">
        <f t="shared" si="10"/>
        <v>75749446.803621277</v>
      </c>
      <c r="Z10" s="149">
        <f t="shared" si="11"/>
        <v>823253332.17165911</v>
      </c>
      <c r="AA10" s="148">
        <f>VMT_fee!K9*O10*M10*C10*AA$4</f>
        <v>0</v>
      </c>
      <c r="AB10" s="148">
        <f>NOVMT!K9*N10*M10*C10*AB$4</f>
        <v>0</v>
      </c>
      <c r="AC10" s="148">
        <f>Pricing!I10*M10*C10*AC$4</f>
        <v>0</v>
      </c>
      <c r="AD10" s="149">
        <f t="shared" si="12"/>
        <v>0</v>
      </c>
      <c r="AE10" s="149">
        <f t="shared" si="13"/>
        <v>823253332.17165911</v>
      </c>
    </row>
    <row r="11" spans="1:34" x14ac:dyDescent="0.25">
      <c r="A11">
        <f t="shared" si="14"/>
        <v>6</v>
      </c>
      <c r="B11">
        <f t="shared" si="14"/>
        <v>2023</v>
      </c>
      <c r="C11" s="18">
        <f>C10*(1+City!$B$8)</f>
        <v>6474476.8633450903</v>
      </c>
      <c r="D11" s="148">
        <f t="shared" si="7"/>
        <v>259238053.6083374</v>
      </c>
      <c r="E11" s="148">
        <f t="shared" si="0"/>
        <v>223822665.16583976</v>
      </c>
      <c r="F11" s="148">
        <f t="shared" si="0"/>
        <v>30883254.638156079</v>
      </c>
      <c r="G11" s="148">
        <f t="shared" si="0"/>
        <v>71542969.339963257</v>
      </c>
      <c r="H11" s="148">
        <f t="shared" si="0"/>
        <v>14049614.793458845</v>
      </c>
      <c r="I11" s="148">
        <f t="shared" si="0"/>
        <v>120360524.88958523</v>
      </c>
      <c r="J11" s="148">
        <f t="shared" si="0"/>
        <v>39494308.866405047</v>
      </c>
      <c r="K11" s="148">
        <f t="shared" si="0"/>
        <v>76981529.905173123</v>
      </c>
      <c r="L11" s="149">
        <f t="shared" si="8"/>
        <v>836372921.20691872</v>
      </c>
      <c r="M11" s="58">
        <f>Miles!F9/C11</f>
        <v>13.986023225638661</v>
      </c>
      <c r="N11" s="14">
        <f>'Fleet Types'!F20</f>
        <v>0</v>
      </c>
      <c r="O11" s="157">
        <f>Miles!G9/Miles!D9</f>
        <v>1.0006172380879339</v>
      </c>
      <c r="P11" s="157">
        <f>Fleet!T9/Fleet!C9</f>
        <v>0.99794439949328095</v>
      </c>
      <c r="Q11" s="157">
        <f>EV!C10</f>
        <v>1.05</v>
      </c>
      <c r="R11" s="149">
        <f t="shared" si="1"/>
        <v>258705163.73397925</v>
      </c>
      <c r="S11" s="149">
        <f t="shared" si="2"/>
        <v>223362575.18190965</v>
      </c>
      <c r="T11" s="149">
        <f t="shared" si="3"/>
        <v>30902316.95919811</v>
      </c>
      <c r="U11" s="149">
        <f t="shared" si="4"/>
        <v>71587128.385563776</v>
      </c>
      <c r="V11" s="149">
        <f t="shared" si="5"/>
        <v>14020734.398170205</v>
      </c>
      <c r="W11" s="149">
        <f t="shared" si="6"/>
        <v>63228278.394661166</v>
      </c>
      <c r="X11" s="149">
        <f t="shared" si="9"/>
        <v>39413124.345086746</v>
      </c>
      <c r="Y11" s="149">
        <f t="shared" si="10"/>
        <v>76823286.633292034</v>
      </c>
      <c r="Z11" s="149">
        <f t="shared" si="11"/>
        <v>778042608.03186095</v>
      </c>
      <c r="AA11" s="148">
        <f>VMT_fee!K10*O11*M11*C11*AA$4</f>
        <v>47569239.921725556</v>
      </c>
      <c r="AB11" s="148">
        <f>NOVMT!K10*N11*M11*C11*AB$4</f>
        <v>0</v>
      </c>
      <c r="AC11" s="148">
        <f>Pricing!I11*M11*C11*AC$4</f>
        <v>0</v>
      </c>
      <c r="AD11" s="149">
        <f t="shared" si="12"/>
        <v>47569239.921725556</v>
      </c>
      <c r="AE11" s="149">
        <f t="shared" si="13"/>
        <v>825611847.95358646</v>
      </c>
    </row>
    <row r="12" spans="1:34" x14ac:dyDescent="0.25">
      <c r="A12">
        <f t="shared" si="14"/>
        <v>7</v>
      </c>
      <c r="B12">
        <f t="shared" si="14"/>
        <v>2024</v>
      </c>
      <c r="C12" s="18">
        <f>C11*(1+City!$B$8)</f>
        <v>6571594.0162952663</v>
      </c>
      <c r="D12" s="148">
        <f t="shared" si="7"/>
        <v>263126624.41246247</v>
      </c>
      <c r="E12" s="148">
        <f t="shared" si="0"/>
        <v>227180005.14332736</v>
      </c>
      <c r="F12" s="148">
        <f t="shared" si="0"/>
        <v>31346503.457728419</v>
      </c>
      <c r="G12" s="148">
        <f t="shared" si="0"/>
        <v>72616113.880062699</v>
      </c>
      <c r="H12" s="148">
        <f t="shared" si="0"/>
        <v>14260359.015360728</v>
      </c>
      <c r="I12" s="148">
        <f t="shared" si="0"/>
        <v>122165932.76292901</v>
      </c>
      <c r="J12" s="148">
        <f t="shared" si="0"/>
        <v>40086723.499401122</v>
      </c>
      <c r="K12" s="148">
        <f t="shared" si="0"/>
        <v>78136252.853750721</v>
      </c>
      <c r="L12" s="149">
        <f t="shared" si="8"/>
        <v>848918515.02502239</v>
      </c>
      <c r="M12" s="58">
        <f>Miles!F10/C12</f>
        <v>13.994686073610245</v>
      </c>
      <c r="N12" s="14">
        <f>'Fleet Types'!F21</f>
        <v>0</v>
      </c>
      <c r="O12" s="157">
        <f>Miles!G10/Miles!D10</f>
        <v>1.0011970835388959</v>
      </c>
      <c r="P12" s="157">
        <f>Fleet!T10/Fleet!C10</f>
        <v>0.99710720867937841</v>
      </c>
      <c r="Q12" s="157">
        <f>EV!C11</f>
        <v>1.05</v>
      </c>
      <c r="R12" s="149">
        <f t="shared" si="1"/>
        <v>262365453.99713764</v>
      </c>
      <c r="S12" s="149">
        <f t="shared" si="2"/>
        <v>226522820.79622996</v>
      </c>
      <c r="T12" s="149">
        <f t="shared" si="3"/>
        <v>31384027.841019612</v>
      </c>
      <c r="U12" s="149">
        <f t="shared" si="4"/>
        <v>72703041.434647113</v>
      </c>
      <c r="V12" s="149">
        <f t="shared" si="5"/>
        <v>14219106.772572145</v>
      </c>
      <c r="W12" s="149">
        <f t="shared" si="6"/>
        <v>64213892.184778027</v>
      </c>
      <c r="X12" s="149">
        <f t="shared" si="9"/>
        <v>39970760.973589897</v>
      </c>
      <c r="Y12" s="149">
        <f t="shared" si="10"/>
        <v>77910220.979669496</v>
      </c>
      <c r="Z12" s="149">
        <f t="shared" si="11"/>
        <v>789289324.97964382</v>
      </c>
      <c r="AA12" s="148">
        <f>VMT_fee!K11*O12*M12*C12*AA$4</f>
        <v>48340681.15603134</v>
      </c>
      <c r="AB12" s="148">
        <f>NOVMT!K11*N12*M12*C12*AB$4</f>
        <v>0</v>
      </c>
      <c r="AC12" s="148">
        <f>Pricing!I12*M12*C12*AC$4</f>
        <v>0</v>
      </c>
      <c r="AD12" s="149">
        <f t="shared" si="12"/>
        <v>48340681.15603134</v>
      </c>
      <c r="AE12" s="149">
        <f t="shared" si="13"/>
        <v>837630006.13567519</v>
      </c>
    </row>
    <row r="13" spans="1:34" x14ac:dyDescent="0.25">
      <c r="A13">
        <f t="shared" si="14"/>
        <v>8</v>
      </c>
      <c r="B13">
        <f t="shared" si="14"/>
        <v>2025</v>
      </c>
      <c r="C13" s="18">
        <f>C12*(1+City!$B$8)</f>
        <v>6670167.9265396949</v>
      </c>
      <c r="D13" s="148">
        <f t="shared" si="7"/>
        <v>267073523.77864939</v>
      </c>
      <c r="E13" s="148">
        <f t="shared" si="0"/>
        <v>230587705.22047725</v>
      </c>
      <c r="F13" s="148">
        <f t="shared" si="0"/>
        <v>31816701.009594344</v>
      </c>
      <c r="G13" s="148">
        <f t="shared" si="0"/>
        <v>73705355.588263631</v>
      </c>
      <c r="H13" s="148">
        <f t="shared" si="0"/>
        <v>14474264.400591137</v>
      </c>
      <c r="I13" s="148">
        <f t="shared" si="0"/>
        <v>123998421.75437292</v>
      </c>
      <c r="J13" s="148">
        <f t="shared" si="0"/>
        <v>40688024.351892136</v>
      </c>
      <c r="K13" s="148">
        <f t="shared" si="0"/>
        <v>79308296.646556973</v>
      </c>
      <c r="L13" s="149">
        <f t="shared" si="8"/>
        <v>861652292.7503978</v>
      </c>
      <c r="M13" s="58">
        <f>Miles!F11/C13</f>
        <v>14.006598374193135</v>
      </c>
      <c r="N13" s="14">
        <f>'Fleet Types'!F22</f>
        <v>0</v>
      </c>
      <c r="O13" s="157">
        <f>Miles!G11/Miles!D11</f>
        <v>1.0019911670421038</v>
      </c>
      <c r="P13" s="157">
        <f>Fleet!T11/Fleet!C11</f>
        <v>0.99621345890614976</v>
      </c>
      <c r="Q13" s="157">
        <f>EV!C12</f>
        <v>1.05</v>
      </c>
      <c r="R13" s="149">
        <f t="shared" si="1"/>
        <v>266062238.90578213</v>
      </c>
      <c r="S13" s="149">
        <f t="shared" si="2"/>
        <v>229714575.39892328</v>
      </c>
      <c r="T13" s="149">
        <f t="shared" si="3"/>
        <v>31880053.376033116</v>
      </c>
      <c r="U13" s="149">
        <f t="shared" si="4"/>
        <v>73852115.263137519</v>
      </c>
      <c r="V13" s="149">
        <f t="shared" si="5"/>
        <v>14419457.003635045</v>
      </c>
      <c r="W13" s="149">
        <f t="shared" si="6"/>
        <v>65228794.745647639</v>
      </c>
      <c r="X13" s="149">
        <f t="shared" si="9"/>
        <v>40533957.475656115</v>
      </c>
      <c r="Y13" s="149">
        <f t="shared" si="10"/>
        <v>79007992.522221521</v>
      </c>
      <c r="Z13" s="149">
        <f t="shared" si="11"/>
        <v>800699184.69103646</v>
      </c>
      <c r="AA13" s="148">
        <f>VMT_fee!K12*O13*M13*C13*AA$4</f>
        <v>49146505.133672178</v>
      </c>
      <c r="AB13" s="148">
        <f>NOVMT!K12*N13*M13*C13*AB$4</f>
        <v>0</v>
      </c>
      <c r="AC13" s="148">
        <f>Pricing!I13*M13*C13*AC$4</f>
        <v>0</v>
      </c>
      <c r="AD13" s="149">
        <f t="shared" si="12"/>
        <v>49146505.133672178</v>
      </c>
      <c r="AE13" s="149">
        <f t="shared" si="13"/>
        <v>849845689.8247087</v>
      </c>
    </row>
    <row r="14" spans="1:34" x14ac:dyDescent="0.25">
      <c r="A14">
        <f t="shared" si="14"/>
        <v>9</v>
      </c>
      <c r="B14">
        <f t="shared" si="14"/>
        <v>2026</v>
      </c>
      <c r="C14" s="18">
        <f>C13*(1+City!$B$8)</f>
        <v>6770220.4454377899</v>
      </c>
      <c r="D14" s="148">
        <f t="shared" si="7"/>
        <v>271079626.63532913</v>
      </c>
      <c r="E14" s="148">
        <f t="shared" si="0"/>
        <v>234046520.7987844</v>
      </c>
      <c r="F14" s="148">
        <f t="shared" si="0"/>
        <v>32293951.524738256</v>
      </c>
      <c r="G14" s="148">
        <f t="shared" si="0"/>
        <v>74810935.92208758</v>
      </c>
      <c r="H14" s="148">
        <f t="shared" si="0"/>
        <v>14691378.366600003</v>
      </c>
      <c r="I14" s="148">
        <f t="shared" si="0"/>
        <v>125858398.08068851</v>
      </c>
      <c r="J14" s="148">
        <f t="shared" si="0"/>
        <v>41298344.717170514</v>
      </c>
      <c r="K14" s="148">
        <f t="shared" si="0"/>
        <v>80497921.096255332</v>
      </c>
      <c r="L14" s="149">
        <f t="shared" si="8"/>
        <v>874577077.14165366</v>
      </c>
      <c r="M14" s="58">
        <f>Miles!F12/C14</f>
        <v>14.025817457036167</v>
      </c>
      <c r="N14" s="14">
        <f>'Fleet Types'!F23</f>
        <v>6.7453356959466578E-3</v>
      </c>
      <c r="O14" s="157">
        <f>Miles!G12/Miles!D12</f>
        <v>1.0033247447726485</v>
      </c>
      <c r="P14" s="157">
        <f>Fleet!T12/Fleet!C12</f>
        <v>0.99479831247034178</v>
      </c>
      <c r="Q14" s="157">
        <f>EV!C13</f>
        <v>1.05</v>
      </c>
      <c r="R14" s="149">
        <f t="shared" si="1"/>
        <v>267850543.44564185</v>
      </c>
      <c r="S14" s="149">
        <f t="shared" si="2"/>
        <v>231258573.59929663</v>
      </c>
      <c r="T14" s="149">
        <f t="shared" si="3"/>
        <v>32182762.886338644</v>
      </c>
      <c r="U14" s="149">
        <f t="shared" si="4"/>
        <v>74553360.564788684</v>
      </c>
      <c r="V14" s="149">
        <f t="shared" si="5"/>
        <v>14516375.606319746</v>
      </c>
      <c r="W14" s="149">
        <f t="shared" si="6"/>
        <v>66295343.694195628</v>
      </c>
      <c r="X14" s="149">
        <f t="shared" si="9"/>
        <v>41083523.632459685</v>
      </c>
      <c r="Y14" s="149">
        <f t="shared" si="10"/>
        <v>80079196.063925534</v>
      </c>
      <c r="Z14" s="149">
        <f t="shared" si="11"/>
        <v>807819679.49296629</v>
      </c>
      <c r="AA14" s="148">
        <f>VMT_fee!K13*O14*M14*C14*AA$4</f>
        <v>50018633.077259906</v>
      </c>
      <c r="AB14" s="148">
        <f>NOVMT!K13*N14*M14*C14*AB$4</f>
        <v>0</v>
      </c>
      <c r="AC14" s="148">
        <f>Pricing!I14*M14*C14*AC$4</f>
        <v>0</v>
      </c>
      <c r="AD14" s="149">
        <f t="shared" si="12"/>
        <v>50018633.077259906</v>
      </c>
      <c r="AE14" s="149">
        <f t="shared" si="13"/>
        <v>857838312.57022619</v>
      </c>
    </row>
    <row r="15" spans="1:34" x14ac:dyDescent="0.25">
      <c r="A15">
        <f t="shared" si="14"/>
        <v>10</v>
      </c>
      <c r="B15">
        <f t="shared" si="14"/>
        <v>2027</v>
      </c>
      <c r="C15" s="18">
        <f>C14*(1+City!$B$8)</f>
        <v>6871773.7521193558</v>
      </c>
      <c r="D15" s="148">
        <f t="shared" si="7"/>
        <v>275145821.034859</v>
      </c>
      <c r="E15" s="148">
        <f t="shared" si="0"/>
        <v>237557218.61076614</v>
      </c>
      <c r="F15" s="148">
        <f t="shared" si="0"/>
        <v>32778360.797609325</v>
      </c>
      <c r="G15" s="148">
        <f t="shared" si="0"/>
        <v>75933099.960918888</v>
      </c>
      <c r="H15" s="148">
        <f t="shared" si="0"/>
        <v>14911749.042099001</v>
      </c>
      <c r="I15" s="148">
        <f t="shared" si="0"/>
        <v>127746274.05189882</v>
      </c>
      <c r="J15" s="148">
        <f t="shared" si="0"/>
        <v>41917819.887928069</v>
      </c>
      <c r="K15" s="148">
        <f t="shared" si="0"/>
        <v>81705389.912699148</v>
      </c>
      <c r="L15" s="149">
        <f t="shared" si="8"/>
        <v>887695733.29877841</v>
      </c>
      <c r="M15" s="58">
        <f>Miles!F13/C15</f>
        <v>14.054003816535639</v>
      </c>
      <c r="N15" s="14">
        <f>'Fleet Types'!F24</f>
        <v>1.6642524263412124E-2</v>
      </c>
      <c r="O15" s="157">
        <f>Miles!G13/Miles!D13</f>
        <v>1.0052964802244246</v>
      </c>
      <c r="P15" s="157">
        <f>Fleet!T13/Fleet!C13</f>
        <v>0.9930328836915393</v>
      </c>
      <c r="Q15" s="157">
        <f>EV!C14</f>
        <v>1.05</v>
      </c>
      <c r="R15" s="149">
        <f t="shared" si="1"/>
        <v>268681630.3639884</v>
      </c>
      <c r="S15" s="149">
        <f t="shared" si="2"/>
        <v>231976122.91915783</v>
      </c>
      <c r="T15" s="149">
        <f t="shared" si="3"/>
        <v>32403566.764839109</v>
      </c>
      <c r="U15" s="149">
        <f t="shared" si="4"/>
        <v>75064866.404920802</v>
      </c>
      <c r="V15" s="149">
        <f t="shared" si="5"/>
        <v>14561417.030216154</v>
      </c>
      <c r="W15" s="149">
        <f t="shared" si="6"/>
        <v>67422011.824733287</v>
      </c>
      <c r="X15" s="149">
        <f t="shared" si="9"/>
        <v>41625773.561371766</v>
      </c>
      <c r="Y15" s="149">
        <f t="shared" si="10"/>
        <v>81136138.958149239</v>
      </c>
      <c r="Z15" s="149">
        <f t="shared" si="11"/>
        <v>812871527.82737648</v>
      </c>
      <c r="AA15" s="148">
        <f>VMT_fee!K14*O15*M15*C15*AA$4</f>
        <v>50970909.70969943</v>
      </c>
      <c r="AB15" s="148">
        <f>NOVMT!K14*N15*M15*C15*AB$4</f>
        <v>0</v>
      </c>
      <c r="AC15" s="148">
        <f>Pricing!I15*M15*C15*AC$4</f>
        <v>0</v>
      </c>
      <c r="AD15" s="149">
        <f t="shared" si="12"/>
        <v>50970909.70969943</v>
      </c>
      <c r="AE15" s="149">
        <f t="shared" si="13"/>
        <v>863842437.53707588</v>
      </c>
    </row>
    <row r="16" spans="1:34" x14ac:dyDescent="0.25">
      <c r="A16">
        <f t="shared" si="14"/>
        <v>11</v>
      </c>
      <c r="B16">
        <f t="shared" si="14"/>
        <v>2028</v>
      </c>
      <c r="C16" s="18">
        <f>C15*(1+City!$B$8)</f>
        <v>6974850.3584011458</v>
      </c>
      <c r="D16" s="148">
        <f t="shared" si="7"/>
        <v>279273008.35038185</v>
      </c>
      <c r="E16" s="148">
        <f t="shared" si="0"/>
        <v>241120576.88992763</v>
      </c>
      <c r="F16" s="148">
        <f t="shared" si="0"/>
        <v>33270036.209573463</v>
      </c>
      <c r="G16" s="148">
        <f t="shared" si="0"/>
        <v>77072096.460332662</v>
      </c>
      <c r="H16" s="148">
        <f t="shared" si="0"/>
        <v>15135425.277730485</v>
      </c>
      <c r="I16" s="148">
        <f t="shared" si="0"/>
        <v>129662468.1626773</v>
      </c>
      <c r="J16" s="148">
        <f t="shared" si="0"/>
        <v>42546587.186246984</v>
      </c>
      <c r="K16" s="148">
        <f t="shared" si="0"/>
        <v>82930970.761389628</v>
      </c>
      <c r="L16" s="149">
        <f t="shared" si="8"/>
        <v>901011169.29825997</v>
      </c>
      <c r="M16" s="58">
        <f>Miles!F14/C16</f>
        <v>14.016403909470963</v>
      </c>
      <c r="N16" s="14">
        <f>'Fleet Types'!F25</f>
        <v>2.7686050788352977E-2</v>
      </c>
      <c r="O16" s="157">
        <f>Miles!G14/Miles!D14</f>
        <v>1.0026253899726443</v>
      </c>
      <c r="P16" s="157">
        <f>Fleet!T14/Fleet!C14</f>
        <v>0.99124903280656262</v>
      </c>
      <c r="Q16" s="157">
        <f>EV!C15</f>
        <v>1.05</v>
      </c>
      <c r="R16" s="149">
        <f t="shared" si="1"/>
        <v>269164794.91016155</v>
      </c>
      <c r="S16" s="149">
        <f t="shared" si="2"/>
        <v>232393280.72038677</v>
      </c>
      <c r="T16" s="149">
        <f t="shared" si="3"/>
        <v>32433848.828319389</v>
      </c>
      <c r="U16" s="149">
        <f t="shared" si="4"/>
        <v>75135016.677762955</v>
      </c>
      <c r="V16" s="149">
        <f t="shared" si="5"/>
        <v>14587602.52135491</v>
      </c>
      <c r="W16" s="149">
        <f t="shared" si="6"/>
        <v>68251513.420870453</v>
      </c>
      <c r="X16" s="149">
        <f t="shared" si="9"/>
        <v>42174263.397587411</v>
      </c>
      <c r="Y16" s="149">
        <f t="shared" si="10"/>
        <v>82205244.5569368</v>
      </c>
      <c r="Z16" s="149">
        <f t="shared" si="11"/>
        <v>816345565.03338027</v>
      </c>
      <c r="AA16" s="148">
        <f>VMT_fee!K15*O16*M16*C16*AA$4</f>
        <v>51459966.623969786</v>
      </c>
      <c r="AB16" s="148">
        <f>NOVMT!K15*N16*M16*C16*AB$4</f>
        <v>0</v>
      </c>
      <c r="AC16" s="148">
        <f>Pricing!I16*M16*C16*AC$4</f>
        <v>297673170.71898776</v>
      </c>
      <c r="AD16" s="149">
        <f t="shared" si="12"/>
        <v>349133137.34295756</v>
      </c>
      <c r="AE16" s="149">
        <f t="shared" si="13"/>
        <v>1165478702.3763378</v>
      </c>
    </row>
    <row r="17" spans="1:35" x14ac:dyDescent="0.25">
      <c r="A17">
        <f t="shared" si="14"/>
        <v>12</v>
      </c>
      <c r="B17">
        <f t="shared" si="14"/>
        <v>2029</v>
      </c>
      <c r="C17" s="18">
        <f>C16*(1+City!$B$8)</f>
        <v>7079473.1137771625</v>
      </c>
      <c r="D17" s="148">
        <f t="shared" si="7"/>
        <v>283462103.47563756</v>
      </c>
      <c r="E17" s="148">
        <f t="shared" si="0"/>
        <v>244737385.54327652</v>
      </c>
      <c r="F17" s="148">
        <f t="shared" si="0"/>
        <v>33769086.752717063</v>
      </c>
      <c r="G17" s="148">
        <f t="shared" si="0"/>
        <v>78228177.907237649</v>
      </c>
      <c r="H17" s="148">
        <f t="shared" si="0"/>
        <v>15362456.656896442</v>
      </c>
      <c r="I17" s="148">
        <f t="shared" si="0"/>
        <v>131607405.18511745</v>
      </c>
      <c r="J17" s="148">
        <f t="shared" si="0"/>
        <v>43184785.99404069</v>
      </c>
      <c r="K17" s="148">
        <f t="shared" si="0"/>
        <v>84174935.322810471</v>
      </c>
      <c r="L17" s="149">
        <f t="shared" si="8"/>
        <v>914526336.83773398</v>
      </c>
      <c r="M17" s="58">
        <f>Miles!F15/C17</f>
        <v>14.04605609421805</v>
      </c>
      <c r="N17" s="14">
        <f>'Fleet Types'!F26</f>
        <v>4.0012853182000443E-2</v>
      </c>
      <c r="O17" s="157">
        <f>Miles!G15/Miles!D15</f>
        <v>1.0047160153168504</v>
      </c>
      <c r="P17" s="157">
        <f>Fleet!T15/Fleet!C15</f>
        <v>0.98931845897660387</v>
      </c>
      <c r="Q17" s="157">
        <f>EV!C16</f>
        <v>1.05</v>
      </c>
      <c r="R17" s="149">
        <f t="shared" si="1"/>
        <v>269213315.26024657</v>
      </c>
      <c r="S17" s="149">
        <f t="shared" si="2"/>
        <v>232435172.54112703</v>
      </c>
      <c r="T17" s="149">
        <f t="shared" si="3"/>
        <v>32570772.504597429</v>
      </c>
      <c r="U17" s="149">
        <f t="shared" si="4"/>
        <v>75452208.841887146</v>
      </c>
      <c r="V17" s="149">
        <f t="shared" si="5"/>
        <v>14590232.120747631</v>
      </c>
      <c r="W17" s="149">
        <f t="shared" si="6"/>
        <v>69419735.55498524</v>
      </c>
      <c r="X17" s="149">
        <f t="shared" si="9"/>
        <v>42723505.930858761</v>
      </c>
      <c r="Y17" s="149">
        <f t="shared" si="10"/>
        <v>83275817.298018157</v>
      </c>
      <c r="Z17" s="149">
        <f t="shared" si="11"/>
        <v>819680760.05246806</v>
      </c>
      <c r="AA17" s="148">
        <f>VMT_fee!K16*O17*M17*C17*AA$4</f>
        <v>52451506.167353727</v>
      </c>
      <c r="AB17" s="148">
        <f>NOVMT!K16*N17*M17*C17*AB$4</f>
        <v>0</v>
      </c>
      <c r="AC17" s="148">
        <f>Pricing!I17*M17*C17*AC$4</f>
        <v>302777452.18229574</v>
      </c>
      <c r="AD17" s="149">
        <f t="shared" si="12"/>
        <v>355228958.34964949</v>
      </c>
      <c r="AE17" s="149">
        <f t="shared" si="13"/>
        <v>1174909718.4021175</v>
      </c>
    </row>
    <row r="18" spans="1:35" x14ac:dyDescent="0.25">
      <c r="A18">
        <f t="shared" si="14"/>
        <v>13</v>
      </c>
      <c r="B18">
        <f t="shared" si="14"/>
        <v>2030</v>
      </c>
      <c r="C18" s="18">
        <f>C17*(1+City!$B$8)</f>
        <v>7185665.2104838192</v>
      </c>
      <c r="D18" s="148">
        <f t="shared" si="7"/>
        <v>287714035.02777213</v>
      </c>
      <c r="E18" s="148">
        <f t="shared" si="0"/>
        <v>248408446.32642564</v>
      </c>
      <c r="F18" s="148">
        <f t="shared" si="0"/>
        <v>34275623.054007813</v>
      </c>
      <c r="G18" s="148">
        <f t="shared" si="0"/>
        <v>79401600.57584621</v>
      </c>
      <c r="H18" s="148">
        <f t="shared" si="0"/>
        <v>15592893.506749887</v>
      </c>
      <c r="I18" s="148">
        <f t="shared" si="0"/>
        <v>133581516.2628942</v>
      </c>
      <c r="J18" s="148">
        <f t="shared" si="0"/>
        <v>43832557.783951297</v>
      </c>
      <c r="K18" s="148">
        <f t="shared" si="0"/>
        <v>85437559.352652609</v>
      </c>
      <c r="L18" s="149">
        <f t="shared" si="8"/>
        <v>928244231.89029956</v>
      </c>
      <c r="M18" s="58">
        <f>Miles!F16/C18</f>
        <v>14.093270865026057</v>
      </c>
      <c r="N18" s="14">
        <f>'Fleet Types'!F27</f>
        <v>5.3773677228331485E-2</v>
      </c>
      <c r="O18" s="157">
        <f>Miles!G16/Miles!D16</f>
        <v>1.0080481972999156</v>
      </c>
      <c r="P18" s="157">
        <f>Fleet!T16/Fleet!C16</f>
        <v>0.98695970076453698</v>
      </c>
      <c r="Q18" s="157">
        <f>EV!C17</f>
        <v>1.05</v>
      </c>
      <c r="R18" s="149">
        <f t="shared" si="1"/>
        <v>268692468.49189073</v>
      </c>
      <c r="S18" s="149">
        <f t="shared" si="2"/>
        <v>231985480.41370288</v>
      </c>
      <c r="T18" s="149">
        <f t="shared" si="3"/>
        <v>32693519.895979952</v>
      </c>
      <c r="U18" s="149">
        <f t="shared" si="4"/>
        <v>75736560.76532045</v>
      </c>
      <c r="V18" s="149">
        <f t="shared" si="5"/>
        <v>14562004.411273798</v>
      </c>
      <c r="W18" s="149">
        <f t="shared" si="6"/>
        <v>70694718.497234926</v>
      </c>
      <c r="X18" s="149">
        <f t="shared" si="9"/>
        <v>43260968.114192851</v>
      </c>
      <c r="Y18" s="149">
        <f t="shared" si="10"/>
        <v>84323428.012746394</v>
      </c>
      <c r="Z18" s="149">
        <f t="shared" si="11"/>
        <v>821949148.60234213</v>
      </c>
      <c r="AA18" s="148">
        <f>VMT_fee!K17*O18*M18*C18*AA$4</f>
        <v>53594395.723953709</v>
      </c>
      <c r="AB18" s="148">
        <f>NOVMT!K17*N18*M18*C18*AB$4</f>
        <v>0</v>
      </c>
      <c r="AC18" s="148">
        <f>Pricing!I18*M18*C18*AC$4</f>
        <v>308352144.26431477</v>
      </c>
      <c r="AD18" s="149">
        <f t="shared" si="12"/>
        <v>361946539.98826849</v>
      </c>
      <c r="AE18" s="149">
        <f t="shared" si="13"/>
        <v>1183895688.5906105</v>
      </c>
    </row>
    <row r="19" spans="1:35" x14ac:dyDescent="0.25">
      <c r="A19">
        <f t="shared" si="14"/>
        <v>14</v>
      </c>
      <c r="B19">
        <f t="shared" si="14"/>
        <v>2031</v>
      </c>
      <c r="C19" s="18">
        <f>C18*(1+City!$B$8)</f>
        <v>7293450.188641076</v>
      </c>
      <c r="D19" s="148">
        <f t="shared" si="7"/>
        <v>292029745.55318868</v>
      </c>
      <c r="E19" s="148">
        <f t="shared" si="0"/>
        <v>252134573.02132201</v>
      </c>
      <c r="F19" s="148">
        <f t="shared" si="0"/>
        <v>34789757.399817929</v>
      </c>
      <c r="G19" s="148">
        <f t="shared" si="0"/>
        <v>80592624.584483892</v>
      </c>
      <c r="H19" s="148">
        <f t="shared" si="0"/>
        <v>15826786.909351135</v>
      </c>
      <c r="I19" s="148">
        <f t="shared" si="0"/>
        <v>135585239.00683761</v>
      </c>
      <c r="J19" s="148">
        <f t="shared" si="0"/>
        <v>44490046.15071056</v>
      </c>
      <c r="K19" s="148">
        <f t="shared" si="0"/>
        <v>86719122.742942393</v>
      </c>
      <c r="L19" s="149">
        <f t="shared" si="8"/>
        <v>942167895.36865425</v>
      </c>
      <c r="M19" s="58">
        <f>Miles!F17/C19</f>
        <v>14.131610951340278</v>
      </c>
      <c r="N19" s="14">
        <f>'Fleet Types'!F28</f>
        <v>6.9037665700086098E-2</v>
      </c>
      <c r="O19" s="157">
        <f>Miles!G17/Miles!D17</f>
        <v>1.010777110906858</v>
      </c>
      <c r="P19" s="157">
        <f>Fleet!T17/Fleet!C17</f>
        <v>0.98472894324750415</v>
      </c>
      <c r="Q19" s="157">
        <f>EV!C18</f>
        <v>1.05</v>
      </c>
      <c r="R19" s="149">
        <f t="shared" si="1"/>
        <v>267716971.35593441</v>
      </c>
      <c r="S19" s="149">
        <f t="shared" si="2"/>
        <v>231143249.24512124</v>
      </c>
      <c r="T19" s="149">
        <f t="shared" si="3"/>
        <v>32737002.32836549</v>
      </c>
      <c r="U19" s="149">
        <f t="shared" si="4"/>
        <v>75837290.509106651</v>
      </c>
      <c r="V19" s="149">
        <f t="shared" si="5"/>
        <v>14509136.559499942</v>
      </c>
      <c r="W19" s="149">
        <f t="shared" si="6"/>
        <v>71949389.486597255</v>
      </c>
      <c r="X19" s="149">
        <f t="shared" si="9"/>
        <v>43810636.131021902</v>
      </c>
      <c r="Y19" s="149">
        <f t="shared" si="10"/>
        <v>85394830.09800826</v>
      </c>
      <c r="Z19" s="149">
        <f t="shared" si="11"/>
        <v>823098505.71365523</v>
      </c>
      <c r="AA19" s="148">
        <f>VMT_fee!K18*O19*M19*C19*AA$4</f>
        <v>54693963.443305247</v>
      </c>
      <c r="AB19" s="148">
        <f>NOVMT!K18*N19*M19*C19*AB$4</f>
        <v>0</v>
      </c>
      <c r="AC19" s="148">
        <f>Pricing!I19*M19*C19*AC$4</f>
        <v>313828866.92485303</v>
      </c>
      <c r="AD19" s="149">
        <f t="shared" si="12"/>
        <v>368522830.36815828</v>
      </c>
      <c r="AE19" s="149">
        <f t="shared" si="13"/>
        <v>1191621336.0818136</v>
      </c>
    </row>
    <row r="20" spans="1:35" x14ac:dyDescent="0.25">
      <c r="A20">
        <f t="shared" si="14"/>
        <v>15</v>
      </c>
      <c r="B20">
        <f t="shared" si="14"/>
        <v>2032</v>
      </c>
      <c r="C20" s="18">
        <f>C19*(1+City!$B$8)</f>
        <v>7402851.941470691</v>
      </c>
      <c r="D20" s="148">
        <f t="shared" si="7"/>
        <v>296410191.73648643</v>
      </c>
      <c r="E20" s="148">
        <f t="shared" si="0"/>
        <v>255916591.61664179</v>
      </c>
      <c r="F20" s="148">
        <f t="shared" si="0"/>
        <v>35311603.760815196</v>
      </c>
      <c r="G20" s="148">
        <f t="shared" si="0"/>
        <v>81801513.953251138</v>
      </c>
      <c r="H20" s="148">
        <f t="shared" si="0"/>
        <v>16064188.7129914</v>
      </c>
      <c r="I20" s="148">
        <f t="shared" si="0"/>
        <v>137619017.59194013</v>
      </c>
      <c r="J20" s="148">
        <f t="shared" si="0"/>
        <v>45157396.842971213</v>
      </c>
      <c r="K20" s="148">
        <f t="shared" si="0"/>
        <v>88019909.584086522</v>
      </c>
      <c r="L20" s="149">
        <f t="shared" si="8"/>
        <v>956300413.79918373</v>
      </c>
      <c r="M20" s="58">
        <f>Miles!F18/C20</f>
        <v>14.177947466595832</v>
      </c>
      <c r="N20" s="14">
        <f>'Fleet Types'!F29</f>
        <v>8.5950764461609749E-2</v>
      </c>
      <c r="O20" s="157">
        <f>Miles!G18/Miles!D18</f>
        <v>1.0140743726131785</v>
      </c>
      <c r="P20" s="157">
        <f>Fleet!T18/Fleet!C18</f>
        <v>0.98220884040595324</v>
      </c>
      <c r="Q20" s="157">
        <f>EV!C19</f>
        <v>1.05</v>
      </c>
      <c r="R20" s="149">
        <f t="shared" si="1"/>
        <v>266113287.86163756</v>
      </c>
      <c r="S20" s="149">
        <f t="shared" si="2"/>
        <v>229758650.38403624</v>
      </c>
      <c r="T20" s="149">
        <f t="shared" si="3"/>
        <v>32730816.536085706</v>
      </c>
      <c r="U20" s="149">
        <f t="shared" si="4"/>
        <v>75822960.738731056</v>
      </c>
      <c r="V20" s="149">
        <f t="shared" si="5"/>
        <v>14422223.642850988</v>
      </c>
      <c r="W20" s="149">
        <f t="shared" si="6"/>
        <v>73266857.435199052</v>
      </c>
      <c r="X20" s="149">
        <f t="shared" si="9"/>
        <v>44353994.388886206</v>
      </c>
      <c r="Y20" s="149">
        <f t="shared" si="10"/>
        <v>86453933.325222477</v>
      </c>
      <c r="Z20" s="149">
        <f t="shared" si="11"/>
        <v>822922724.31264925</v>
      </c>
      <c r="AA20" s="148">
        <f>VMT_fee!K19*O20*M20*C20*AA$4</f>
        <v>55878087.991329663</v>
      </c>
      <c r="AB20" s="148">
        <f>NOVMT!K19*N20*M20*C20*AB$4</f>
        <v>0</v>
      </c>
      <c r="AC20" s="148">
        <f>Pricing!I20*M20*C20*AC$4</f>
        <v>319580757.08027899</v>
      </c>
      <c r="AD20" s="149">
        <f t="shared" si="12"/>
        <v>375458845.07160866</v>
      </c>
      <c r="AE20" s="149">
        <f t="shared" si="13"/>
        <v>1198381569.3842578</v>
      </c>
    </row>
    <row r="21" spans="1:35" x14ac:dyDescent="0.25">
      <c r="A21">
        <f t="shared" si="14"/>
        <v>16</v>
      </c>
      <c r="B21">
        <f t="shared" si="14"/>
        <v>2033</v>
      </c>
      <c r="C21" s="18">
        <f>C20*(1+City!$B$8)</f>
        <v>7513894.7205927502</v>
      </c>
      <c r="D21" s="148">
        <f t="shared" si="7"/>
        <v>300856344.61253369</v>
      </c>
      <c r="E21" s="148">
        <f t="shared" si="0"/>
        <v>259755340.49089137</v>
      </c>
      <c r="F21" s="148">
        <f t="shared" si="0"/>
        <v>35841277.817227416</v>
      </c>
      <c r="G21" s="148">
        <f t="shared" si="0"/>
        <v>83028536.662549898</v>
      </c>
      <c r="H21" s="148">
        <f t="shared" si="0"/>
        <v>16305151.543686267</v>
      </c>
      <c r="I21" s="148">
        <f t="shared" si="0"/>
        <v>139683302.85581923</v>
      </c>
      <c r="J21" s="148">
        <f t="shared" si="0"/>
        <v>45834757.795615777</v>
      </c>
      <c r="K21" s="148">
        <f t="shared" si="0"/>
        <v>89340208.2278478</v>
      </c>
      <c r="L21" s="149">
        <f t="shared" si="8"/>
        <v>970644920.00617135</v>
      </c>
      <c r="M21" s="58">
        <f>Miles!F19/C21</f>
        <v>14.403876911939522</v>
      </c>
      <c r="N21" s="14">
        <f>'Fleet Types'!F30</f>
        <v>0.10473555882950639</v>
      </c>
      <c r="O21" s="157">
        <f>Miles!G19/Miles!D19</f>
        <v>1.0300122877278393</v>
      </c>
      <c r="P21" s="157">
        <f>Fleet!T19/Fleet!C19</f>
        <v>0.97903279075646465</v>
      </c>
      <c r="Q21" s="157">
        <f>EV!C20</f>
        <v>1.05</v>
      </c>
      <c r="R21" s="149">
        <f t="shared" si="1"/>
        <v>263698553.55893457</v>
      </c>
      <c r="S21" s="149">
        <f t="shared" si="2"/>
        <v>227673801.11219707</v>
      </c>
      <c r="T21" s="149">
        <f t="shared" si="3"/>
        <v>33050438.484055951</v>
      </c>
      <c r="U21" s="149">
        <f t="shared" si="4"/>
        <v>76563384.748179942</v>
      </c>
      <c r="V21" s="149">
        <f t="shared" si="5"/>
        <v>14291355.175396806</v>
      </c>
      <c r="W21" s="149">
        <f t="shared" si="6"/>
        <v>75534647.124249071</v>
      </c>
      <c r="X21" s="149">
        <f t="shared" si="9"/>
        <v>44873730.838288337</v>
      </c>
      <c r="Y21" s="149">
        <f t="shared" si="10"/>
        <v>87466993.388073504</v>
      </c>
      <c r="Z21" s="149">
        <f t="shared" si="11"/>
        <v>823152904.42937517</v>
      </c>
      <c r="AA21" s="148">
        <f>VMT_fee!K20*O21*M21*C21*AA$4</f>
        <v>58525646.033591717</v>
      </c>
      <c r="AB21" s="148">
        <f>NOVMT!K20*N21*M21*C21*AB$4</f>
        <v>0</v>
      </c>
      <c r="AC21" s="148">
        <f>Pricing!I21*M21*C21*AC$4</f>
        <v>329543463.73077196</v>
      </c>
      <c r="AD21" s="149">
        <f t="shared" si="12"/>
        <v>388069109.76436365</v>
      </c>
      <c r="AE21" s="149">
        <f t="shared" si="13"/>
        <v>1211222014.1937389</v>
      </c>
    </row>
    <row r="22" spans="1:35" x14ac:dyDescent="0.25">
      <c r="A22">
        <f t="shared" si="14"/>
        <v>17</v>
      </c>
      <c r="B22">
        <f t="shared" si="14"/>
        <v>2034</v>
      </c>
      <c r="C22" s="18">
        <f>C21*(1+City!$B$8)</f>
        <v>7626603.1414016411</v>
      </c>
      <c r="D22" s="148">
        <f t="shared" si="7"/>
        <v>305369189.78172171</v>
      </c>
      <c r="E22" s="148">
        <f t="shared" si="7"/>
        <v>263651670.59825474</v>
      </c>
      <c r="F22" s="148">
        <f t="shared" si="7"/>
        <v>36378896.984485827</v>
      </c>
      <c r="G22" s="148">
        <f t="shared" si="7"/>
        <v>84273964.712488145</v>
      </c>
      <c r="H22" s="148">
        <f t="shared" si="7"/>
        <v>16549728.816841561</v>
      </c>
      <c r="I22" s="148">
        <f t="shared" si="7"/>
        <v>141778552.39865652</v>
      </c>
      <c r="J22" s="148">
        <f t="shared" si="7"/>
        <v>46522279.16255001</v>
      </c>
      <c r="K22" s="148">
        <f t="shared" si="7"/>
        <v>90680311.35126552</v>
      </c>
      <c r="L22" s="149">
        <f t="shared" si="8"/>
        <v>985204593.80626416</v>
      </c>
      <c r="M22" s="58">
        <f>Miles!F20/C22</f>
        <v>14.474858645239356</v>
      </c>
      <c r="N22" s="14">
        <f>'Fleet Types'!F31</f>
        <v>0.12556877142857148</v>
      </c>
      <c r="O22" s="157">
        <f>Miles!G20/Miles!D20</f>
        <v>1.0350876581762174</v>
      </c>
      <c r="P22" s="157">
        <f>Fleet!T20/Fleet!C20</f>
        <v>0.97604782051986405</v>
      </c>
      <c r="Q22" s="157">
        <f>EV!C21</f>
        <v>1.05</v>
      </c>
      <c r="R22" s="149">
        <f t="shared" si="1"/>
        <v>260628540.49327418</v>
      </c>
      <c r="S22" s="149">
        <f t="shared" si="2"/>
        <v>225023192.92838386</v>
      </c>
      <c r="T22" s="149">
        <f t="shared" si="3"/>
        <v>32927011.590197518</v>
      </c>
      <c r="U22" s="149">
        <f t="shared" si="4"/>
        <v>76277458.715237454</v>
      </c>
      <c r="V22" s="149">
        <f t="shared" si="5"/>
        <v>14124973.348411713</v>
      </c>
      <c r="W22" s="149">
        <f t="shared" si="6"/>
        <v>77045445.635518238</v>
      </c>
      <c r="X22" s="149">
        <f t="shared" si="9"/>
        <v>45407969.182223625</v>
      </c>
      <c r="Y22" s="149">
        <f t="shared" si="10"/>
        <v>88508320.258465394</v>
      </c>
      <c r="Z22" s="149">
        <f t="shared" si="11"/>
        <v>819942912.15171194</v>
      </c>
      <c r="AA22" s="148">
        <f>VMT_fee!K21*O22*M22*C22*AA$4</f>
        <v>59990421.454201177</v>
      </c>
      <c r="AB22" s="148">
        <f>NOVMT!K21*N22*M22*C22*AB$4</f>
        <v>0</v>
      </c>
      <c r="AC22" s="148">
        <f>Pricing!I22*M22*C22*AC$4</f>
        <v>336134952.44302446</v>
      </c>
      <c r="AD22" s="149">
        <f t="shared" si="12"/>
        <v>396125373.89722562</v>
      </c>
      <c r="AE22" s="149">
        <f t="shared" si="13"/>
        <v>1216068286.0489376</v>
      </c>
    </row>
    <row r="23" spans="1:35" x14ac:dyDescent="0.25">
      <c r="A23">
        <f t="shared" si="14"/>
        <v>18</v>
      </c>
      <c r="B23">
        <f t="shared" si="14"/>
        <v>2035</v>
      </c>
      <c r="C23" s="18">
        <f>C22*(1+City!$B$8)</f>
        <v>7741002.1885226648</v>
      </c>
      <c r="D23" s="148">
        <f t="shared" si="7"/>
        <v>309949727.62844747</v>
      </c>
      <c r="E23" s="148">
        <f t="shared" si="7"/>
        <v>267606445.65722853</v>
      </c>
      <c r="F23" s="148">
        <f t="shared" si="7"/>
        <v>36924580.439253107</v>
      </c>
      <c r="G23" s="148">
        <f t="shared" si="7"/>
        <v>85538074.183175445</v>
      </c>
      <c r="H23" s="148">
        <f t="shared" si="7"/>
        <v>16797974.749094181</v>
      </c>
      <c r="I23" s="148">
        <f t="shared" si="7"/>
        <v>143905230.68463632</v>
      </c>
      <c r="J23" s="148">
        <f t="shared" si="7"/>
        <v>47220113.349988252</v>
      </c>
      <c r="K23" s="148">
        <f t="shared" si="7"/>
        <v>92040516.021534488</v>
      </c>
      <c r="L23" s="149">
        <f t="shared" si="8"/>
        <v>999982662.71335769</v>
      </c>
      <c r="M23" s="58">
        <f>Miles!F21/C23</f>
        <v>14.528902618150571</v>
      </c>
      <c r="N23" s="14">
        <f>'Fleet Types'!F32</f>
        <v>0.14862405464239117</v>
      </c>
      <c r="O23" s="157">
        <f>Miles!G21/Miles!D21</f>
        <v>1.0389585160476198</v>
      </c>
      <c r="P23" s="157">
        <f>Fleet!T21/Fleet!C21</f>
        <v>0.97274985043843687</v>
      </c>
      <c r="Q23" s="157">
        <f>EV!C22</f>
        <v>1.05</v>
      </c>
      <c r="R23" s="149">
        <f t="shared" si="1"/>
        <v>256692870.9264735</v>
      </c>
      <c r="S23" s="149">
        <f t="shared" si="2"/>
        <v>221625188.50969505</v>
      </c>
      <c r="T23" s="149">
        <f t="shared" si="3"/>
        <v>32661426.743411571</v>
      </c>
      <c r="U23" s="149">
        <f t="shared" si="4"/>
        <v>75662214.99259913</v>
      </c>
      <c r="V23" s="149">
        <f t="shared" si="5"/>
        <v>13911676.571189998</v>
      </c>
      <c r="W23" s="149">
        <f t="shared" si="6"/>
        <v>78493571.584890097</v>
      </c>
      <c r="X23" s="149">
        <f t="shared" si="9"/>
        <v>45933358.19888711</v>
      </c>
      <c r="Y23" s="149">
        <f t="shared" si="10"/>
        <v>89532398.194224223</v>
      </c>
      <c r="Z23" s="149">
        <f t="shared" si="11"/>
        <v>814512705.7213707</v>
      </c>
      <c r="AA23" s="148">
        <f>VMT_fee!K22*O23*M23*C23*AA$4</f>
        <v>61346178.467331834</v>
      </c>
      <c r="AB23" s="148">
        <f>NOVMT!K22*N23*M23*C23*AB$4</f>
        <v>64814311.911921456</v>
      </c>
      <c r="AC23" s="148">
        <f>Pricing!I23*M23*C23*AC$4</f>
        <v>342450810.19086027</v>
      </c>
      <c r="AD23" s="149">
        <f t="shared" si="12"/>
        <v>468611300.57011354</v>
      </c>
      <c r="AE23" s="149">
        <f t="shared" si="13"/>
        <v>1283124006.2914844</v>
      </c>
    </row>
    <row r="24" spans="1:35" x14ac:dyDescent="0.25">
      <c r="A24">
        <f t="shared" ref="A24:B39" si="15">A23+1</f>
        <v>19</v>
      </c>
      <c r="B24">
        <f t="shared" si="15"/>
        <v>2036</v>
      </c>
      <c r="C24" s="18">
        <f>C23*(1+City!$B$8)</f>
        <v>7857117.2213505041</v>
      </c>
      <c r="D24" s="148">
        <f t="shared" si="7"/>
        <v>314598973.54287416</v>
      </c>
      <c r="E24" s="148">
        <f t="shared" si="7"/>
        <v>271620542.34208691</v>
      </c>
      <c r="F24" s="148">
        <f t="shared" si="7"/>
        <v>37478449.145841904</v>
      </c>
      <c r="G24" s="148">
        <f t="shared" si="7"/>
        <v>86821145.295923069</v>
      </c>
      <c r="H24" s="148">
        <f t="shared" si="7"/>
        <v>17049944.370330594</v>
      </c>
      <c r="I24" s="148">
        <f t="shared" si="7"/>
        <v>146063809.14490587</v>
      </c>
      <c r="J24" s="148">
        <f t="shared" si="7"/>
        <v>47928415.050238073</v>
      </c>
      <c r="K24" s="148">
        <f t="shared" si="7"/>
        <v>93421123.761857495</v>
      </c>
      <c r="L24" s="149">
        <f t="shared" si="8"/>
        <v>1014982402.6540582</v>
      </c>
      <c r="M24" s="58">
        <f>Miles!F22/C24</f>
        <v>14.836970993990136</v>
      </c>
      <c r="N24" s="14">
        <f>'Fleet Types'!F33</f>
        <v>0.17406279970929789</v>
      </c>
      <c r="O24" s="157">
        <f>Miles!G22/Miles!D22</f>
        <v>1.0609827223946933</v>
      </c>
      <c r="P24" s="157">
        <f>Fleet!T22/Fleet!C22</f>
        <v>0.96846749233041451</v>
      </c>
      <c r="Q24" s="157">
        <f>EV!C23</f>
        <v>1.05</v>
      </c>
      <c r="R24" s="149">
        <f t="shared" si="1"/>
        <v>251645620.30631813</v>
      </c>
      <c r="S24" s="149">
        <f t="shared" si="2"/>
        <v>217267459.88984561</v>
      </c>
      <c r="T24" s="149">
        <f t="shared" si="3"/>
        <v>32842556.100037687</v>
      </c>
      <c r="U24" s="149">
        <f t="shared" si="4"/>
        <v>76081812.349143893</v>
      </c>
      <c r="V24" s="149">
        <f t="shared" si="5"/>
        <v>13638136.764852908</v>
      </c>
      <c r="W24" s="149">
        <f t="shared" si="6"/>
        <v>81359868.381698087</v>
      </c>
      <c r="X24" s="149">
        <f t="shared" si="9"/>
        <v>46417111.935075365</v>
      </c>
      <c r="Y24" s="149">
        <f t="shared" si="10"/>
        <v>90475321.460335433</v>
      </c>
      <c r="Z24" s="149">
        <f t="shared" si="11"/>
        <v>809727887.18730712</v>
      </c>
      <c r="AA24" s="148">
        <f>VMT_fee!K23*O24*M24*C24*AA$4</f>
        <v>64934588.878650323</v>
      </c>
      <c r="AB24" s="148">
        <f>NOVMT!K23*N24*M24*C24*AB$4</f>
        <v>78680344.222426161</v>
      </c>
      <c r="AC24" s="148">
        <f>Pricing!I24*M24*C24*AC$4</f>
        <v>354957760.00952625</v>
      </c>
      <c r="AD24" s="149">
        <f t="shared" si="12"/>
        <v>498572693.11060274</v>
      </c>
      <c r="AE24" s="149">
        <f t="shared" si="13"/>
        <v>1308300580.2979097</v>
      </c>
      <c r="AF24" s="138"/>
      <c r="AG24" s="138"/>
      <c r="AH24" s="138"/>
      <c r="AI24" s="138"/>
    </row>
    <row r="25" spans="1:35" x14ac:dyDescent="0.25">
      <c r="A25">
        <f t="shared" si="15"/>
        <v>20</v>
      </c>
      <c r="B25">
        <f t="shared" si="15"/>
        <v>2037</v>
      </c>
      <c r="C25" s="18">
        <f>C24*(1+City!$B$8)</f>
        <v>7974973.9796707612</v>
      </c>
      <c r="D25" s="148">
        <f t="shared" si="7"/>
        <v>319317958.14601725</v>
      </c>
      <c r="E25" s="148">
        <f t="shared" si="7"/>
        <v>275694850.47721821</v>
      </c>
      <c r="F25" s="148">
        <f t="shared" si="7"/>
        <v>38040625.883029528</v>
      </c>
      <c r="G25" s="148">
        <f t="shared" si="7"/>
        <v>88123462.475361913</v>
      </c>
      <c r="H25" s="148">
        <f t="shared" si="7"/>
        <v>17305693.53588555</v>
      </c>
      <c r="I25" s="148">
        <f t="shared" si="7"/>
        <v>148254766.28207946</v>
      </c>
      <c r="J25" s="148">
        <f t="shared" si="7"/>
        <v>48647341.275991641</v>
      </c>
      <c r="K25" s="148">
        <f t="shared" si="7"/>
        <v>94822440.618285358</v>
      </c>
      <c r="L25" s="149">
        <f t="shared" si="8"/>
        <v>1030207138.6938691</v>
      </c>
      <c r="M25" s="58">
        <f>Miles!F23/C25</f>
        <v>14.946196173000004</v>
      </c>
      <c r="N25" s="14">
        <f>'Fleet Types'!F34</f>
        <v>0.20202212653399576</v>
      </c>
      <c r="O25" s="157">
        <f>Miles!G23/Miles!D23</f>
        <v>1.0688486590228141</v>
      </c>
      <c r="P25" s="157">
        <f>Fleet!T23/Fleet!C23</f>
        <v>0.96469673279674761</v>
      </c>
      <c r="Q25" s="157">
        <f>EV!C24</f>
        <v>1.05</v>
      </c>
      <c r="R25" s="149">
        <f t="shared" si="1"/>
        <v>245813086.8075752</v>
      </c>
      <c r="S25" s="149">
        <f t="shared" si="2"/>
        <v>212231728.54490197</v>
      </c>
      <c r="T25" s="149">
        <f t="shared" si="3"/>
        <v>32445518.569230843</v>
      </c>
      <c r="U25" s="149">
        <f t="shared" si="4"/>
        <v>75162050.354297876</v>
      </c>
      <c r="V25" s="149">
        <f t="shared" si="5"/>
        <v>13322037.921389563</v>
      </c>
      <c r="W25" s="149">
        <f t="shared" si="6"/>
        <v>83192501.770529211</v>
      </c>
      <c r="X25" s="149">
        <f t="shared" si="9"/>
        <v>46929931.188197501</v>
      </c>
      <c r="Y25" s="149">
        <f t="shared" si="10"/>
        <v>91474898.660273492</v>
      </c>
      <c r="Z25" s="149">
        <f t="shared" si="11"/>
        <v>800571753.81639576</v>
      </c>
      <c r="AA25" s="148">
        <f>VMT_fee!K24*O25*M25*C25*AA$4</f>
        <v>66886038.277836442</v>
      </c>
      <c r="AB25" s="148">
        <f>NOVMT!K24*N25*M25*C25*AB$4</f>
        <v>93370717.839908555</v>
      </c>
      <c r="AC25" s="148">
        <f>Pricing!I25*M25*C25*AC$4</f>
        <v>362934411.68859112</v>
      </c>
      <c r="AD25" s="149">
        <f t="shared" si="12"/>
        <v>523191167.8063361</v>
      </c>
      <c r="AE25" s="149">
        <f t="shared" si="13"/>
        <v>1323762921.6227319</v>
      </c>
      <c r="AF25" s="18"/>
      <c r="AG25" s="18"/>
      <c r="AH25" s="18"/>
      <c r="AI25" s="148"/>
    </row>
    <row r="26" spans="1:35" x14ac:dyDescent="0.25">
      <c r="A26">
        <f t="shared" si="15"/>
        <v>21</v>
      </c>
      <c r="B26">
        <f t="shared" si="15"/>
        <v>2038</v>
      </c>
      <c r="C26" s="18">
        <f>C25*(1+City!$B$8)</f>
        <v>8094598.5893658213</v>
      </c>
      <c r="D26" s="148">
        <f t="shared" si="7"/>
        <v>324107727.51820749</v>
      </c>
      <c r="E26" s="148">
        <f t="shared" si="7"/>
        <v>279830273.23437643</v>
      </c>
      <c r="F26" s="148">
        <f t="shared" si="7"/>
        <v>38611235.271274962</v>
      </c>
      <c r="G26" s="148">
        <f t="shared" si="7"/>
        <v>89445314.412492335</v>
      </c>
      <c r="H26" s="148">
        <f t="shared" si="7"/>
        <v>17565278.938923832</v>
      </c>
      <c r="I26" s="148">
        <f t="shared" si="7"/>
        <v>150478587.77631062</v>
      </c>
      <c r="J26" s="148">
        <f t="shared" si="7"/>
        <v>49377051.395131506</v>
      </c>
      <c r="K26" s="148">
        <f t="shared" si="7"/>
        <v>96244777.227559626</v>
      </c>
      <c r="L26" s="149">
        <f t="shared" si="8"/>
        <v>1045660245.774277</v>
      </c>
      <c r="M26" s="58">
        <f>Miles!F24/C26</f>
        <v>15.600247152216118</v>
      </c>
      <c r="N26" s="14">
        <f>'Fleet Types'!F35</f>
        <v>0.2325526975253373</v>
      </c>
      <c r="O26" s="157">
        <f>Miles!G24/Miles!D24</f>
        <v>1.1157560980486829</v>
      </c>
      <c r="P26" s="157">
        <f>Fleet!T24/Fleet!C24</f>
        <v>0.95806091652317005</v>
      </c>
      <c r="Q26" s="157">
        <f>EV!C25</f>
        <v>1.05</v>
      </c>
      <c r="R26" s="149">
        <f t="shared" si="1"/>
        <v>238303858.052863</v>
      </c>
      <c r="S26" s="149">
        <f t="shared" si="2"/>
        <v>205748360.96122563</v>
      </c>
      <c r="T26" s="149">
        <f t="shared" si="3"/>
        <v>33062183.279065266</v>
      </c>
      <c r="U26" s="149">
        <f t="shared" si="4"/>
        <v>76590592.29217428</v>
      </c>
      <c r="V26" s="149">
        <f t="shared" si="5"/>
        <v>12915069.23013768</v>
      </c>
      <c r="W26" s="149">
        <f t="shared" si="6"/>
        <v>88146136.017015606</v>
      </c>
      <c r="X26" s="149">
        <f t="shared" si="9"/>
        <v>47306223.114831366</v>
      </c>
      <c r="Y26" s="149">
        <f t="shared" si="10"/>
        <v>92208359.481204107</v>
      </c>
      <c r="Z26" s="149">
        <f t="shared" si="11"/>
        <v>794280782.42851686</v>
      </c>
      <c r="AA26" s="148">
        <f>VMT_fee!K25*O26*M26*C26*AA$4</f>
        <v>73969957.363007098</v>
      </c>
      <c r="AB26" s="148">
        <f>NOVMT!K25*N26*M26*C26*AB$4</f>
        <v>113867551.96645048</v>
      </c>
      <c r="AC26" s="148">
        <f>Pricing!I26*M26*C26*AC$4</f>
        <v>384498801.81577128</v>
      </c>
      <c r="AD26" s="149">
        <f t="shared" si="12"/>
        <v>572336311.14522886</v>
      </c>
      <c r="AE26" s="149">
        <f t="shared" si="13"/>
        <v>1366617093.5737457</v>
      </c>
    </row>
    <row r="27" spans="1:35" x14ac:dyDescent="0.25">
      <c r="A27">
        <f t="shared" si="15"/>
        <v>22</v>
      </c>
      <c r="B27">
        <f t="shared" si="15"/>
        <v>2039</v>
      </c>
      <c r="C27" s="18">
        <f>C26*(1+City!$B$8)</f>
        <v>8216017.5682063075</v>
      </c>
      <c r="D27" s="148">
        <f t="shared" si="7"/>
        <v>328969343.43098056</v>
      </c>
      <c r="E27" s="148">
        <f t="shared" si="7"/>
        <v>284027727.33289206</v>
      </c>
      <c r="F27" s="148">
        <f t="shared" si="7"/>
        <v>39190403.80034408</v>
      </c>
      <c r="G27" s="148">
        <f t="shared" si="7"/>
        <v>90786994.128679708</v>
      </c>
      <c r="H27" s="148">
        <f t="shared" si="7"/>
        <v>17828758.123007685</v>
      </c>
      <c r="I27" s="148">
        <f t="shared" si="7"/>
        <v>152735766.59295526</v>
      </c>
      <c r="J27" s="148">
        <f t="shared" si="7"/>
        <v>50117707.166058473</v>
      </c>
      <c r="K27" s="148">
        <f t="shared" si="7"/>
        <v>97688448.885973006</v>
      </c>
      <c r="L27" s="149">
        <f t="shared" si="8"/>
        <v>1061345149.4608908</v>
      </c>
      <c r="M27" s="58">
        <f>Miles!F25/C27</f>
        <v>15.752940665528872</v>
      </c>
      <c r="N27" s="14">
        <f>'Fleet Types'!F36</f>
        <v>0.26524486024332805</v>
      </c>
      <c r="O27" s="157">
        <f>Miles!G25/Miles!D25</f>
        <v>1.1268517949408501</v>
      </c>
      <c r="P27" s="157">
        <f>Fleet!T25/Fleet!C25</f>
        <v>0.95481630731574851</v>
      </c>
      <c r="Q27" s="157">
        <f>EV!C26</f>
        <v>1.05</v>
      </c>
      <c r="R27" s="149">
        <f t="shared" si="1"/>
        <v>230790478.98176888</v>
      </c>
      <c r="S27" s="149">
        <f t="shared" si="2"/>
        <v>199261410.0499438</v>
      </c>
      <c r="T27" s="149">
        <f t="shared" si="3"/>
        <v>32448092.533723291</v>
      </c>
      <c r="U27" s="149">
        <f t="shared" si="4"/>
        <v>75168013.10223113</v>
      </c>
      <c r="V27" s="149">
        <f t="shared" si="5"/>
        <v>12507875.609151809</v>
      </c>
      <c r="W27" s="149">
        <f t="shared" si="6"/>
        <v>90358050.686892644</v>
      </c>
      <c r="X27" s="149">
        <f t="shared" si="9"/>
        <v>47853204.087427981</v>
      </c>
      <c r="Y27" s="149">
        <f t="shared" si="10"/>
        <v>93274524.032707989</v>
      </c>
      <c r="Z27" s="149">
        <f t="shared" si="11"/>
        <v>781661649.08384752</v>
      </c>
      <c r="AA27" s="148">
        <f>VMT_fee!K26*O27*M27*C27*AA$4</f>
        <v>76568316.89744325</v>
      </c>
      <c r="AB27" s="148">
        <f>NOVMT!K26*N27*M27*C27*AB$4</f>
        <v>133113401.13545211</v>
      </c>
      <c r="AC27" s="148">
        <f>Pricing!I27*M27*C27*AC$4</f>
        <v>394086167.55549347</v>
      </c>
      <c r="AD27" s="149">
        <f t="shared" si="12"/>
        <v>603767885.5883888</v>
      </c>
      <c r="AE27" s="149">
        <f t="shared" si="13"/>
        <v>1385429534.6722364</v>
      </c>
    </row>
    <row r="28" spans="1:35" x14ac:dyDescent="0.25">
      <c r="A28">
        <f t="shared" si="15"/>
        <v>23</v>
      </c>
      <c r="B28">
        <f t="shared" si="15"/>
        <v>2040</v>
      </c>
      <c r="C28" s="18">
        <f>C27*(1+City!$B$8)</f>
        <v>8339257.8317294009</v>
      </c>
      <c r="D28" s="148">
        <f t="shared" si="7"/>
        <v>333903883.5824452</v>
      </c>
      <c r="E28" s="148">
        <f t="shared" si="7"/>
        <v>288288143.24288541</v>
      </c>
      <c r="F28" s="148">
        <f t="shared" si="7"/>
        <v>39778259.857349239</v>
      </c>
      <c r="G28" s="148">
        <f t="shared" si="7"/>
        <v>92148799.040609881</v>
      </c>
      <c r="H28" s="148">
        <f t="shared" si="7"/>
        <v>18096189.4948528</v>
      </c>
      <c r="I28" s="148">
        <f t="shared" si="7"/>
        <v>155026803.09184957</v>
      </c>
      <c r="J28" s="148">
        <f t="shared" si="7"/>
        <v>50869472.773549341</v>
      </c>
      <c r="K28" s="148">
        <f t="shared" si="7"/>
        <v>99153775.619262576</v>
      </c>
      <c r="L28" s="149">
        <f t="shared" si="8"/>
        <v>1077265326.7028041</v>
      </c>
      <c r="M28" s="58">
        <f>Miles!F26/C28</f>
        <v>15.916431865506164</v>
      </c>
      <c r="N28" s="14">
        <f>'Fleet Types'!F37</f>
        <v>0.30042528096453353</v>
      </c>
      <c r="O28" s="157">
        <f>Miles!G26/Miles!D26</f>
        <v>1.1387332097472194</v>
      </c>
      <c r="P28" s="157">
        <f>Fleet!T26/Fleet!C26</f>
        <v>0.95137466814515903</v>
      </c>
      <c r="Q28" s="157">
        <f>EV!C27</f>
        <v>1.05</v>
      </c>
      <c r="R28" s="149">
        <f t="shared" si="1"/>
        <v>222232289.48059872</v>
      </c>
      <c r="S28" s="149">
        <f t="shared" si="2"/>
        <v>191872383.79980767</v>
      </c>
      <c r="T28" s="149">
        <f t="shared" si="3"/>
        <v>31688513.990212984</v>
      </c>
      <c r="U28" s="149">
        <f t="shared" si="4"/>
        <v>73408402.430157974</v>
      </c>
      <c r="V28" s="149">
        <f t="shared" si="5"/>
        <v>12044057.646675806</v>
      </c>
      <c r="W28" s="149">
        <f t="shared" si="6"/>
        <v>92680438.767856807</v>
      </c>
      <c r="X28" s="149">
        <f t="shared" si="9"/>
        <v>48395927.778654709</v>
      </c>
      <c r="Y28" s="149">
        <f t="shared" si="10"/>
        <v>94332390.375115499</v>
      </c>
      <c r="Z28" s="149">
        <f t="shared" si="11"/>
        <v>766654404.26908016</v>
      </c>
      <c r="AA28" s="148">
        <f>VMT_fee!K27*O28*M28*C28*AA$4</f>
        <v>79351365.729629308</v>
      </c>
      <c r="AB28" s="148">
        <f>NOVMT!K27*N28*M28*C28*AB$4</f>
        <v>154618479.60870391</v>
      </c>
      <c r="AC28" s="148">
        <f>Pricing!I28*M28*C28*AC$4</f>
        <v>404148816.06787574</v>
      </c>
      <c r="AD28" s="149">
        <f t="shared" si="12"/>
        <v>638118661.40620899</v>
      </c>
      <c r="AE28" s="149">
        <f t="shared" si="13"/>
        <v>1404773065.6752892</v>
      </c>
    </row>
    <row r="29" spans="1:35" x14ac:dyDescent="0.25">
      <c r="A29">
        <f t="shared" si="15"/>
        <v>24</v>
      </c>
      <c r="B29">
        <f t="shared" si="15"/>
        <v>2041</v>
      </c>
      <c r="C29" s="18">
        <f>C28*(1+City!$B$8)</f>
        <v>8464346.6992053408</v>
      </c>
      <c r="D29" s="148">
        <f t="shared" si="7"/>
        <v>338912441.83618182</v>
      </c>
      <c r="E29" s="148">
        <f t="shared" si="7"/>
        <v>292612465.39152861</v>
      </c>
      <c r="F29" s="148">
        <f t="shared" si="7"/>
        <v>40374933.755209476</v>
      </c>
      <c r="G29" s="148">
        <f t="shared" si="7"/>
        <v>93531031.026219025</v>
      </c>
      <c r="H29" s="148">
        <f t="shared" si="7"/>
        <v>18367632.337275591</v>
      </c>
      <c r="I29" s="148">
        <f t="shared" si="7"/>
        <v>157352205.13822728</v>
      </c>
      <c r="J29" s="148">
        <f t="shared" si="7"/>
        <v>51632514.865152575</v>
      </c>
      <c r="K29" s="148">
        <f t="shared" si="7"/>
        <v>100641082.25355151</v>
      </c>
      <c r="L29" s="149">
        <f t="shared" si="8"/>
        <v>1093424306.6033459</v>
      </c>
      <c r="M29" s="58">
        <f>Miles!F27/C29</f>
        <v>16.081843924762172</v>
      </c>
      <c r="N29" s="14">
        <f>'Fleet Types'!F38</f>
        <v>0.33795990011829652</v>
      </c>
      <c r="O29" s="157">
        <f>Miles!G27/Miles!D27</f>
        <v>1.150766894828815</v>
      </c>
      <c r="P29" s="157">
        <f>Fleet!T27/Fleet!C27</f>
        <v>0.94802169568807648</v>
      </c>
      <c r="Q29" s="157">
        <f>EV!C28</f>
        <v>1.05</v>
      </c>
      <c r="R29" s="149">
        <f t="shared" si="1"/>
        <v>212711066.18869081</v>
      </c>
      <c r="S29" s="149">
        <f t="shared" si="2"/>
        <v>183651887.06650952</v>
      </c>
      <c r="T29" s="149">
        <f t="shared" si="3"/>
        <v>30759797.917121068</v>
      </c>
      <c r="U29" s="149">
        <f t="shared" si="4"/>
        <v>71256974.210521564</v>
      </c>
      <c r="V29" s="149">
        <f t="shared" si="5"/>
        <v>11528047.293443033</v>
      </c>
      <c r="W29" s="149">
        <f t="shared" si="6"/>
        <v>95064746.963226885</v>
      </c>
      <c r="X29" s="149">
        <f t="shared" si="9"/>
        <v>48948744.295101762</v>
      </c>
      <c r="Y29" s="149">
        <f t="shared" si="10"/>
        <v>95409929.453895092</v>
      </c>
      <c r="Z29" s="149">
        <f t="shared" si="11"/>
        <v>749331193.38850975</v>
      </c>
      <c r="AA29" s="148">
        <f>VMT_fee!K28*O29*M29*C29*AA$4</f>
        <v>82238645.691749498</v>
      </c>
      <c r="AB29" s="148">
        <f>NOVMT!K28*N29*M29*C29*AB$4</f>
        <v>178380043.81152585</v>
      </c>
      <c r="AC29" s="148">
        <f>Pricing!I29*M29*C29*AC$4</f>
        <v>414474180.57394576</v>
      </c>
      <c r="AD29" s="149">
        <f t="shared" si="12"/>
        <v>675092870.07722116</v>
      </c>
      <c r="AE29" s="149">
        <f t="shared" si="13"/>
        <v>1424424063.4657309</v>
      </c>
    </row>
    <row r="30" spans="1:35" x14ac:dyDescent="0.25">
      <c r="A30">
        <f t="shared" si="15"/>
        <v>25</v>
      </c>
      <c r="B30">
        <f t="shared" si="15"/>
        <v>2042</v>
      </c>
      <c r="C30" s="18">
        <f>C29*(1+City!$B$8)</f>
        <v>8591311.8996934202</v>
      </c>
      <c r="D30" s="148">
        <f t="shared" si="7"/>
        <v>343996128.46372455</v>
      </c>
      <c r="E30" s="148">
        <f t="shared" si="7"/>
        <v>297001652.37240154</v>
      </c>
      <c r="F30" s="148">
        <f t="shared" si="7"/>
        <v>40980557.761537611</v>
      </c>
      <c r="G30" s="148">
        <f t="shared" si="7"/>
        <v>94933996.4916123</v>
      </c>
      <c r="H30" s="148">
        <f t="shared" si="7"/>
        <v>18643146.822334722</v>
      </c>
      <c r="I30" s="148">
        <f t="shared" si="7"/>
        <v>159712488.21530068</v>
      </c>
      <c r="J30" s="148">
        <f t="shared" si="7"/>
        <v>52407002.588129863</v>
      </c>
      <c r="K30" s="148">
        <f t="shared" si="7"/>
        <v>102150698.48735477</v>
      </c>
      <c r="L30" s="149">
        <f t="shared" si="8"/>
        <v>1109825671.2023962</v>
      </c>
      <c r="M30" s="58">
        <f>Miles!F28/C30</f>
        <v>16.257003494041292</v>
      </c>
      <c r="N30" s="14">
        <f>'Fleet Types'!F39</f>
        <v>0.37761558546771445</v>
      </c>
      <c r="O30" s="157">
        <f>Miles!G28/Miles!D28</f>
        <v>1.1635068748855686</v>
      </c>
      <c r="P30" s="157">
        <f>Fleet!T28/Fleet!C28</f>
        <v>0.94452899452706396</v>
      </c>
      <c r="Q30" s="157">
        <f>EV!C29</f>
        <v>1.05</v>
      </c>
      <c r="R30" s="149">
        <f t="shared" si="1"/>
        <v>202221607.17021841</v>
      </c>
      <c r="S30" s="149">
        <f t="shared" si="2"/>
        <v>174595428.56829301</v>
      </c>
      <c r="T30" s="149">
        <f t="shared" si="3"/>
        <v>29676011.281631086</v>
      </c>
      <c r="U30" s="149">
        <f t="shared" si="4"/>
        <v>68746315.442772239</v>
      </c>
      <c r="V30" s="149">
        <f t="shared" si="5"/>
        <v>10959562.626357991</v>
      </c>
      <c r="W30" s="149">
        <f t="shared" si="6"/>
        <v>97558953.47288093</v>
      </c>
      <c r="X30" s="149">
        <f t="shared" si="9"/>
        <v>49499933.460743539</v>
      </c>
      <c r="Y30" s="149">
        <f t="shared" si="10"/>
        <v>96484296.532498479</v>
      </c>
      <c r="Z30" s="149">
        <f t="shared" si="11"/>
        <v>729742108.55539572</v>
      </c>
      <c r="AA30" s="148">
        <f>VMT_fee!K29*O30*M30*C30*AA$4</f>
        <v>85315559.305198312</v>
      </c>
      <c r="AB30" s="148">
        <f>NOVMT!K29*N30*M30*C30*AB$4</f>
        <v>204503950.7063905</v>
      </c>
      <c r="AC30" s="148">
        <f>Pricing!I30*M30*C30*AC$4</f>
        <v>425273361.48789215</v>
      </c>
      <c r="AD30" s="149">
        <f t="shared" si="12"/>
        <v>715092871.49948096</v>
      </c>
      <c r="AE30" s="149">
        <f t="shared" si="13"/>
        <v>1444834980.0548768</v>
      </c>
    </row>
    <row r="31" spans="1:35" x14ac:dyDescent="0.25">
      <c r="A31">
        <f t="shared" si="15"/>
        <v>26</v>
      </c>
      <c r="B31">
        <f t="shared" si="15"/>
        <v>2043</v>
      </c>
      <c r="C31" s="18">
        <f>C30*(1+City!$B$8)</f>
        <v>8720181.5781888198</v>
      </c>
      <c r="D31" s="148">
        <f t="shared" si="7"/>
        <v>349156070.39068031</v>
      </c>
      <c r="E31" s="148">
        <f t="shared" si="7"/>
        <v>301456677.15798748</v>
      </c>
      <c r="F31" s="148">
        <f t="shared" si="7"/>
        <v>41595266.127960667</v>
      </c>
      <c r="G31" s="148">
        <f t="shared" si="7"/>
        <v>96358006.438986465</v>
      </c>
      <c r="H31" s="148">
        <f t="shared" si="7"/>
        <v>18922794.024669737</v>
      </c>
      <c r="I31" s="148">
        <f t="shared" si="7"/>
        <v>162108175.53853017</v>
      </c>
      <c r="J31" s="148">
        <f t="shared" si="7"/>
        <v>53193107.626951799</v>
      </c>
      <c r="K31" s="148">
        <f t="shared" si="7"/>
        <v>103682958.96466507</v>
      </c>
      <c r="L31" s="149">
        <f t="shared" si="8"/>
        <v>1126473056.2704318</v>
      </c>
      <c r="M31" s="58">
        <f>Miles!F29/C31</f>
        <v>16.441476013395157</v>
      </c>
      <c r="N31" s="14">
        <f>'Fleet Types'!F40</f>
        <v>0.4190570477978246</v>
      </c>
      <c r="O31" s="157">
        <f>Miles!G29/Miles!D29</f>
        <v>1.1769198988819258</v>
      </c>
      <c r="P31" s="157">
        <f>Fleet!T29/Fleet!C29</f>
        <v>0.94090920904596664</v>
      </c>
      <c r="Q31" s="157">
        <f>EV!C30</f>
        <v>1.05</v>
      </c>
      <c r="R31" s="149">
        <f t="shared" si="1"/>
        <v>190853796.55648705</v>
      </c>
      <c r="S31" s="149">
        <f t="shared" si="2"/>
        <v>164780613.06088307</v>
      </c>
      <c r="T31" s="149">
        <f t="shared" si="3"/>
        <v>28439653.476667345</v>
      </c>
      <c r="U31" s="149">
        <f t="shared" si="4"/>
        <v>65882216.125193752</v>
      </c>
      <c r="V31" s="149">
        <f t="shared" si="5"/>
        <v>10343474.988201221</v>
      </c>
      <c r="W31" s="149">
        <f t="shared" si="6"/>
        <v>100163877.22043872</v>
      </c>
      <c r="X31" s="149">
        <f t="shared" si="9"/>
        <v>50049884.823972195</v>
      </c>
      <c r="Y31" s="149">
        <f t="shared" si="10"/>
        <v>97556250.910988435</v>
      </c>
      <c r="Z31" s="149">
        <f t="shared" si="11"/>
        <v>708069767.1628319</v>
      </c>
      <c r="AA31" s="148">
        <f>VMT_fee!K30*O31*M31*C31*AA$4</f>
        <v>88587519.350645527</v>
      </c>
      <c r="AB31" s="148">
        <f>NOVMT!K30*N31*M31*C31*AB$4</f>
        <v>232965326.2998977</v>
      </c>
      <c r="AC31" s="148">
        <f>Pricing!I31*M31*C31*AC$4</f>
        <v>436550536.58695269</v>
      </c>
      <c r="AD31" s="149">
        <f t="shared" si="12"/>
        <v>758103382.2374959</v>
      </c>
      <c r="AE31" s="149">
        <f t="shared" si="13"/>
        <v>1466173149.4003277</v>
      </c>
    </row>
    <row r="32" spans="1:35" x14ac:dyDescent="0.25">
      <c r="A32">
        <f t="shared" si="15"/>
        <v>27</v>
      </c>
      <c r="B32">
        <f t="shared" si="15"/>
        <v>2044</v>
      </c>
      <c r="C32" s="18">
        <f>C31*(1+City!$B$8)</f>
        <v>8850984.3018616512</v>
      </c>
      <c r="D32" s="148">
        <f t="shared" si="7"/>
        <v>354393411.44654053</v>
      </c>
      <c r="E32" s="148">
        <f t="shared" si="7"/>
        <v>305978527.31535727</v>
      </c>
      <c r="F32" s="148">
        <f t="shared" si="7"/>
        <v>42219195.119880073</v>
      </c>
      <c r="G32" s="148">
        <f t="shared" si="7"/>
        <v>97803376.535571247</v>
      </c>
      <c r="H32" s="148">
        <f t="shared" si="7"/>
        <v>19206635.935039781</v>
      </c>
      <c r="I32" s="148">
        <f t="shared" si="7"/>
        <v>164539798.17160809</v>
      </c>
      <c r="J32" s="148">
        <f t="shared" si="7"/>
        <v>53991004.241356067</v>
      </c>
      <c r="K32" s="148">
        <f t="shared" si="7"/>
        <v>105238203.34913504</v>
      </c>
      <c r="L32" s="149">
        <f t="shared" si="8"/>
        <v>1143370152.1144881</v>
      </c>
      <c r="M32" s="58">
        <f>Miles!F30/C32</f>
        <v>16.63428442764954</v>
      </c>
      <c r="N32" s="14">
        <f>'Fleet Types'!F41</f>
        <v>0.46185388433572333</v>
      </c>
      <c r="O32" s="157">
        <f>Miles!G30/Miles!D30</f>
        <v>1.1909336424354431</v>
      </c>
      <c r="P32" s="157">
        <f>Fleet!T30/Fleet!C30</f>
        <v>0.93718512823966416</v>
      </c>
      <c r="Q32" s="157">
        <f>EV!C31</f>
        <v>1.05</v>
      </c>
      <c r="R32" s="149">
        <f t="shared" si="1"/>
        <v>178735672.01966289</v>
      </c>
      <c r="S32" s="149">
        <f t="shared" si="2"/>
        <v>154317986.55643722</v>
      </c>
      <c r="T32" s="149">
        <f t="shared" si="3"/>
        <v>27058126.519312866</v>
      </c>
      <c r="U32" s="149">
        <f t="shared" si="4"/>
        <v>62681823.488135681</v>
      </c>
      <c r="V32" s="149">
        <f t="shared" si="5"/>
        <v>9686723.4835831281</v>
      </c>
      <c r="W32" s="149">
        <f t="shared" si="6"/>
        <v>102876890.11010559</v>
      </c>
      <c r="X32" s="149">
        <f t="shared" si="9"/>
        <v>50599566.233723536</v>
      </c>
      <c r="Y32" s="149">
        <f t="shared" si="10"/>
        <v>98627679.101470977</v>
      </c>
      <c r="Z32" s="149">
        <f t="shared" si="11"/>
        <v>684584467.51243186</v>
      </c>
      <c r="AA32" s="148">
        <f>VMT_fee!K31*O32*M32*C32*AA$4</f>
        <v>92053978.005569786</v>
      </c>
      <c r="AB32" s="148">
        <f>NOVMT!K31*N32*M32*C32*AB$4</f>
        <v>263664767.54371417</v>
      </c>
      <c r="AC32" s="148">
        <f>Pricing!I32*M32*C32*AC$4</f>
        <v>448294993.31537336</v>
      </c>
      <c r="AD32" s="149">
        <f t="shared" si="12"/>
        <v>804013738.8646574</v>
      </c>
      <c r="AE32" s="149">
        <f t="shared" si="13"/>
        <v>1488598206.3770893</v>
      </c>
    </row>
    <row r="33" spans="1:31" x14ac:dyDescent="0.25">
      <c r="A33">
        <f t="shared" si="15"/>
        <v>28</v>
      </c>
      <c r="B33">
        <f t="shared" si="15"/>
        <v>2045</v>
      </c>
      <c r="C33" s="18">
        <f>C32*(1+City!$B$8)</f>
        <v>8983749.0663895756</v>
      </c>
      <c r="D33" s="148">
        <f t="shared" si="7"/>
        <v>359709312.61823863</v>
      </c>
      <c r="E33" s="148">
        <f t="shared" si="7"/>
        <v>310568205.22508764</v>
      </c>
      <c r="F33" s="148">
        <f t="shared" si="7"/>
        <v>42852483.046678275</v>
      </c>
      <c r="G33" s="148">
        <f t="shared" si="7"/>
        <v>99270427.183604822</v>
      </c>
      <c r="H33" s="148">
        <f t="shared" si="7"/>
        <v>19494735.474065378</v>
      </c>
      <c r="I33" s="148">
        <f t="shared" si="7"/>
        <v>167007895.14418221</v>
      </c>
      <c r="J33" s="148">
        <f t="shared" si="7"/>
        <v>54800869.304976411</v>
      </c>
      <c r="K33" s="148">
        <f t="shared" si="7"/>
        <v>106816776.39937206</v>
      </c>
      <c r="L33" s="149">
        <f t="shared" si="8"/>
        <v>1160520704.3962057</v>
      </c>
      <c r="M33" s="58">
        <f>Miles!F31/C33</f>
        <v>16.833930478783369</v>
      </c>
      <c r="N33" s="14">
        <f>'Fleet Types'!F42</f>
        <v>0.50549883697024067</v>
      </c>
      <c r="O33" s="157">
        <f>Miles!G31/Miles!D31</f>
        <v>1.2054380329409782</v>
      </c>
      <c r="P33" s="157">
        <f>Fleet!T31/Fleet!C31</f>
        <v>0.93338841781342352</v>
      </c>
      <c r="Q33" s="157">
        <f>EV!C32</f>
        <v>1.05</v>
      </c>
      <c r="R33" s="149">
        <f t="shared" si="1"/>
        <v>166028026.79027408</v>
      </c>
      <c r="S33" s="149">
        <f t="shared" si="2"/>
        <v>143346375.77771664</v>
      </c>
      <c r="T33" s="149">
        <f t="shared" si="3"/>
        <v>25543958.441905119</v>
      </c>
      <c r="U33" s="149">
        <f t="shared" si="4"/>
        <v>59174159.493302226</v>
      </c>
      <c r="V33" s="149">
        <f t="shared" si="5"/>
        <v>8998022.4309414253</v>
      </c>
      <c r="W33" s="149">
        <f t="shared" si="6"/>
        <v>105691776.01931347</v>
      </c>
      <c r="X33" s="149">
        <f t="shared" si="9"/>
        <v>51150496.695372142</v>
      </c>
      <c r="Y33" s="149">
        <f t="shared" si="10"/>
        <v>99701541.919340119</v>
      </c>
      <c r="Z33" s="149">
        <f t="shared" si="11"/>
        <v>659634357.56816518</v>
      </c>
      <c r="AA33" s="148">
        <f>VMT_fee!K32*O33*M33*C33*AA$4</f>
        <v>95707800.413569987</v>
      </c>
      <c r="AB33" s="148">
        <f>NOVMT!K32*N33*M33*C33*AB$4</f>
        <v>296425191.57907689</v>
      </c>
      <c r="AC33" s="148">
        <f>Pricing!I33*M33*C33*AC$4</f>
        <v>460480598.73242503</v>
      </c>
      <c r="AD33" s="149">
        <f t="shared" si="12"/>
        <v>852613590.72507191</v>
      </c>
      <c r="AE33" s="149">
        <f t="shared" si="13"/>
        <v>1512247948.2932372</v>
      </c>
    </row>
    <row r="34" spans="1:31" x14ac:dyDescent="0.25">
      <c r="A34">
        <f t="shared" si="15"/>
        <v>29</v>
      </c>
      <c r="B34">
        <f t="shared" si="15"/>
        <v>2046</v>
      </c>
      <c r="C34" s="18">
        <f>C33*(1+City!$B$8)</f>
        <v>9118505.3023854177</v>
      </c>
      <c r="D34" s="148">
        <f t="shared" si="7"/>
        <v>365104952.3075121</v>
      </c>
      <c r="E34" s="148">
        <f t="shared" si="7"/>
        <v>315226728.30346388</v>
      </c>
      <c r="F34" s="148">
        <f t="shared" si="7"/>
        <v>43495270.29237844</v>
      </c>
      <c r="G34" s="148">
        <f t="shared" si="7"/>
        <v>100759483.59135887</v>
      </c>
      <c r="H34" s="148">
        <f t="shared" si="7"/>
        <v>19787156.506176356</v>
      </c>
      <c r="I34" s="148">
        <f t="shared" si="7"/>
        <v>169513013.57134491</v>
      </c>
      <c r="J34" s="148">
        <f t="shared" si="7"/>
        <v>55622882.344551042</v>
      </c>
      <c r="K34" s="148">
        <f t="shared" si="7"/>
        <v>108419028.04536262</v>
      </c>
      <c r="L34" s="149">
        <f t="shared" si="8"/>
        <v>1177928514.9621484</v>
      </c>
      <c r="M34" s="58">
        <f>Miles!F32/C34</f>
        <v>17.038446883774778</v>
      </c>
      <c r="N34" s="14">
        <f>'Fleet Types'!F43</f>
        <v>0.54943620339618682</v>
      </c>
      <c r="O34" s="157">
        <f>Miles!G32/Miles!D32</f>
        <v>1.2202887594175176</v>
      </c>
      <c r="P34" s="157">
        <f>Fleet!T32/Fleet!C32</f>
        <v>0.92955793871915526</v>
      </c>
      <c r="Q34" s="157">
        <f>EV!C33</f>
        <v>1.05</v>
      </c>
      <c r="R34" s="149">
        <f t="shared" si="1"/>
        <v>152915137.88822865</v>
      </c>
      <c r="S34" s="149">
        <f t="shared" si="2"/>
        <v>132024883.03686474</v>
      </c>
      <c r="T34" s="149">
        <f t="shared" si="3"/>
        <v>23914479.755146712</v>
      </c>
      <c r="U34" s="149">
        <f t="shared" si="4"/>
        <v>55399371.340539031</v>
      </c>
      <c r="V34" s="149">
        <f t="shared" si="5"/>
        <v>8287358.87156484</v>
      </c>
      <c r="W34" s="149">
        <f t="shared" si="6"/>
        <v>108598783.14395319</v>
      </c>
      <c r="X34" s="149">
        <f t="shared" si="9"/>
        <v>51704691.857818961</v>
      </c>
      <c r="Y34" s="149">
        <f t="shared" si="10"/>
        <v>100781768.22778156</v>
      </c>
      <c r="Z34" s="149">
        <f t="shared" si="11"/>
        <v>633626474.12189782</v>
      </c>
      <c r="AA34" s="148">
        <f>VMT_fee!K33*O34*M34*C34*AA$4</f>
        <v>99534943.42339009</v>
      </c>
      <c r="AB34" s="148">
        <f>NOVMT!K33*N34*M34*C34*AB$4</f>
        <v>330995994.83946782</v>
      </c>
      <c r="AC34" s="148">
        <f>Pricing!I34*M34*C34*AC$4</f>
        <v>473066129.49873883</v>
      </c>
      <c r="AD34" s="149">
        <f t="shared" si="12"/>
        <v>903597067.76159668</v>
      </c>
      <c r="AE34" s="149">
        <f t="shared" si="13"/>
        <v>1537223541.8834944</v>
      </c>
    </row>
    <row r="35" spans="1:31" x14ac:dyDescent="0.25">
      <c r="A35">
        <f t="shared" si="15"/>
        <v>30</v>
      </c>
      <c r="B35">
        <f t="shared" si="15"/>
        <v>2047</v>
      </c>
      <c r="C35" s="18">
        <f>C34*(1+City!$B$8)</f>
        <v>9255282.8819211982</v>
      </c>
      <c r="D35" s="148">
        <f t="shared" si="7"/>
        <v>370581526.59212476</v>
      </c>
      <c r="E35" s="148">
        <f t="shared" si="7"/>
        <v>319955129.22801584</v>
      </c>
      <c r="F35" s="148">
        <f t="shared" si="7"/>
        <v>44147699.34676411</v>
      </c>
      <c r="G35" s="148">
        <f t="shared" si="7"/>
        <v>102270875.84522925</v>
      </c>
      <c r="H35" s="148">
        <f t="shared" si="7"/>
        <v>20083963.853769001</v>
      </c>
      <c r="I35" s="148">
        <f t="shared" si="7"/>
        <v>172055708.77491507</v>
      </c>
      <c r="J35" s="148">
        <f t="shared" si="7"/>
        <v>56457225.579719305</v>
      </c>
      <c r="K35" s="148">
        <f t="shared" si="7"/>
        <v>110045313.46604306</v>
      </c>
      <c r="L35" s="149">
        <f t="shared" si="8"/>
        <v>1195597442.6865802</v>
      </c>
      <c r="M35" s="58">
        <f>Miles!F33/C35</f>
        <v>17.245490877964485</v>
      </c>
      <c r="N35" s="14">
        <f>'Fleet Types'!F44</f>
        <v>0.59309704451932221</v>
      </c>
      <c r="O35" s="157">
        <f>Miles!G33/Miles!D33</f>
        <v>1.2353138560240355</v>
      </c>
      <c r="P35" s="157">
        <f>Fleet!T33/Fleet!C33</f>
        <v>0.92573748386046995</v>
      </c>
      <c r="Q35" s="157">
        <f>EV!C34</f>
        <v>1.05</v>
      </c>
      <c r="R35" s="149">
        <f t="shared" si="1"/>
        <v>139592620.25675228</v>
      </c>
      <c r="S35" s="149">
        <f t="shared" si="2"/>
        <v>120522399.65724094</v>
      </c>
      <c r="T35" s="149">
        <f t="shared" si="3"/>
        <v>22190967.293264013</v>
      </c>
      <c r="U35" s="149">
        <f t="shared" si="4"/>
        <v>51406748.132194422</v>
      </c>
      <c r="V35" s="149">
        <f t="shared" si="5"/>
        <v>7565334.3146141982</v>
      </c>
      <c r="W35" s="149">
        <f t="shared" si="6"/>
        <v>111584970.55528665</v>
      </c>
      <c r="X35" s="149">
        <f t="shared" si="9"/>
        <v>52264569.95391231</v>
      </c>
      <c r="Y35" s="149">
        <f t="shared" si="10"/>
        <v>101873071.59869139</v>
      </c>
      <c r="Z35" s="149">
        <f t="shared" si="11"/>
        <v>607000681.76195621</v>
      </c>
      <c r="AA35" s="148">
        <f>VMT_fee!K34*O35*M35*C35*AA$4</f>
        <v>103514663.35821038</v>
      </c>
      <c r="AB35" s="148">
        <f>NOVMT!K34*N35*M35*C35*AB$4</f>
        <v>367064871.71702039</v>
      </c>
      <c r="AC35" s="148">
        <f>Pricing!I35*M35*C35*AC$4</f>
        <v>485996848.28926742</v>
      </c>
      <c r="AD35" s="149">
        <f t="shared" si="12"/>
        <v>956576383.36449814</v>
      </c>
      <c r="AE35" s="149">
        <f t="shared" si="13"/>
        <v>1563577065.1264544</v>
      </c>
    </row>
    <row r="36" spans="1:31" x14ac:dyDescent="0.25">
      <c r="A36">
        <f t="shared" si="15"/>
        <v>31</v>
      </c>
      <c r="B36">
        <f t="shared" si="15"/>
        <v>2048</v>
      </c>
      <c r="C36" s="18">
        <f>C35*(1+City!$B$8)</f>
        <v>9394112.1251500156</v>
      </c>
      <c r="D36" s="148">
        <f t="shared" si="7"/>
        <v>376140249.49100661</v>
      </c>
      <c r="E36" s="148">
        <f t="shared" si="7"/>
        <v>324754456.16643602</v>
      </c>
      <c r="F36" s="148">
        <f t="shared" si="7"/>
        <v>44809914.836965568</v>
      </c>
      <c r="G36" s="148">
        <f t="shared" si="7"/>
        <v>103804938.98290768</v>
      </c>
      <c r="H36" s="148">
        <f t="shared" si="7"/>
        <v>20385223.311575532</v>
      </c>
      <c r="I36" s="148">
        <f t="shared" si="7"/>
        <v>174636544.40653878</v>
      </c>
      <c r="J36" s="148">
        <f t="shared" si="7"/>
        <v>57304083.963415094</v>
      </c>
      <c r="K36" s="148">
        <f t="shared" si="7"/>
        <v>111695993.16803369</v>
      </c>
      <c r="L36" s="149">
        <f t="shared" si="8"/>
        <v>1213531404.3268788</v>
      </c>
      <c r="M36" s="58">
        <f>Miles!F34/C36</f>
        <v>17.452486113629085</v>
      </c>
      <c r="N36" s="14">
        <f>'Fleet Types'!F45</f>
        <v>0.63593615517731694</v>
      </c>
      <c r="O36" s="157">
        <f>Miles!G34/Miles!D34</f>
        <v>1.2503239998030031</v>
      </c>
      <c r="P36" s="157">
        <f>Fleet!T34/Fleet!C34</f>
        <v>0.92197280987713781</v>
      </c>
      <c r="Q36" s="157">
        <f>EV!C35</f>
        <v>1.05</v>
      </c>
      <c r="R36" s="149">
        <f t="shared" si="1"/>
        <v>126254094.92930946</v>
      </c>
      <c r="S36" s="149">
        <f t="shared" si="2"/>
        <v>109006095.44720848</v>
      </c>
      <c r="T36" s="149">
        <f t="shared" si="3"/>
        <v>20397372.977981281</v>
      </c>
      <c r="U36" s="149">
        <f t="shared" si="4"/>
        <v>47251775.976245955</v>
      </c>
      <c r="V36" s="149">
        <f t="shared" si="5"/>
        <v>6842442.2077073297</v>
      </c>
      <c r="W36" s="149">
        <f t="shared" si="6"/>
        <v>114634937.92493314</v>
      </c>
      <c r="X36" s="149">
        <f t="shared" si="9"/>
        <v>52832807.309185244</v>
      </c>
      <c r="Y36" s="149">
        <f t="shared" si="10"/>
        <v>102980668.67314962</v>
      </c>
      <c r="Z36" s="149">
        <f t="shared" si="11"/>
        <v>580200195.44572055</v>
      </c>
      <c r="AA36" s="148">
        <f>VMT_fee!K35*O36*M36*C36*AA$4</f>
        <v>107620476.72251897</v>
      </c>
      <c r="AB36" s="148">
        <f>NOVMT!K35*N36*M36*C36*AB$4</f>
        <v>404276375.96744961</v>
      </c>
      <c r="AC36" s="148">
        <f>Pricing!I36*M36*C36*AC$4</f>
        <v>499207654.08462667</v>
      </c>
      <c r="AD36" s="149">
        <f t="shared" si="12"/>
        <v>1011104506.7745953</v>
      </c>
      <c r="AE36" s="149">
        <f t="shared" si="13"/>
        <v>1591304702.2203159</v>
      </c>
    </row>
    <row r="37" spans="1:31" x14ac:dyDescent="0.25">
      <c r="A37">
        <f t="shared" si="15"/>
        <v>32</v>
      </c>
      <c r="B37">
        <f t="shared" si="15"/>
        <v>2049</v>
      </c>
      <c r="C37" s="18">
        <f>C36*(1+City!$B$8)</f>
        <v>9535023.8070272654</v>
      </c>
      <c r="D37" s="148">
        <f t="shared" si="7"/>
        <v>381782353.23337168</v>
      </c>
      <c r="E37" s="148">
        <f t="shared" si="7"/>
        <v>329625773.00893259</v>
      </c>
      <c r="F37" s="148">
        <f t="shared" si="7"/>
        <v>45482063.559520051</v>
      </c>
      <c r="G37" s="148">
        <f t="shared" si="7"/>
        <v>105362013.06765129</v>
      </c>
      <c r="H37" s="148">
        <f t="shared" si="7"/>
        <v>20691001.661249164</v>
      </c>
      <c r="I37" s="148">
        <f t="shared" si="7"/>
        <v>177256092.57263687</v>
      </c>
      <c r="J37" s="148">
        <f t="shared" si="7"/>
        <v>58163645.222866319</v>
      </c>
      <c r="K37" s="148">
        <f t="shared" si="7"/>
        <v>113371433.06555419</v>
      </c>
      <c r="L37" s="149">
        <f t="shared" si="8"/>
        <v>1231734375.391782</v>
      </c>
      <c r="M37" s="58">
        <f>Miles!F35/C37</f>
        <v>17.656805582697281</v>
      </c>
      <c r="N37" s="14">
        <f>'Fleet Types'!F46</f>
        <v>0.6774653322264943</v>
      </c>
      <c r="O37" s="157">
        <f>Miles!G35/Miles!D35</f>
        <v>1.265126043277498</v>
      </c>
      <c r="P37" s="157">
        <f>Fleet!T35/Fleet!C35</f>
        <v>0.91830814443396613</v>
      </c>
      <c r="Q37" s="157">
        <f>EV!C36</f>
        <v>1.05</v>
      </c>
      <c r="R37" s="149">
        <f t="shared" si="1"/>
        <v>113078669.1190463</v>
      </c>
      <c r="S37" s="149">
        <f t="shared" si="2"/>
        <v>97630609.176958829</v>
      </c>
      <c r="T37" s="149">
        <f t="shared" si="3"/>
        <v>18558819.955862261</v>
      </c>
      <c r="U37" s="149">
        <f t="shared" si="4"/>
        <v>42992654.195446119</v>
      </c>
      <c r="V37" s="149">
        <f t="shared" si="5"/>
        <v>6128389.4102979638</v>
      </c>
      <c r="W37" s="149">
        <f t="shared" si="6"/>
        <v>117731931.99770625</v>
      </c>
      <c r="X37" s="149">
        <f t="shared" si="9"/>
        <v>53412149.118125886</v>
      </c>
      <c r="Y37" s="149">
        <f t="shared" si="10"/>
        <v>104109910.33024865</v>
      </c>
      <c r="Z37" s="149">
        <f t="shared" si="11"/>
        <v>553643133.30369234</v>
      </c>
      <c r="AA37" s="148">
        <f>VMT_fee!K36*O37*M37*C37*AA$4</f>
        <v>111821938.3624979</v>
      </c>
      <c r="AB37" s="148">
        <f>NOVMT!K36*N37*M37*C37*AB$4</f>
        <v>442255048.61392683</v>
      </c>
      <c r="AC37" s="148">
        <f>Pricing!I37*M37*C37*AC$4</f>
        <v>512627749.57795274</v>
      </c>
      <c r="AD37" s="149">
        <f t="shared" si="12"/>
        <v>1066704736.5543774</v>
      </c>
      <c r="AE37" s="149">
        <f t="shared" si="13"/>
        <v>1620347869.8580699</v>
      </c>
    </row>
    <row r="38" spans="1:31" x14ac:dyDescent="0.25">
      <c r="A38">
        <f t="shared" si="15"/>
        <v>33</v>
      </c>
      <c r="B38">
        <f t="shared" si="15"/>
        <v>2050</v>
      </c>
      <c r="C38" s="18">
        <f>C37*(1+City!$B$8)</f>
        <v>9678049.1641326733</v>
      </c>
      <c r="D38" s="148">
        <f t="shared" si="7"/>
        <v>387509088.53187221</v>
      </c>
      <c r="E38" s="148">
        <f t="shared" si="7"/>
        <v>334570159.60406649</v>
      </c>
      <c r="F38" s="148">
        <f t="shared" si="7"/>
        <v>46164294.512912847</v>
      </c>
      <c r="G38" s="148">
        <f t="shared" si="7"/>
        <v>106942443.26366605</v>
      </c>
      <c r="H38" s="148">
        <f t="shared" si="7"/>
        <v>21001366.6861679</v>
      </c>
      <c r="I38" s="148">
        <f t="shared" si="7"/>
        <v>179914933.9612264</v>
      </c>
      <c r="J38" s="148">
        <f t="shared" si="7"/>
        <v>59036099.901209302</v>
      </c>
      <c r="K38" s="148">
        <f t="shared" si="7"/>
        <v>115072004.56153749</v>
      </c>
      <c r="L38" s="149">
        <f t="shared" si="8"/>
        <v>1250210391.0226588</v>
      </c>
      <c r="M38" s="58">
        <f>Miles!F36/C38</f>
        <v>17.855969776945511</v>
      </c>
      <c r="N38" s="14">
        <f>'Fleet Types'!F47</f>
        <v>0.71727844873018176</v>
      </c>
      <c r="O38" s="157">
        <f>Miles!G36/Miles!D36</f>
        <v>1.2795378367278452</v>
      </c>
      <c r="P38" s="157">
        <f>Fleet!T36/Fleet!C36</f>
        <v>0.91478271178848014</v>
      </c>
      <c r="Q38" s="157">
        <f>EV!C37</f>
        <v>1.05</v>
      </c>
      <c r="R38" s="149">
        <f t="shared" ref="R38:R58" si="16">D38*P38*(1-N38)</f>
        <v>100221005.65474135</v>
      </c>
      <c r="S38" s="149">
        <f t="shared" ref="S38:S58" si="17">E38*P38*(1-N38)</f>
        <v>86529474.662447765</v>
      </c>
      <c r="T38" s="149">
        <f t="shared" ref="T38:T58" si="18">F38*O38*(1-N38)</f>
        <v>16700068.437106248</v>
      </c>
      <c r="U38" s="149">
        <f t="shared" ref="U38:U58" si="19">G38*O38*(1-N38)</f>
        <v>38686741.348013431</v>
      </c>
      <c r="V38" s="149">
        <f t="shared" ref="V38:V58" si="20">H38*P38*(1-N38)</f>
        <v>5431557.9987709476</v>
      </c>
      <c r="W38" s="149">
        <f t="shared" ref="W38:W58" si="21">I38*O38*IF(Q38&gt;0,Q38/2,1)</f>
        <v>120859181.83278489</v>
      </c>
      <c r="X38" s="149">
        <f t="shared" si="9"/>
        <v>54005203.561043873</v>
      </c>
      <c r="Y38" s="149">
        <f t="shared" si="10"/>
        <v>105265880.38373962</v>
      </c>
      <c r="Z38" s="149">
        <f t="shared" si="11"/>
        <v>527699113.87864804</v>
      </c>
      <c r="AA38" s="148">
        <f>VMT_fee!K37*O38*M38*C38*AA$4</f>
        <v>116087030.55796498</v>
      </c>
      <c r="AB38" s="148">
        <f>NOVMT!K37*N38*M38*C38*AB$4</f>
        <v>480629977.60170233</v>
      </c>
      <c r="AC38" s="148">
        <f>Pricing!I38*M38*C38*AC$4</f>
        <v>526186208.70137918</v>
      </c>
      <c r="AD38" s="149">
        <f t="shared" si="12"/>
        <v>1122903216.8610463</v>
      </c>
      <c r="AE38" s="149">
        <f t="shared" si="13"/>
        <v>1650602330.7396944</v>
      </c>
    </row>
    <row r="39" spans="1:31" x14ac:dyDescent="0.25">
      <c r="A39">
        <f t="shared" si="15"/>
        <v>34</v>
      </c>
      <c r="B39">
        <f t="shared" si="15"/>
        <v>2051</v>
      </c>
      <c r="C39" s="18">
        <f>C38*(1+City!$B$8)</f>
        <v>9823219.901594663</v>
      </c>
      <c r="D39" s="148">
        <f t="shared" ref="D39:K58" si="22">$C39*D$4</f>
        <v>393321724.85985029</v>
      </c>
      <c r="E39" s="148">
        <f t="shared" si="22"/>
        <v>339588711.99812752</v>
      </c>
      <c r="F39" s="148">
        <f t="shared" si="22"/>
        <v>46856758.930606537</v>
      </c>
      <c r="G39" s="148">
        <f t="shared" si="22"/>
        <v>108546579.91262104</v>
      </c>
      <c r="H39" s="148">
        <f t="shared" si="22"/>
        <v>21316387.186460417</v>
      </c>
      <c r="I39" s="148">
        <f t="shared" si="22"/>
        <v>182613657.97064477</v>
      </c>
      <c r="J39" s="148">
        <f t="shared" si="22"/>
        <v>59921641.399727441</v>
      </c>
      <c r="K39" s="148">
        <f t="shared" si="22"/>
        <v>116798084.62996055</v>
      </c>
      <c r="L39" s="149">
        <f t="shared" si="8"/>
        <v>1268963546.8879983</v>
      </c>
      <c r="M39" s="58">
        <f>Miles!F37/C39</f>
        <v>18.043661099098141</v>
      </c>
      <c r="N39" s="14">
        <f>'Fleet Types'!F48</f>
        <v>0.75428269343965637</v>
      </c>
      <c r="O39" s="157">
        <f>Miles!G37/Miles!D37</f>
        <v>1.293102593479045</v>
      </c>
      <c r="P39" s="157">
        <f>Fleet!T37/Fleet!C37</f>
        <v>0.91158962515460973</v>
      </c>
      <c r="Q39" s="157">
        <f>EV!C38</f>
        <v>1.05</v>
      </c>
      <c r="R39" s="149">
        <f t="shared" si="16"/>
        <v>88101449.749161839</v>
      </c>
      <c r="S39" s="149">
        <f t="shared" si="17"/>
        <v>76065612.333379745</v>
      </c>
      <c r="T39" s="149">
        <f t="shared" si="18"/>
        <v>14888158.173682615</v>
      </c>
      <c r="U39" s="149">
        <f t="shared" si="19"/>
        <v>34489339.165449247</v>
      </c>
      <c r="V39" s="149">
        <f t="shared" si="20"/>
        <v>4774728.9199720575</v>
      </c>
      <c r="W39" s="149">
        <f t="shared" si="21"/>
        <v>123972552.23143142</v>
      </c>
      <c r="X39" s="149">
        <f t="shared" si="9"/>
        <v>54623946.622226484</v>
      </c>
      <c r="Y39" s="149">
        <f t="shared" si="10"/>
        <v>106471922.18660213</v>
      </c>
      <c r="Z39" s="149">
        <f t="shared" si="11"/>
        <v>503387709.38190556</v>
      </c>
      <c r="AA39" s="148">
        <f>VMT_fee!K38*O39*M39*C39*AA$4</f>
        <v>120329140.29339385</v>
      </c>
      <c r="AB39" s="148">
        <f>NOVMT!K38*N39*M39*C39*AB$4</f>
        <v>518399384.69580376</v>
      </c>
      <c r="AC39" s="148">
        <f>Pricing!I39*M39*C39*AC$4</f>
        <v>539692922.28763521</v>
      </c>
      <c r="AD39" s="149">
        <f t="shared" si="12"/>
        <v>1178421447.2768328</v>
      </c>
      <c r="AE39" s="149">
        <f t="shared" si="13"/>
        <v>1681809156.6587384</v>
      </c>
    </row>
    <row r="40" spans="1:31" x14ac:dyDescent="0.25">
      <c r="A40">
        <f t="shared" ref="A40:B55" si="23">A39+1</f>
        <v>35</v>
      </c>
      <c r="B40">
        <f t="shared" si="23"/>
        <v>2052</v>
      </c>
      <c r="C40" s="18">
        <f>C39*(1+City!$B$8)</f>
        <v>9970568.2001185827</v>
      </c>
      <c r="D40" s="148">
        <f t="shared" si="22"/>
        <v>399221550.73274803</v>
      </c>
      <c r="E40" s="148">
        <f t="shared" si="22"/>
        <v>344682542.67809939</v>
      </c>
      <c r="F40" s="148">
        <f t="shared" si="22"/>
        <v>47559610.314565636</v>
      </c>
      <c r="G40" s="148">
        <f t="shared" si="22"/>
        <v>110174778.61131035</v>
      </c>
      <c r="H40" s="148">
        <f t="shared" si="22"/>
        <v>21636132.994257323</v>
      </c>
      <c r="I40" s="148">
        <f t="shared" si="22"/>
        <v>185352862.84020445</v>
      </c>
      <c r="J40" s="148">
        <f t="shared" si="22"/>
        <v>60820466.02072335</v>
      </c>
      <c r="K40" s="148">
        <f t="shared" si="22"/>
        <v>118550055.89940995</v>
      </c>
      <c r="L40" s="149">
        <f t="shared" si="8"/>
        <v>1287998000.0913186</v>
      </c>
      <c r="M40" s="58">
        <f>Miles!F38/C40</f>
        <v>18.219050287814163</v>
      </c>
      <c r="N40" s="14">
        <f>'Fleet Types'!F49</f>
        <v>0.78843487005184687</v>
      </c>
      <c r="O40" s="157">
        <f>Miles!G38/Miles!D38</f>
        <v>1.3057584475978457</v>
      </c>
      <c r="P40" s="157">
        <f>Fleet!T38/Fleet!C38</f>
        <v>0.90871023707708232</v>
      </c>
      <c r="Q40" s="157">
        <f>EV!C39</f>
        <v>1.05</v>
      </c>
      <c r="R40" s="149">
        <f t="shared" si="16"/>
        <v>76750901.795986772</v>
      </c>
      <c r="S40" s="149">
        <f t="shared" si="17"/>
        <v>66265701.17600558</v>
      </c>
      <c r="T40" s="149">
        <f t="shared" si="18"/>
        <v>13138482.918815305</v>
      </c>
      <c r="U40" s="149">
        <f t="shared" si="19"/>
        <v>30436108.229121413</v>
      </c>
      <c r="V40" s="149">
        <f t="shared" si="20"/>
        <v>4159576.8455866957</v>
      </c>
      <c r="W40" s="149">
        <f t="shared" si="21"/>
        <v>127063684.88102195</v>
      </c>
      <c r="X40" s="149">
        <f t="shared" si="9"/>
        <v>55268180.096830145</v>
      </c>
      <c r="Y40" s="149">
        <f t="shared" si="10"/>
        <v>107727649.40185417</v>
      </c>
      <c r="Z40" s="149">
        <f t="shared" si="11"/>
        <v>480810285.345222</v>
      </c>
      <c r="AA40" s="148">
        <f>VMT_fee!K39*O40*M40*C40*AA$4</f>
        <v>124528222.9479457</v>
      </c>
      <c r="AB40" s="148">
        <f>NOVMT!K39*N40*M40*C40*AB$4</f>
        <v>555345520.4300071</v>
      </c>
      <c r="AC40" s="148">
        <f>Pricing!I40*M40*C40*AC$4</f>
        <v>553112964.36407089</v>
      </c>
      <c r="AD40" s="149">
        <f t="shared" si="12"/>
        <v>1232986707.7420237</v>
      </c>
      <c r="AE40" s="149">
        <f t="shared" si="13"/>
        <v>1713796993.0872457</v>
      </c>
    </row>
    <row r="41" spans="1:31" x14ac:dyDescent="0.25">
      <c r="A41">
        <f t="shared" si="23"/>
        <v>36</v>
      </c>
      <c r="B41">
        <f t="shared" si="23"/>
        <v>2053</v>
      </c>
      <c r="C41" s="18">
        <f>C40*(1+City!$B$8)</f>
        <v>10120126.72312036</v>
      </c>
      <c r="D41" s="148">
        <f t="shared" si="22"/>
        <v>405209873.99373919</v>
      </c>
      <c r="E41" s="148">
        <f t="shared" si="22"/>
        <v>349852780.81827086</v>
      </c>
      <c r="F41" s="148">
        <f t="shared" si="22"/>
        <v>48273004.46928411</v>
      </c>
      <c r="G41" s="148">
        <f t="shared" si="22"/>
        <v>111827400.29047999</v>
      </c>
      <c r="H41" s="148">
        <f t="shared" si="22"/>
        <v>21960674.989171181</v>
      </c>
      <c r="I41" s="148">
        <f t="shared" si="22"/>
        <v>188133155.7828075</v>
      </c>
      <c r="J41" s="148">
        <f t="shared" si="22"/>
        <v>61732773.011034191</v>
      </c>
      <c r="K41" s="148">
        <f t="shared" si="22"/>
        <v>120328306.73790108</v>
      </c>
      <c r="L41" s="149">
        <f t="shared" si="8"/>
        <v>1307317970.0926881</v>
      </c>
      <c r="M41" s="58">
        <f>Miles!F39/C41</f>
        <v>18.383629970596033</v>
      </c>
      <c r="N41" s="14">
        <f>'Fleet Types'!F50</f>
        <v>0.82012911446203174</v>
      </c>
      <c r="O41" s="157">
        <f>Miles!G39/Miles!D39</f>
        <v>1.3176124688626283</v>
      </c>
      <c r="P41" s="157">
        <f>Fleet!T39/Fleet!C39</f>
        <v>0.90605097839327442</v>
      </c>
      <c r="Q41" s="157">
        <f>EV!C40</f>
        <v>1.05</v>
      </c>
      <c r="R41" s="149">
        <f t="shared" si="16"/>
        <v>66037941.314354017</v>
      </c>
      <c r="S41" s="149">
        <f t="shared" si="17"/>
        <v>57016274.50642404</v>
      </c>
      <c r="T41" s="149">
        <f t="shared" si="18"/>
        <v>11440707.927778639</v>
      </c>
      <c r="U41" s="149">
        <f t="shared" si="19"/>
        <v>26503107.463722013</v>
      </c>
      <c r="V41" s="149">
        <f t="shared" si="20"/>
        <v>3578979.3369667386</v>
      </c>
      <c r="W41" s="149">
        <f t="shared" si="21"/>
        <v>130140460.72959879</v>
      </c>
      <c r="X41" s="149">
        <f t="shared" si="9"/>
        <v>55933039.385577455</v>
      </c>
      <c r="Y41" s="149">
        <f t="shared" si="10"/>
        <v>109023580.04828131</v>
      </c>
      <c r="Z41" s="149">
        <f t="shared" si="11"/>
        <v>459674090.71270299</v>
      </c>
      <c r="AA41" s="148">
        <f>VMT_fee!K40*O41*M41*C41*AA$4</f>
        <v>128695754.39783904</v>
      </c>
      <c r="AB41" s="148">
        <f>NOVMT!K40*N41*M41*C41*AB$4</f>
        <v>591631456.03679085</v>
      </c>
      <c r="AC41" s="148">
        <f>Pricing!I41*M41*C41*AC$4</f>
        <v>566481088.02596152</v>
      </c>
      <c r="AD41" s="149">
        <f t="shared" si="12"/>
        <v>1286808298.4605913</v>
      </c>
      <c r="AE41" s="149">
        <f t="shared" si="13"/>
        <v>1746482389.1732943</v>
      </c>
    </row>
    <row r="42" spans="1:31" x14ac:dyDescent="0.25">
      <c r="A42">
        <f t="shared" si="23"/>
        <v>37</v>
      </c>
      <c r="B42">
        <f t="shared" si="23"/>
        <v>2054</v>
      </c>
      <c r="C42" s="18">
        <f>C41*(1+City!$B$8)</f>
        <v>10271928.623967163</v>
      </c>
      <c r="D42" s="148">
        <f t="shared" si="22"/>
        <v>411288022.10364521</v>
      </c>
      <c r="E42" s="148">
        <f t="shared" si="22"/>
        <v>355100572.53054482</v>
      </c>
      <c r="F42" s="148">
        <f t="shared" si="22"/>
        <v>48997099.536323361</v>
      </c>
      <c r="G42" s="148">
        <f t="shared" si="22"/>
        <v>113504811.29483716</v>
      </c>
      <c r="H42" s="148">
        <f t="shared" si="22"/>
        <v>22290085.114008743</v>
      </c>
      <c r="I42" s="148">
        <f t="shared" si="22"/>
        <v>190955153.11954957</v>
      </c>
      <c r="J42" s="148">
        <f t="shared" si="22"/>
        <v>62658764.606199689</v>
      </c>
      <c r="K42" s="148">
        <f t="shared" si="22"/>
        <v>122133231.33896957</v>
      </c>
      <c r="L42" s="149">
        <f t="shared" si="8"/>
        <v>1326927739.644078</v>
      </c>
      <c r="M42" s="58">
        <f>Miles!F40/C42</f>
        <v>18.536756381074959</v>
      </c>
      <c r="N42" s="14">
        <f>'Fleet Types'!F51</f>
        <v>0.84934516169310526</v>
      </c>
      <c r="O42" s="157">
        <f>Miles!G40/Miles!D40</f>
        <v>1.3286198874978541</v>
      </c>
      <c r="P42" s="157">
        <f>Fleet!T40/Fleet!C40</f>
        <v>0.90361384432981606</v>
      </c>
      <c r="Q42" s="157">
        <f>EV!C41</f>
        <v>1.05</v>
      </c>
      <c r="R42" s="149">
        <f t="shared" si="16"/>
        <v>55990200.360219836</v>
      </c>
      <c r="S42" s="149">
        <f t="shared" si="17"/>
        <v>48341189.471848153</v>
      </c>
      <c r="T42" s="149">
        <f t="shared" si="18"/>
        <v>9807407.1362409312</v>
      </c>
      <c r="U42" s="149">
        <f t="shared" si="19"/>
        <v>22719465.168860029</v>
      </c>
      <c r="V42" s="149">
        <f t="shared" si="20"/>
        <v>3034433.9356063199</v>
      </c>
      <c r="W42" s="149">
        <f t="shared" si="21"/>
        <v>133196077.37878652</v>
      </c>
      <c r="X42" s="149">
        <f t="shared" si="9"/>
        <v>56619327.166765116</v>
      </c>
      <c r="Y42" s="149">
        <f t="shared" si="10"/>
        <v>110361278.69062907</v>
      </c>
      <c r="Z42" s="149">
        <f t="shared" si="11"/>
        <v>440069379.30895597</v>
      </c>
      <c r="AA42" s="148">
        <f>VMT_fee!K41*O42*M42*C42*AA$4</f>
        <v>132814590.49410297</v>
      </c>
      <c r="AB42" s="148">
        <f>NOVMT!K41*N42*M42*C42*AB$4</f>
        <v>627078280.63057351</v>
      </c>
      <c r="AC42" s="148">
        <f>Pricing!I42*M42*C42*AC$4</f>
        <v>579767585.02642548</v>
      </c>
      <c r="AD42" s="149">
        <f t="shared" si="12"/>
        <v>1339660456.1511021</v>
      </c>
      <c r="AE42" s="149">
        <f t="shared" si="13"/>
        <v>1779729835.460058</v>
      </c>
    </row>
    <row r="43" spans="1:31" x14ac:dyDescent="0.25">
      <c r="A43">
        <f t="shared" si="23"/>
        <v>38</v>
      </c>
      <c r="B43">
        <f t="shared" si="23"/>
        <v>2055</v>
      </c>
      <c r="C43" s="18">
        <f>C42*(1+City!$B$8)</f>
        <v>10426007.55332667</v>
      </c>
      <c r="D43" s="148">
        <f t="shared" si="22"/>
        <v>417457342.43519986</v>
      </c>
      <c r="E43" s="148">
        <f t="shared" si="22"/>
        <v>360427081.11850297</v>
      </c>
      <c r="F43" s="148">
        <f t="shared" si="22"/>
        <v>49732056.029368214</v>
      </c>
      <c r="G43" s="148">
        <f t="shared" si="22"/>
        <v>115207383.46425971</v>
      </c>
      <c r="H43" s="148">
        <f t="shared" si="22"/>
        <v>22624436.390718874</v>
      </c>
      <c r="I43" s="148">
        <f t="shared" si="22"/>
        <v>193819480.41634279</v>
      </c>
      <c r="J43" s="148">
        <f t="shared" si="22"/>
        <v>63598646.075292684</v>
      </c>
      <c r="K43" s="148">
        <f t="shared" si="22"/>
        <v>123965229.80905411</v>
      </c>
      <c r="L43" s="149">
        <f t="shared" si="8"/>
        <v>1346831655.738739</v>
      </c>
      <c r="M43" s="58">
        <f>Miles!F41/C43</f>
        <v>18.678227433070234</v>
      </c>
      <c r="N43" s="14">
        <f>'Fleet Types'!F52</f>
        <v>0.87612910000253874</v>
      </c>
      <c r="O43" s="157">
        <f>Miles!G41/Miles!D41</f>
        <v>1.3387686949534765</v>
      </c>
      <c r="P43" s="157">
        <f>Fleet!T41/Fleet!C41</f>
        <v>0.90139388579099866</v>
      </c>
      <c r="Q43" s="157">
        <f>EV!C42</f>
        <v>1.05</v>
      </c>
      <c r="R43" s="149">
        <f t="shared" si="16"/>
        <v>46611814.01886107</v>
      </c>
      <c r="S43" s="149">
        <f t="shared" si="17"/>
        <v>40244016.249551132</v>
      </c>
      <c r="T43" s="149">
        <f t="shared" si="18"/>
        <v>8247289.8067375477</v>
      </c>
      <c r="U43" s="149">
        <f t="shared" si="19"/>
        <v>19105356.889821783</v>
      </c>
      <c r="V43" s="149">
        <f t="shared" si="20"/>
        <v>2526164.7457774361</v>
      </c>
      <c r="W43" s="149">
        <f t="shared" si="21"/>
        <v>136226712.74811277</v>
      </c>
      <c r="X43" s="149">
        <f t="shared" si="9"/>
        <v>57327430.71685452</v>
      </c>
      <c r="Y43" s="149">
        <f t="shared" si="10"/>
        <v>111741500.20055743</v>
      </c>
      <c r="Z43" s="149">
        <f t="shared" si="11"/>
        <v>422030285.37627369</v>
      </c>
      <c r="AA43" s="148">
        <f>VMT_fee!K42*O43*M43*C43*AA$4</f>
        <v>136873239.54646468</v>
      </c>
      <c r="AB43" s="148">
        <f>NOVMT!K42*N43*M43*C43*AB$4</f>
        <v>661566653.4466815</v>
      </c>
      <c r="AC43" s="148">
        <f>Pricing!I43*M43*C43*AC$4</f>
        <v>592955210.05168104</v>
      </c>
      <c r="AD43" s="149">
        <f t="shared" si="12"/>
        <v>1391395103.0448272</v>
      </c>
      <c r="AE43" s="149">
        <f t="shared" si="13"/>
        <v>1813425388.4211009</v>
      </c>
    </row>
    <row r="44" spans="1:31" x14ac:dyDescent="0.25">
      <c r="A44">
        <f t="shared" si="23"/>
        <v>39</v>
      </c>
      <c r="B44">
        <f t="shared" si="23"/>
        <v>2056</v>
      </c>
      <c r="C44" s="18">
        <f>C43*(1+City!$B$8)</f>
        <v>10582397.666626569</v>
      </c>
      <c r="D44" s="148">
        <f t="shared" si="22"/>
        <v>423719202.57172781</v>
      </c>
      <c r="E44" s="148">
        <f t="shared" si="22"/>
        <v>365833487.33528048</v>
      </c>
      <c r="F44" s="148">
        <f t="shared" si="22"/>
        <v>50478036.869808726</v>
      </c>
      <c r="G44" s="148">
        <f t="shared" si="22"/>
        <v>116935494.2162236</v>
      </c>
      <c r="H44" s="148">
        <f t="shared" si="22"/>
        <v>22963802.936579652</v>
      </c>
      <c r="I44" s="148">
        <f t="shared" si="22"/>
        <v>196726772.62258792</v>
      </c>
      <c r="J44" s="148">
        <f t="shared" si="22"/>
        <v>64552625.766422063</v>
      </c>
      <c r="K44" s="148">
        <f t="shared" si="22"/>
        <v>125824708.25618991</v>
      </c>
      <c r="L44" s="149">
        <f t="shared" si="8"/>
        <v>1367034130.57482</v>
      </c>
      <c r="M44" s="58">
        <f>Miles!F42/C44</f>
        <v>18.808195511712274</v>
      </c>
      <c r="N44" s="14">
        <f>'Fleet Types'!F53</f>
        <v>0.90057662979279163</v>
      </c>
      <c r="O44" s="157">
        <f>Miles!G42/Miles!D42</f>
        <v>1.3480729641806735</v>
      </c>
      <c r="P44" s="157">
        <f>Fleet!T42/Fleet!C42</f>
        <v>0.89938113004908926</v>
      </c>
      <c r="Q44" s="157">
        <f>EV!C43</f>
        <v>1.05</v>
      </c>
      <c r="R44" s="149">
        <f t="shared" si="16"/>
        <v>37888760.526811272</v>
      </c>
      <c r="S44" s="149">
        <f t="shared" si="17"/>
        <v>32712648.63665998</v>
      </c>
      <c r="T44" s="149">
        <f t="shared" si="18"/>
        <v>6765569.1304916674</v>
      </c>
      <c r="U44" s="149">
        <f t="shared" si="19"/>
        <v>15672859.306484893</v>
      </c>
      <c r="V44" s="149">
        <f t="shared" si="20"/>
        <v>2053411.8467327787</v>
      </c>
      <c r="W44" s="149">
        <f t="shared" si="21"/>
        <v>139231072.83909047</v>
      </c>
      <c r="X44" s="149">
        <f t="shared" si="9"/>
        <v>58057413.509440631</v>
      </c>
      <c r="Y44" s="149">
        <f t="shared" si="10"/>
        <v>113164368.29954906</v>
      </c>
      <c r="Z44" s="149">
        <f t="shared" si="11"/>
        <v>405546104.09526074</v>
      </c>
      <c r="AA44" s="148">
        <f>VMT_fee!K43*O44*M44*C44*AA$4</f>
        <v>140865263.00500622</v>
      </c>
      <c r="AB44" s="148">
        <f>NOVMT!K43*N44*M44*C44*AB$4</f>
        <v>695030218.62053227</v>
      </c>
      <c r="AC44" s="148">
        <f>Pricing!I44*M44*C44*AC$4</f>
        <v>606037367.50221515</v>
      </c>
      <c r="AD44" s="149">
        <f t="shared" si="12"/>
        <v>1441932849.1277537</v>
      </c>
      <c r="AE44" s="149">
        <f t="shared" si="13"/>
        <v>1847478953.2230144</v>
      </c>
    </row>
    <row r="45" spans="1:31" x14ac:dyDescent="0.25">
      <c r="A45">
        <f t="shared" si="23"/>
        <v>40</v>
      </c>
      <c r="B45">
        <f t="shared" si="23"/>
        <v>2057</v>
      </c>
      <c r="C45" s="18">
        <f>C44*(1+City!$B$8)</f>
        <v>10741133.631625967</v>
      </c>
      <c r="D45" s="148">
        <f t="shared" si="22"/>
        <v>430074990.6103037</v>
      </c>
      <c r="E45" s="148">
        <f t="shared" si="22"/>
        <v>371320989.64530969</v>
      </c>
      <c r="F45" s="148">
        <f t="shared" si="22"/>
        <v>51235207.422855861</v>
      </c>
      <c r="G45" s="148">
        <f t="shared" si="22"/>
        <v>118689526.62946695</v>
      </c>
      <c r="H45" s="148">
        <f t="shared" si="22"/>
        <v>23308259.980628349</v>
      </c>
      <c r="I45" s="148">
        <f t="shared" si="22"/>
        <v>199677674.21192673</v>
      </c>
      <c r="J45" s="148">
        <f t="shared" si="22"/>
        <v>65520915.152918398</v>
      </c>
      <c r="K45" s="148">
        <f t="shared" si="22"/>
        <v>127712078.88003275</v>
      </c>
      <c r="L45" s="149">
        <f t="shared" si="8"/>
        <v>1387539642.5334425</v>
      </c>
      <c r="M45" s="58">
        <f>Miles!F43/C45</f>
        <v>18.92707544840048</v>
      </c>
      <c r="N45" s="14">
        <f>'Fleet Types'!F54</f>
        <v>0.9228174956658447</v>
      </c>
      <c r="O45" s="157">
        <f>Miles!G43/Miles!D43</f>
        <v>1.356565860566705</v>
      </c>
      <c r="P45" s="157">
        <f>Fleet!T43/Fleet!C43</f>
        <v>0.89756235901414405</v>
      </c>
      <c r="Q45" s="157">
        <f>EV!C44</f>
        <v>1.05</v>
      </c>
      <c r="R45" s="149">
        <f t="shared" si="16"/>
        <v>29793922.643675264</v>
      </c>
      <c r="S45" s="149">
        <f t="shared" si="17"/>
        <v>25723673.970825527</v>
      </c>
      <c r="T45" s="149">
        <f t="shared" si="18"/>
        <v>5364487.6292240722</v>
      </c>
      <c r="U45" s="149">
        <f t="shared" si="19"/>
        <v>12427167.359103983</v>
      </c>
      <c r="V45" s="149">
        <f t="shared" si="20"/>
        <v>1614705.5978215619</v>
      </c>
      <c r="W45" s="149">
        <f t="shared" si="21"/>
        <v>142209855.87546179</v>
      </c>
      <c r="X45" s="149">
        <f t="shared" si="9"/>
        <v>58809107.169419013</v>
      </c>
      <c r="Y45" s="149">
        <f t="shared" si="10"/>
        <v>114629554.79416263</v>
      </c>
      <c r="Z45" s="149">
        <f t="shared" si="11"/>
        <v>390572475.03969383</v>
      </c>
      <c r="AA45" s="148">
        <f>VMT_fee!K44*O45*M45*C45*AA$4</f>
        <v>144788416.98015186</v>
      </c>
      <c r="AB45" s="148">
        <f>NOVMT!K44*N45*M45*C45*AB$4</f>
        <v>727446835.96826041</v>
      </c>
      <c r="AC45" s="148">
        <f>Pricing!I45*M45*C45*AC$4</f>
        <v>619015933.59678328</v>
      </c>
      <c r="AD45" s="149">
        <f t="shared" si="12"/>
        <v>1491251186.5451956</v>
      </c>
      <c r="AE45" s="149">
        <f t="shared" si="13"/>
        <v>1881823661.5848894</v>
      </c>
    </row>
    <row r="46" spans="1:31" x14ac:dyDescent="0.25">
      <c r="A46">
        <f t="shared" si="23"/>
        <v>41</v>
      </c>
      <c r="B46">
        <f t="shared" si="23"/>
        <v>2058</v>
      </c>
      <c r="C46" s="18">
        <f>C45*(1+City!$B$8)</f>
        <v>10902250.636100356</v>
      </c>
      <c r="D46" s="148">
        <f t="shared" si="22"/>
        <v>436526115.46945822</v>
      </c>
      <c r="E46" s="148">
        <f t="shared" si="22"/>
        <v>376890804.48998928</v>
      </c>
      <c r="F46" s="148">
        <f t="shared" si="22"/>
        <v>52003735.534198694</v>
      </c>
      <c r="G46" s="148">
        <f t="shared" si="22"/>
        <v>120469869.52890894</v>
      </c>
      <c r="H46" s="148">
        <f t="shared" si="22"/>
        <v>23657883.880337771</v>
      </c>
      <c r="I46" s="148">
        <f t="shared" si="22"/>
        <v>202672839.32510561</v>
      </c>
      <c r="J46" s="148">
        <f t="shared" si="22"/>
        <v>66503728.880212165</v>
      </c>
      <c r="K46" s="148">
        <f t="shared" si="22"/>
        <v>129627760.06323323</v>
      </c>
      <c r="L46" s="149">
        <f t="shared" si="8"/>
        <v>1408352737.1714437</v>
      </c>
      <c r="M46" s="58">
        <f>Miles!F44/C46</f>
        <v>19.035459978620608</v>
      </c>
      <c r="N46" s="14">
        <f>'Fleet Types'!F55</f>
        <v>0.94300215080444838</v>
      </c>
      <c r="O46" s="157">
        <f>Miles!G44/Miles!D44</f>
        <v>1.3642932739163018</v>
      </c>
      <c r="P46" s="157">
        <f>Fleet!T44/Fleet!C44</f>
        <v>0.89592258275067638</v>
      </c>
      <c r="Q46" s="157">
        <f>EV!C45</f>
        <v>1.05</v>
      </c>
      <c r="R46" s="149">
        <f t="shared" si="16"/>
        <v>22291494.30827751</v>
      </c>
      <c r="S46" s="149">
        <f t="shared" si="17"/>
        <v>19246177.778150689</v>
      </c>
      <c r="T46" s="149">
        <f t="shared" si="18"/>
        <v>4043903.1606267896</v>
      </c>
      <c r="U46" s="149">
        <f t="shared" si="19"/>
        <v>9367951.7662318721</v>
      </c>
      <c r="V46" s="149">
        <f t="shared" si="20"/>
        <v>1208105.4607632919</v>
      </c>
      <c r="W46" s="149">
        <f t="shared" si="21"/>
        <v>145165225.5357995</v>
      </c>
      <c r="X46" s="149">
        <f t="shared" si="9"/>
        <v>59582192.54091043</v>
      </c>
      <c r="Y46" s="149">
        <f t="shared" si="10"/>
        <v>116136437.59203689</v>
      </c>
      <c r="Z46" s="149">
        <f t="shared" si="11"/>
        <v>377041488.14279699</v>
      </c>
      <c r="AA46" s="148">
        <f>VMT_fee!K45*O46*M46*C46*AA$4</f>
        <v>148643724.63551074</v>
      </c>
      <c r="AB46" s="148">
        <f>NOVMT!K45*N46*M46*C46*AB$4</f>
        <v>758829187.95020354</v>
      </c>
      <c r="AC46" s="148">
        <f>Pricing!I46*M46*C46*AC$4</f>
        <v>631899093.87572193</v>
      </c>
      <c r="AD46" s="149">
        <f t="shared" si="12"/>
        <v>1539372006.4614363</v>
      </c>
      <c r="AE46" s="149">
        <f t="shared" si="13"/>
        <v>1916413494.6042333</v>
      </c>
    </row>
    <row r="47" spans="1:31" x14ac:dyDescent="0.25">
      <c r="A47">
        <f t="shared" si="23"/>
        <v>42</v>
      </c>
      <c r="B47">
        <f t="shared" si="23"/>
        <v>2059</v>
      </c>
      <c r="C47" s="18">
        <f>C46*(1+City!$B$8)</f>
        <v>11065784.39564186</v>
      </c>
      <c r="D47" s="148">
        <f t="shared" si="22"/>
        <v>443074007.20150006</v>
      </c>
      <c r="E47" s="148">
        <f t="shared" si="22"/>
        <v>382544166.55733907</v>
      </c>
      <c r="F47" s="148">
        <f t="shared" si="22"/>
        <v>52783791.567211665</v>
      </c>
      <c r="G47" s="148">
        <f t="shared" si="22"/>
        <v>122276917.57184255</v>
      </c>
      <c r="H47" s="148">
        <f t="shared" si="22"/>
        <v>24012752.138542835</v>
      </c>
      <c r="I47" s="148">
        <f t="shared" si="22"/>
        <v>205712931.91498217</v>
      </c>
      <c r="J47" s="148">
        <f t="shared" si="22"/>
        <v>67501284.813415334</v>
      </c>
      <c r="K47" s="148">
        <f t="shared" si="22"/>
        <v>131572176.46418172</v>
      </c>
      <c r="L47" s="149">
        <f t="shared" si="8"/>
        <v>1429478028.2290154</v>
      </c>
      <c r="M47" s="58">
        <f>Miles!F45/C47</f>
        <v>19.134048925330642</v>
      </c>
      <c r="N47" s="14">
        <f>'Fleet Types'!F56</f>
        <v>0.96129106996511682</v>
      </c>
      <c r="O47" s="157">
        <f>Miles!G45/Miles!D45</f>
        <v>1.3713085321800971</v>
      </c>
      <c r="P47" s="157">
        <f>Fleet!T45/Fleet!C45</f>
        <v>0.89444616126775012</v>
      </c>
      <c r="Q47" s="157">
        <f>EV!C46</f>
        <v>1.05</v>
      </c>
      <c r="R47" s="149">
        <f t="shared" si="16"/>
        <v>15340575.222606834</v>
      </c>
      <c r="S47" s="149">
        <f t="shared" si="17"/>
        <v>13244847.288849104</v>
      </c>
      <c r="T47" s="149">
        <f t="shared" si="18"/>
        <v>2801863.208117431</v>
      </c>
      <c r="U47" s="149">
        <f t="shared" si="19"/>
        <v>6490689.4024523301</v>
      </c>
      <c r="V47" s="149">
        <f t="shared" si="20"/>
        <v>831394.81101540523</v>
      </c>
      <c r="W47" s="149">
        <f t="shared" si="21"/>
        <v>148100346.82526919</v>
      </c>
      <c r="X47" s="149">
        <f t="shared" si="9"/>
        <v>60376265.082000427</v>
      </c>
      <c r="Y47" s="149">
        <f t="shared" si="10"/>
        <v>117684228.16803037</v>
      </c>
      <c r="Z47" s="149">
        <f t="shared" si="11"/>
        <v>364870210.00834107</v>
      </c>
      <c r="AA47" s="148">
        <f>VMT_fee!K46*O47*M47*C47*AA$4</f>
        <v>152434603.65858725</v>
      </c>
      <c r="AB47" s="148">
        <f>NOVMT!K46*N47*M47*C47*AB$4</f>
        <v>789215850.02108121</v>
      </c>
      <c r="AC47" s="148">
        <f>Pricing!I47*M47*C47*AC$4</f>
        <v>644699419.63812792</v>
      </c>
      <c r="AD47" s="149">
        <f t="shared" si="12"/>
        <v>1586349873.3177962</v>
      </c>
      <c r="AE47" s="149">
        <f t="shared" si="13"/>
        <v>1951220083.3261373</v>
      </c>
    </row>
    <row r="48" spans="1:31" x14ac:dyDescent="0.25">
      <c r="A48">
        <f t="shared" si="23"/>
        <v>43</v>
      </c>
      <c r="B48">
        <f t="shared" si="23"/>
        <v>2060</v>
      </c>
      <c r="C48" s="18">
        <f>C47*(1+City!$B$8)</f>
        <v>11231771.161576487</v>
      </c>
      <c r="D48" s="148">
        <f t="shared" si="22"/>
        <v>449720117.30952251</v>
      </c>
      <c r="E48" s="148">
        <f t="shared" si="22"/>
        <v>388282329.05569917</v>
      </c>
      <c r="F48" s="148">
        <f t="shared" si="22"/>
        <v>53575548.440719835</v>
      </c>
      <c r="G48" s="148">
        <f t="shared" si="22"/>
        <v>124111071.33542019</v>
      </c>
      <c r="H48" s="148">
        <f t="shared" si="22"/>
        <v>24372943.420620978</v>
      </c>
      <c r="I48" s="148">
        <f t="shared" si="22"/>
        <v>208798625.89370689</v>
      </c>
      <c r="J48" s="148">
        <f t="shared" si="22"/>
        <v>68513804.085616574</v>
      </c>
      <c r="K48" s="148">
        <f t="shared" si="22"/>
        <v>133545759.11114444</v>
      </c>
      <c r="L48" s="149">
        <f t="shared" si="8"/>
        <v>1450920198.6524506</v>
      </c>
      <c r="M48" s="58">
        <f>Miles!F46/C48</f>
        <v>19.22359389802126</v>
      </c>
      <c r="N48" s="14">
        <f>'Fleet Types'!F57</f>
        <v>0.9778466812580221</v>
      </c>
      <c r="O48" s="157">
        <f>Miles!G46/Miles!D46</f>
        <v>1.3776683160636367</v>
      </c>
      <c r="P48" s="157">
        <f>Fleet!T46/Fleet!C46</f>
        <v>0.89311759764856191</v>
      </c>
      <c r="Q48" s="157">
        <f>EV!C47</f>
        <v>1.05</v>
      </c>
      <c r="R48" s="149">
        <f t="shared" si="16"/>
        <v>8897945.8424118012</v>
      </c>
      <c r="S48" s="149">
        <f t="shared" si="17"/>
        <v>7682367.3269774225</v>
      </c>
      <c r="T48" s="149">
        <f t="shared" si="18"/>
        <v>1635121.7377360724</v>
      </c>
      <c r="U48" s="149">
        <f t="shared" si="19"/>
        <v>3787860.6293466673</v>
      </c>
      <c r="V48" s="149">
        <f t="shared" si="20"/>
        <v>482231.33062022005</v>
      </c>
      <c r="W48" s="149">
        <f t="shared" si="21"/>
        <v>151019006.94897681</v>
      </c>
      <c r="X48" s="149">
        <f t="shared" si="9"/>
        <v>61190884.110710099</v>
      </c>
      <c r="Y48" s="149">
        <f t="shared" si="10"/>
        <v>119272067.55349886</v>
      </c>
      <c r="Z48" s="149">
        <f t="shared" si="11"/>
        <v>353967485.48027796</v>
      </c>
      <c r="AA48" s="148">
        <f>VMT_fee!K47*O48*M48*C48*AA$4</f>
        <v>156166114.06506622</v>
      </c>
      <c r="AB48" s="148">
        <f>NOVMT!K47*N48*M48*C48*AB$4</f>
        <v>818663452.06371808</v>
      </c>
      <c r="AC48" s="148">
        <f>Pricing!I48*M48*C48*AC$4</f>
        <v>657432280.84889984</v>
      </c>
      <c r="AD48" s="149">
        <f t="shared" si="12"/>
        <v>1632261846.977684</v>
      </c>
      <c r="AE48" s="149">
        <f t="shared" si="13"/>
        <v>1986229332.457962</v>
      </c>
    </row>
    <row r="49" spans="1:31" x14ac:dyDescent="0.25">
      <c r="A49">
        <f t="shared" si="23"/>
        <v>44</v>
      </c>
      <c r="B49">
        <f t="shared" si="23"/>
        <v>2061</v>
      </c>
      <c r="C49" s="18">
        <f>C48*(1+City!$B$8)</f>
        <v>11400247.729000133</v>
      </c>
      <c r="D49" s="148">
        <f t="shared" si="22"/>
        <v>456465919.06916529</v>
      </c>
      <c r="E49" s="148">
        <f t="shared" si="22"/>
        <v>394106563.99153459</v>
      </c>
      <c r="F49" s="148">
        <f t="shared" si="22"/>
        <v>54379181.66733063</v>
      </c>
      <c r="G49" s="148">
        <f t="shared" si="22"/>
        <v>125972737.40545148</v>
      </c>
      <c r="H49" s="148">
        <f t="shared" si="22"/>
        <v>24738537.571930286</v>
      </c>
      <c r="I49" s="148">
        <f t="shared" si="22"/>
        <v>211930605.28211245</v>
      </c>
      <c r="J49" s="148">
        <f t="shared" si="22"/>
        <v>69541511.146900803</v>
      </c>
      <c r="K49" s="148">
        <f t="shared" si="22"/>
        <v>135548945.49781159</v>
      </c>
      <c r="L49" s="149">
        <f t="shared" si="8"/>
        <v>1472684001.6322372</v>
      </c>
      <c r="M49" s="58">
        <f>Miles!F47/C49</f>
        <v>19.304857616386524</v>
      </c>
      <c r="N49" s="14">
        <f>'Fleet Types'!F58</f>
        <v>0.99282762799085167</v>
      </c>
      <c r="O49" s="157">
        <f>Miles!G47/Miles!D47</f>
        <v>1.3834296913627819</v>
      </c>
      <c r="P49" s="157">
        <f>Fleet!T47/Fleet!C47</f>
        <v>0.89192205786577916</v>
      </c>
      <c r="Q49" s="157">
        <f>EV!C48</f>
        <v>1.05</v>
      </c>
      <c r="R49" s="149">
        <f t="shared" si="16"/>
        <v>2920102.3177727307</v>
      </c>
      <c r="S49" s="149">
        <f t="shared" si="17"/>
        <v>2521177.2508841986</v>
      </c>
      <c r="T49" s="149">
        <f t="shared" si="18"/>
        <v>539575.92895433831</v>
      </c>
      <c r="U49" s="149">
        <f t="shared" si="19"/>
        <v>1249961.0094225239</v>
      </c>
      <c r="V49" s="149">
        <f t="shared" si="20"/>
        <v>158257.29344572494</v>
      </c>
      <c r="W49" s="149">
        <f t="shared" si="21"/>
        <v>153925323.22427422</v>
      </c>
      <c r="X49" s="149">
        <f t="shared" si="9"/>
        <v>62025607.729239784</v>
      </c>
      <c r="Y49" s="149">
        <f t="shared" si="10"/>
        <v>120899094.40994444</v>
      </c>
      <c r="Z49" s="149">
        <f t="shared" si="11"/>
        <v>344239099.16393799</v>
      </c>
      <c r="AA49" s="148">
        <f>VMT_fee!K48*O49*M49*C49*AA$4</f>
        <v>159844349.02640599</v>
      </c>
      <c r="AB49" s="148">
        <f>NOVMT!K48*N49*M49*C49*AB$4</f>
        <v>847240196.0578512</v>
      </c>
      <c r="AC49" s="148">
        <f>Pricing!I49*M49*C49*AC$4</f>
        <v>670114609.74231732</v>
      </c>
      <c r="AD49" s="149">
        <f t="shared" si="12"/>
        <v>1677199154.8265743</v>
      </c>
      <c r="AE49" s="149">
        <f t="shared" si="13"/>
        <v>2021438253.9905124</v>
      </c>
    </row>
    <row r="50" spans="1:31" x14ac:dyDescent="0.25">
      <c r="A50">
        <f t="shared" si="23"/>
        <v>45</v>
      </c>
      <c r="B50">
        <f t="shared" si="23"/>
        <v>2062</v>
      </c>
      <c r="C50" s="18">
        <f>C49*(1+City!$B$8)</f>
        <v>11571251.444935134</v>
      </c>
      <c r="D50" s="148">
        <f t="shared" si="22"/>
        <v>463312907.85520273</v>
      </c>
      <c r="E50" s="148">
        <f t="shared" si="22"/>
        <v>400018162.45140755</v>
      </c>
      <c r="F50" s="148">
        <f t="shared" si="22"/>
        <v>55194869.392340586</v>
      </c>
      <c r="G50" s="148">
        <f t="shared" si="22"/>
        <v>127862328.46653323</v>
      </c>
      <c r="H50" s="148">
        <f t="shared" si="22"/>
        <v>25109615.635509238</v>
      </c>
      <c r="I50" s="148">
        <f t="shared" si="22"/>
        <v>215109564.36134413</v>
      </c>
      <c r="J50" s="148">
        <f t="shared" si="22"/>
        <v>70584633.814104319</v>
      </c>
      <c r="K50" s="148">
        <f t="shared" si="22"/>
        <v>137582179.68027875</v>
      </c>
      <c r="L50" s="149">
        <f t="shared" si="8"/>
        <v>1494774261.6567206</v>
      </c>
      <c r="M50" s="58">
        <f>Miles!F48/C50</f>
        <v>19.355575772938735</v>
      </c>
      <c r="N50" s="14">
        <f>'Fleet Types'!F59</f>
        <v>1</v>
      </c>
      <c r="O50" s="157">
        <f>Miles!G48/Miles!D48</f>
        <v>1.3868188550827849</v>
      </c>
      <c r="P50" s="157">
        <f>Fleet!T48/Fleet!C48</f>
        <v>0.89134252152791382</v>
      </c>
      <c r="Q50" s="157">
        <f>EV!C49</f>
        <v>1.05</v>
      </c>
      <c r="R50" s="149">
        <f t="shared" si="16"/>
        <v>0</v>
      </c>
      <c r="S50" s="149">
        <f t="shared" si="17"/>
        <v>0</v>
      </c>
      <c r="T50" s="149">
        <f t="shared" si="18"/>
        <v>0</v>
      </c>
      <c r="U50" s="149">
        <f t="shared" si="19"/>
        <v>0</v>
      </c>
      <c r="V50" s="149">
        <f t="shared" si="20"/>
        <v>0</v>
      </c>
      <c r="W50" s="149">
        <f t="shared" si="21"/>
        <v>156616949.87660185</v>
      </c>
      <c r="X50" s="149">
        <f t="shared" si="9"/>
        <v>62915085.48498819</v>
      </c>
      <c r="Y50" s="149">
        <f t="shared" si="10"/>
        <v>122632846.95352617</v>
      </c>
      <c r="Z50" s="149">
        <f t="shared" si="11"/>
        <v>342164882.31511617</v>
      </c>
      <c r="AA50" s="148">
        <f>VMT_fee!K49*O50*M50*C50*AA$4</f>
        <v>163066769.26643974</v>
      </c>
      <c r="AB50" s="148">
        <f>NOVMT!K49*N50*M50*C50*AB$4</f>
        <v>868436827.83972955</v>
      </c>
      <c r="AC50" s="148">
        <f>Pricing!I50*M50*C50*AC$4</f>
        <v>681953277.18072152</v>
      </c>
      <c r="AD50" s="149">
        <f t="shared" si="12"/>
        <v>1713456874.2868907</v>
      </c>
      <c r="AE50" s="149">
        <f t="shared" si="13"/>
        <v>2055621756.6020069</v>
      </c>
    </row>
    <row r="51" spans="1:31" x14ac:dyDescent="0.25">
      <c r="A51">
        <f t="shared" si="23"/>
        <v>46</v>
      </c>
      <c r="B51">
        <f t="shared" si="23"/>
        <v>2063</v>
      </c>
      <c r="C51" s="18">
        <f>C50*(1+City!$B$8)</f>
        <v>11744820.216609159</v>
      </c>
      <c r="D51" s="148">
        <f t="shared" si="22"/>
        <v>470262601.47303075</v>
      </c>
      <c r="E51" s="148">
        <f t="shared" si="22"/>
        <v>406018434.88817865</v>
      </c>
      <c r="F51" s="148">
        <f t="shared" si="22"/>
        <v>56022792.433225684</v>
      </c>
      <c r="G51" s="148">
        <f t="shared" si="22"/>
        <v>129780263.39353122</v>
      </c>
      <c r="H51" s="148">
        <f t="shared" si="22"/>
        <v>25486259.870041877</v>
      </c>
      <c r="I51" s="148">
        <f t="shared" si="22"/>
        <v>218336207.82676429</v>
      </c>
      <c r="J51" s="148">
        <f t="shared" si="22"/>
        <v>71643403.32131587</v>
      </c>
      <c r="K51" s="148">
        <f t="shared" si="22"/>
        <v>139645912.37548292</v>
      </c>
      <c r="L51" s="149">
        <f t="shared" si="8"/>
        <v>1517195875.5815711</v>
      </c>
      <c r="M51" s="58">
        <f>Miles!F49/C51</f>
        <v>19.361408114511732</v>
      </c>
      <c r="N51" s="14">
        <f>'Fleet Types'!F60</f>
        <v>1</v>
      </c>
      <c r="O51" s="157">
        <f>Miles!G49/Miles!D49</f>
        <v>1.3866918343306673</v>
      </c>
      <c r="P51" s="157">
        <f>Fleet!T49/Fleet!C49</f>
        <v>0.89122867328048083</v>
      </c>
      <c r="Q51" s="157">
        <f>EV!C50</f>
        <v>1.05</v>
      </c>
      <c r="R51" s="149">
        <f t="shared" si="16"/>
        <v>0</v>
      </c>
      <c r="S51" s="149">
        <f t="shared" si="17"/>
        <v>0</v>
      </c>
      <c r="T51" s="149">
        <f t="shared" si="18"/>
        <v>0</v>
      </c>
      <c r="U51" s="149">
        <f t="shared" si="19"/>
        <v>0</v>
      </c>
      <c r="V51" s="149">
        <f t="shared" si="20"/>
        <v>0</v>
      </c>
      <c r="W51" s="149">
        <f t="shared" si="21"/>
        <v>158951644.17935124</v>
      </c>
      <c r="X51" s="149">
        <f t="shared" si="9"/>
        <v>63850655.291354738</v>
      </c>
      <c r="Y51" s="149">
        <f t="shared" si="10"/>
        <v>124456441.21544392</v>
      </c>
      <c r="Z51" s="149">
        <f t="shared" si="11"/>
        <v>347258740.6861499</v>
      </c>
      <c r="AA51" s="148">
        <f>VMT_fee!K50*O51*M51*C51*AA$4</f>
        <v>165547480.01232234</v>
      </c>
      <c r="AB51" s="148">
        <f>NOVMT!K50*N51*M51*C51*AB$4</f>
        <v>881728988.24429822</v>
      </c>
      <c r="AC51" s="148">
        <f>Pricing!I51*M51*C51*AC$4</f>
        <v>692391149.06514633</v>
      </c>
      <c r="AD51" s="149">
        <f t="shared" si="12"/>
        <v>1739667617.3217669</v>
      </c>
      <c r="AE51" s="149">
        <f t="shared" si="13"/>
        <v>2086926358.0079167</v>
      </c>
    </row>
    <row r="52" spans="1:31" x14ac:dyDescent="0.25">
      <c r="A52">
        <f t="shared" si="23"/>
        <v>47</v>
      </c>
      <c r="B52">
        <f t="shared" si="23"/>
        <v>2064</v>
      </c>
      <c r="C52" s="18">
        <f>C51*(1+City!$B$8)</f>
        <v>11920992.519858295</v>
      </c>
      <c r="D52" s="148">
        <f t="shared" si="22"/>
        <v>477316540.49512613</v>
      </c>
      <c r="E52" s="148">
        <f t="shared" si="22"/>
        <v>412108711.41150129</v>
      </c>
      <c r="F52" s="148">
        <f t="shared" si="22"/>
        <v>56863134.319724061</v>
      </c>
      <c r="G52" s="148">
        <f t="shared" si="22"/>
        <v>131726967.34443417</v>
      </c>
      <c r="H52" s="148">
        <f t="shared" si="22"/>
        <v>25868553.768092498</v>
      </c>
      <c r="I52" s="148">
        <f t="shared" si="22"/>
        <v>221611250.94416571</v>
      </c>
      <c r="J52" s="148">
        <f t="shared" si="22"/>
        <v>72718054.371135592</v>
      </c>
      <c r="K52" s="148">
        <f t="shared" si="22"/>
        <v>141740601.06111515</v>
      </c>
      <c r="L52" s="149">
        <f t="shared" si="8"/>
        <v>1539953813.7152948</v>
      </c>
      <c r="M52" s="58">
        <f>Miles!F50/C52</f>
        <v>19.366917216913656</v>
      </c>
      <c r="N52" s="14">
        <f>'Fleet Types'!F61</f>
        <v>1</v>
      </c>
      <c r="O52" s="157">
        <f>Miles!G50/Miles!D50</f>
        <v>1.3865872914142203</v>
      </c>
      <c r="P52" s="157">
        <f>Fleet!T50/Fleet!C50</f>
        <v>0.89112467222415503</v>
      </c>
      <c r="Q52" s="157">
        <f>EV!C51</f>
        <v>1.05</v>
      </c>
      <c r="R52" s="149">
        <f t="shared" si="16"/>
        <v>0</v>
      </c>
      <c r="S52" s="149">
        <f t="shared" si="17"/>
        <v>0</v>
      </c>
      <c r="T52" s="149">
        <f t="shared" si="18"/>
        <v>0</v>
      </c>
      <c r="U52" s="149">
        <f t="shared" si="19"/>
        <v>0</v>
      </c>
      <c r="V52" s="149">
        <f t="shared" si="20"/>
        <v>0</v>
      </c>
      <c r="W52" s="149">
        <f t="shared" si="21"/>
        <v>161323755.7016336</v>
      </c>
      <c r="X52" s="149">
        <f t="shared" si="9"/>
        <v>64800852.36625649</v>
      </c>
      <c r="Y52" s="149">
        <f t="shared" si="10"/>
        <v>126308546.66144095</v>
      </c>
      <c r="Z52" s="149">
        <f t="shared" si="11"/>
        <v>352433154.72933108</v>
      </c>
      <c r="AA52" s="148">
        <f>VMT_fee!K51*O52*M52*C52*AA$4</f>
        <v>168065832.26439697</v>
      </c>
      <c r="AB52" s="148">
        <f>NOVMT!K51*N52*M52*C52*AB$4</f>
        <v>895209573.88091612</v>
      </c>
      <c r="AC52" s="148">
        <f>Pricing!I52*M52*C52*AC$4</f>
        <v>702976984.73965955</v>
      </c>
      <c r="AD52" s="149">
        <f t="shared" si="12"/>
        <v>1766252390.8849726</v>
      </c>
      <c r="AE52" s="149">
        <f t="shared" si="13"/>
        <v>2118685545.6143036</v>
      </c>
    </row>
    <row r="53" spans="1:31" x14ac:dyDescent="0.25">
      <c r="A53">
        <f t="shared" si="23"/>
        <v>48</v>
      </c>
      <c r="B53">
        <f t="shared" si="23"/>
        <v>2065</v>
      </c>
      <c r="C53" s="18">
        <f>C52*(1+City!$B$8)</f>
        <v>12099807.407656169</v>
      </c>
      <c r="D53" s="148">
        <f t="shared" si="22"/>
        <v>484476288.60255295</v>
      </c>
      <c r="E53" s="148">
        <f t="shared" si="22"/>
        <v>418290342.08267373</v>
      </c>
      <c r="F53" s="148">
        <f t="shared" si="22"/>
        <v>57716081.334519915</v>
      </c>
      <c r="G53" s="148">
        <f t="shared" si="22"/>
        <v>133702871.85460067</v>
      </c>
      <c r="H53" s="148">
        <f t="shared" si="22"/>
        <v>26256582.074613884</v>
      </c>
      <c r="I53" s="148">
        <f t="shared" si="22"/>
        <v>224935419.70832816</v>
      </c>
      <c r="J53" s="148">
        <f t="shared" si="22"/>
        <v>73808825.186702624</v>
      </c>
      <c r="K53" s="148">
        <f t="shared" si="22"/>
        <v>143866710.07703185</v>
      </c>
      <c r="L53" s="149">
        <f t="shared" si="8"/>
        <v>1563053120.9210238</v>
      </c>
      <c r="M53" s="58">
        <f>Miles!F51/C53</f>
        <v>19.372105008940881</v>
      </c>
      <c r="N53" s="14">
        <f>'Fleet Types'!F62</f>
        <v>1</v>
      </c>
      <c r="O53" s="157">
        <f>Miles!G51/Miles!D51</f>
        <v>1.386501542573974</v>
      </c>
      <c r="P53" s="157">
        <f>Fleet!T51/Fleet!C51</f>
        <v>0.89102964853029254</v>
      </c>
      <c r="Q53" s="157">
        <f>EV!C52</f>
        <v>1.05</v>
      </c>
      <c r="R53" s="149">
        <f t="shared" si="16"/>
        <v>0</v>
      </c>
      <c r="S53" s="149">
        <f t="shared" si="17"/>
        <v>0</v>
      </c>
      <c r="T53" s="149">
        <f t="shared" si="18"/>
        <v>0</v>
      </c>
      <c r="U53" s="149">
        <f t="shared" si="19"/>
        <v>0</v>
      </c>
      <c r="V53" s="149">
        <f t="shared" si="20"/>
        <v>0</v>
      </c>
      <c r="W53" s="149">
        <f t="shared" si="21"/>
        <v>163733485.86268866</v>
      </c>
      <c r="X53" s="149">
        <f t="shared" si="9"/>
        <v>65765851.564541444</v>
      </c>
      <c r="Y53" s="149">
        <f t="shared" si="10"/>
        <v>128189504.11514719</v>
      </c>
      <c r="Z53" s="149">
        <f t="shared" si="11"/>
        <v>357688841.54237729</v>
      </c>
      <c r="AA53" s="148">
        <f>VMT_fee!K52*O53*M53*C53*AA$4</f>
        <v>170621962.43205711</v>
      </c>
      <c r="AB53" s="148">
        <f>NOVMT!K52*N53*M53*C53*AB$4</f>
        <v>908881113.14439237</v>
      </c>
      <c r="AC53" s="148">
        <f>Pricing!I53*M53*C53*AC$4</f>
        <v>713712769.66488516</v>
      </c>
      <c r="AD53" s="149">
        <f t="shared" si="12"/>
        <v>1793215845.2413344</v>
      </c>
      <c r="AE53" s="149">
        <f t="shared" si="13"/>
        <v>2150904686.7837119</v>
      </c>
    </row>
    <row r="54" spans="1:31" x14ac:dyDescent="0.25">
      <c r="A54">
        <f t="shared" si="23"/>
        <v>49</v>
      </c>
      <c r="B54">
        <f t="shared" si="23"/>
        <v>2066</v>
      </c>
      <c r="C54" s="18">
        <f>C53*(1+City!$B$8)</f>
        <v>12281304.51877101</v>
      </c>
      <c r="D54" s="148">
        <f t="shared" si="22"/>
        <v>491743432.93159121</v>
      </c>
      <c r="E54" s="148">
        <f t="shared" si="22"/>
        <v>424564697.2139138</v>
      </c>
      <c r="F54" s="148">
        <f t="shared" si="22"/>
        <v>58581822.554537714</v>
      </c>
      <c r="G54" s="148">
        <f t="shared" si="22"/>
        <v>135708414.93241966</v>
      </c>
      <c r="H54" s="148">
        <f t="shared" si="22"/>
        <v>26650430.805733088</v>
      </c>
      <c r="I54" s="148">
        <f t="shared" si="22"/>
        <v>228309451.00395307</v>
      </c>
      <c r="J54" s="148">
        <f t="shared" si="22"/>
        <v>74915957.564503148</v>
      </c>
      <c r="K54" s="148">
        <f t="shared" si="22"/>
        <v>146024710.72818732</v>
      </c>
      <c r="L54" s="149">
        <f t="shared" si="8"/>
        <v>1586498917.7348392</v>
      </c>
      <c r="M54" s="58">
        <f>Miles!F52/C54</f>
        <v>19.381468988527342</v>
      </c>
      <c r="N54" s="14">
        <f>'Fleet Types'!F63</f>
        <v>1</v>
      </c>
      <c r="O54" s="157">
        <f>Miles!G52/Miles!D52</f>
        <v>1.3864314373230275</v>
      </c>
      <c r="P54" s="157">
        <f>Fleet!T52/Fleet!C52</f>
        <v>0.89096805742090324</v>
      </c>
      <c r="Q54" s="157">
        <f>EV!C53</f>
        <v>1.05</v>
      </c>
      <c r="R54" s="149">
        <f t="shared" si="16"/>
        <v>0</v>
      </c>
      <c r="S54" s="149">
        <f t="shared" si="17"/>
        <v>0</v>
      </c>
      <c r="T54" s="149">
        <f t="shared" si="18"/>
        <v>0</v>
      </c>
      <c r="U54" s="149">
        <f t="shared" si="19"/>
        <v>0</v>
      </c>
      <c r="V54" s="149">
        <f t="shared" si="20"/>
        <v>0</v>
      </c>
      <c r="W54" s="149">
        <f t="shared" si="21"/>
        <v>166181085.16266707</v>
      </c>
      <c r="X54" s="149">
        <f t="shared" si="9"/>
        <v>66747725.18107219</v>
      </c>
      <c r="Y54" s="149">
        <f t="shared" si="10"/>
        <v>130103352.85294239</v>
      </c>
      <c r="Z54" s="149">
        <f t="shared" si="11"/>
        <v>363032163.19668168</v>
      </c>
      <c r="AA54" s="148">
        <f>VMT_fee!K53*O54*M54*C54*AA$4</f>
        <v>173256242.52609211</v>
      </c>
      <c r="AB54" s="148">
        <f>NOVMT!K53*N54*M54*C54*AB$4</f>
        <v>922960249.64990449</v>
      </c>
      <c r="AC54" s="148">
        <f>Pricing!I54*M54*C54*AC$4</f>
        <v>724768626.54706323</v>
      </c>
      <c r="AD54" s="149">
        <f t="shared" si="12"/>
        <v>1820985118.7230597</v>
      </c>
      <c r="AE54" s="149">
        <f t="shared" si="13"/>
        <v>2184017281.9197412</v>
      </c>
    </row>
    <row r="55" spans="1:31" x14ac:dyDescent="0.25">
      <c r="A55">
        <f t="shared" si="23"/>
        <v>50</v>
      </c>
      <c r="B55">
        <f t="shared" si="23"/>
        <v>2067</v>
      </c>
      <c r="C55" s="18">
        <f>C54*(1+City!$B$8)</f>
        <v>12465524.086552573</v>
      </c>
      <c r="D55" s="148">
        <f t="shared" si="22"/>
        <v>499119584.425565</v>
      </c>
      <c r="E55" s="148">
        <f t="shared" si="22"/>
        <v>430933167.67212248</v>
      </c>
      <c r="F55" s="148">
        <f t="shared" si="22"/>
        <v>59460549.892855771</v>
      </c>
      <c r="G55" s="148">
        <f t="shared" si="22"/>
        <v>137744041.15640596</v>
      </c>
      <c r="H55" s="148">
        <f t="shared" si="22"/>
        <v>27050187.267819084</v>
      </c>
      <c r="I55" s="148">
        <f t="shared" si="22"/>
        <v>231734092.76901233</v>
      </c>
      <c r="J55" s="148">
        <f t="shared" si="22"/>
        <v>76039696.927970693</v>
      </c>
      <c r="K55" s="148">
        <f t="shared" si="22"/>
        <v>148215081.38911012</v>
      </c>
      <c r="L55" s="149">
        <f t="shared" si="8"/>
        <v>1610296401.5008614</v>
      </c>
      <c r="M55" s="58">
        <f>Miles!F53/C55</f>
        <v>19.38239177026469</v>
      </c>
      <c r="N55" s="14">
        <f>'Fleet Types'!F64</f>
        <v>1</v>
      </c>
      <c r="O55" s="157">
        <f>Miles!G53/Miles!D53</f>
        <v>1.3863742985858554</v>
      </c>
      <c r="P55" s="157">
        <f>Fleet!T53/Fleet!C53</f>
        <v>0.89095970046484774</v>
      </c>
      <c r="Q55" s="157">
        <f>EV!C54</f>
        <v>1.05</v>
      </c>
      <c r="R55" s="149">
        <f t="shared" si="16"/>
        <v>0</v>
      </c>
      <c r="S55" s="149">
        <f t="shared" si="17"/>
        <v>0</v>
      </c>
      <c r="T55" s="149">
        <f t="shared" si="18"/>
        <v>0</v>
      </c>
      <c r="U55" s="149">
        <f t="shared" si="19"/>
        <v>0</v>
      </c>
      <c r="V55" s="149">
        <f t="shared" si="20"/>
        <v>0</v>
      </c>
      <c r="W55" s="149">
        <f t="shared" si="21"/>
        <v>168666849.91856122</v>
      </c>
      <c r="X55" s="149">
        <f t="shared" si="9"/>
        <v>67748305.598382577</v>
      </c>
      <c r="Y55" s="149">
        <f t="shared" si="10"/>
        <v>132053664.51881458</v>
      </c>
      <c r="Z55" s="149">
        <f t="shared" si="11"/>
        <v>368468820.03575838</v>
      </c>
      <c r="AA55" s="148">
        <f>VMT_fee!K54*O55*M55*C55*AA$4</f>
        <v>175856211.06928402</v>
      </c>
      <c r="AB55" s="148">
        <f>NOVMT!K54*N55*M55*C55*AB$4</f>
        <v>936849256.11419547</v>
      </c>
      <c r="AC55" s="148">
        <f>Pricing!I55*M55*C55*AC$4</f>
        <v>735675180.91172385</v>
      </c>
      <c r="AD55" s="149">
        <f t="shared" si="12"/>
        <v>1848380648.0952034</v>
      </c>
      <c r="AE55" s="149">
        <f t="shared" si="13"/>
        <v>2216849468.1309619</v>
      </c>
    </row>
    <row r="56" spans="1:31" x14ac:dyDescent="0.25">
      <c r="A56">
        <f t="shared" ref="A56:B58" si="24">A55+1</f>
        <v>51</v>
      </c>
      <c r="B56">
        <f t="shared" si="24"/>
        <v>2068</v>
      </c>
      <c r="C56" s="18">
        <f>C55*(1+City!$B$8)</f>
        <v>12652506.947850861</v>
      </c>
      <c r="D56" s="148">
        <f t="shared" si="22"/>
        <v>506606378.19194847</v>
      </c>
      <c r="E56" s="148">
        <f t="shared" si="22"/>
        <v>437397165.18720424</v>
      </c>
      <c r="F56" s="148">
        <f t="shared" si="22"/>
        <v>60352458.141248599</v>
      </c>
      <c r="G56" s="148">
        <f t="shared" si="22"/>
        <v>139810201.77375203</v>
      </c>
      <c r="H56" s="148">
        <f t="shared" si="22"/>
        <v>27455940.076836366</v>
      </c>
      <c r="I56" s="148">
        <f t="shared" si="22"/>
        <v>235210104.16054749</v>
      </c>
      <c r="J56" s="148">
        <f t="shared" si="22"/>
        <v>77180292.381890252</v>
      </c>
      <c r="K56" s="148">
        <f t="shared" si="22"/>
        <v>150438307.60994673</v>
      </c>
      <c r="L56" s="149">
        <f t="shared" si="8"/>
        <v>1634450847.5233743</v>
      </c>
      <c r="M56" s="58">
        <f>Miles!F54/C56</f>
        <v>19.380670934777083</v>
      </c>
      <c r="N56" s="14">
        <f>'Fleet Types'!F65</f>
        <v>1</v>
      </c>
      <c r="O56" s="157">
        <f>Miles!G54/Miles!D54</f>
        <v>1.3863278649719184</v>
      </c>
      <c r="P56" s="157">
        <f>Fleet!T54/Fleet!C54</f>
        <v>0.8909529240991253</v>
      </c>
      <c r="Q56" s="157">
        <f>EV!C55</f>
        <v>1.05</v>
      </c>
      <c r="R56" s="149">
        <f t="shared" si="16"/>
        <v>0</v>
      </c>
      <c r="S56" s="149">
        <f t="shared" si="17"/>
        <v>0</v>
      </c>
      <c r="T56" s="149">
        <f t="shared" si="18"/>
        <v>0</v>
      </c>
      <c r="U56" s="149">
        <f t="shared" si="19"/>
        <v>0</v>
      </c>
      <c r="V56" s="149">
        <f t="shared" si="20"/>
        <v>0</v>
      </c>
      <c r="W56" s="149">
        <f t="shared" si="21"/>
        <v>171191118.79837504</v>
      </c>
      <c r="X56" s="149">
        <f t="shared" si="9"/>
        <v>68764007.180470571</v>
      </c>
      <c r="Y56" s="149">
        <f t="shared" si="10"/>
        <v>134033450.06160574</v>
      </c>
      <c r="Z56" s="149">
        <f t="shared" si="11"/>
        <v>373988576.04045135</v>
      </c>
      <c r="AA56" s="148">
        <f>VMT_fee!K55*O56*M56*C56*AA$4</f>
        <v>178472229.17631185</v>
      </c>
      <c r="AB56" s="148">
        <f>NOVMT!K55*N56*M56*C56*AB$4</f>
        <v>950817570.60221899</v>
      </c>
      <c r="AC56" s="148">
        <f>Pricing!I56*M56*C56*AC$4</f>
        <v>746644013.11278832</v>
      </c>
      <c r="AD56" s="149">
        <f t="shared" si="12"/>
        <v>1875933812.8913193</v>
      </c>
      <c r="AE56" s="149">
        <f t="shared" si="13"/>
        <v>2249922388.9317708</v>
      </c>
    </row>
    <row r="57" spans="1:31" x14ac:dyDescent="0.25">
      <c r="A57">
        <f t="shared" si="24"/>
        <v>52</v>
      </c>
      <c r="B57">
        <f t="shared" si="24"/>
        <v>2069</v>
      </c>
      <c r="C57" s="18">
        <f>C56*(1+City!$B$8)</f>
        <v>12842294.552068623</v>
      </c>
      <c r="D57" s="148">
        <f t="shared" si="22"/>
        <v>514205473.86482763</v>
      </c>
      <c r="E57" s="148">
        <f t="shared" si="22"/>
        <v>443958122.6650123</v>
      </c>
      <c r="F57" s="148">
        <f t="shared" si="22"/>
        <v>61257745.013367325</v>
      </c>
      <c r="G57" s="148">
        <f t="shared" si="22"/>
        <v>141907354.8003583</v>
      </c>
      <c r="H57" s="148">
        <f t="shared" si="22"/>
        <v>27867779.177988909</v>
      </c>
      <c r="I57" s="148">
        <f t="shared" si="22"/>
        <v>238738255.7229557</v>
      </c>
      <c r="J57" s="148">
        <f t="shared" si="22"/>
        <v>78337996.767618597</v>
      </c>
      <c r="K57" s="148">
        <f t="shared" si="22"/>
        <v>152694882.22409594</v>
      </c>
      <c r="L57" s="149">
        <f t="shared" si="8"/>
        <v>1658967610.2362247</v>
      </c>
      <c r="M57" s="58">
        <f>Miles!F55/C57</f>
        <v>19.379276371897628</v>
      </c>
      <c r="N57" s="14">
        <f>'Fleet Types'!F66</f>
        <v>1</v>
      </c>
      <c r="O57" s="157">
        <f>Miles!G55/Miles!D55</f>
        <v>1.3862902366024523</v>
      </c>
      <c r="P57" s="157">
        <f>Fleet!T55/Fleet!C55</f>
        <v>0.89094743165818768</v>
      </c>
      <c r="Q57" s="157">
        <f>EV!C56</f>
        <v>1.05</v>
      </c>
      <c r="R57" s="149">
        <f t="shared" si="16"/>
        <v>0</v>
      </c>
      <c r="S57" s="149">
        <f t="shared" si="17"/>
        <v>0</v>
      </c>
      <c r="T57" s="149">
        <f t="shared" si="18"/>
        <v>0</v>
      </c>
      <c r="U57" s="149">
        <f t="shared" si="19"/>
        <v>0</v>
      </c>
      <c r="V57" s="149">
        <f t="shared" si="20"/>
        <v>0</v>
      </c>
      <c r="W57" s="149">
        <f t="shared" si="21"/>
        <v>173754269.33142233</v>
      </c>
      <c r="X57" s="149">
        <f t="shared" si="9"/>
        <v>69795037.021357194</v>
      </c>
      <c r="Y57" s="149">
        <f t="shared" si="10"/>
        <v>136043113.14490774</v>
      </c>
      <c r="Z57" s="149">
        <f t="shared" si="11"/>
        <v>379592419.49768722</v>
      </c>
      <c r="AA57" s="148">
        <f>VMT_fee!K56*O57*M57*C57*AA$4</f>
        <v>181131361.27868584</v>
      </c>
      <c r="AB57" s="148">
        <f>NOVMT!K56*N57*M57*C57*AB$4</f>
        <v>965010390.51211548</v>
      </c>
      <c r="AC57" s="148">
        <f>Pricing!I57*M57*C57*AC$4</f>
        <v>757789141.62382352</v>
      </c>
      <c r="AD57" s="149">
        <f t="shared" si="12"/>
        <v>1903930893.4146247</v>
      </c>
      <c r="AE57" s="149">
        <f t="shared" si="13"/>
        <v>2283523312.912312</v>
      </c>
    </row>
    <row r="58" spans="1:31" x14ac:dyDescent="0.25">
      <c r="A58">
        <f t="shared" si="24"/>
        <v>53</v>
      </c>
      <c r="B58">
        <f t="shared" si="24"/>
        <v>2070</v>
      </c>
      <c r="C58" s="18">
        <f>C57*(1+City!$B$8)</f>
        <v>13034928.970349651</v>
      </c>
      <c r="D58" s="148">
        <f t="shared" si="22"/>
        <v>521918555.97280002</v>
      </c>
      <c r="E58" s="148">
        <f t="shared" si="22"/>
        <v>450617494.50498742</v>
      </c>
      <c r="F58" s="148">
        <f t="shared" si="22"/>
        <v>62176611.188567832</v>
      </c>
      <c r="G58" s="148">
        <f t="shared" si="22"/>
        <v>144035965.12236366</v>
      </c>
      <c r="H58" s="148">
        <f t="shared" si="22"/>
        <v>28285795.865658741</v>
      </c>
      <c r="I58" s="148">
        <f t="shared" si="22"/>
        <v>242319329.55880001</v>
      </c>
      <c r="J58" s="148">
        <f t="shared" si="22"/>
        <v>79513066.71913287</v>
      </c>
      <c r="K58" s="148">
        <f t="shared" si="22"/>
        <v>154985305.45745736</v>
      </c>
      <c r="L58" s="149">
        <f t="shared" si="8"/>
        <v>1683852124.3897679</v>
      </c>
      <c r="M58" s="58">
        <f>Miles!F56/C58</f>
        <v>19.378149212193044</v>
      </c>
      <c r="N58" s="14">
        <f>'Fleet Types'!F67</f>
        <v>1</v>
      </c>
      <c r="O58" s="157">
        <f>Miles!G56/Miles!D56</f>
        <v>1.3862598253373521</v>
      </c>
      <c r="P58" s="157">
        <f>Fleet!T56/Fleet!C56</f>
        <v>0.89094299179833891</v>
      </c>
      <c r="Q58" s="157">
        <f>EV!C57</f>
        <v>1.05</v>
      </c>
      <c r="R58" s="149">
        <f t="shared" si="16"/>
        <v>0</v>
      </c>
      <c r="S58" s="149">
        <f t="shared" si="17"/>
        <v>0</v>
      </c>
      <c r="T58" s="149">
        <f t="shared" si="18"/>
        <v>0</v>
      </c>
      <c r="U58" s="149">
        <f t="shared" si="19"/>
        <v>0</v>
      </c>
      <c r="V58" s="149">
        <f t="shared" si="20"/>
        <v>0</v>
      </c>
      <c r="W58" s="149">
        <f t="shared" si="21"/>
        <v>176356714.52177438</v>
      </c>
      <c r="X58" s="149">
        <f t="shared" si="9"/>
        <v>70841609.549805164</v>
      </c>
      <c r="Y58" s="149">
        <f t="shared" si="10"/>
        <v>138083071.72904649</v>
      </c>
      <c r="Z58" s="149">
        <f t="shared" si="11"/>
        <v>385281395.80062604</v>
      </c>
      <c r="AA58" s="148">
        <f>VMT_fee!K57*O58*M58*C58*AA$4</f>
        <v>183833605.62534022</v>
      </c>
      <c r="AB58" s="148">
        <f>NOVMT!K57*N58*M58*C58*AB$4</f>
        <v>979428576.40776622</v>
      </c>
      <c r="AC58" s="148">
        <f>Pricing!I58*M58*C58*AC$4</f>
        <v>769111242.21575582</v>
      </c>
      <c r="AD58" s="149">
        <f t="shared" si="12"/>
        <v>1932373424.2488623</v>
      </c>
      <c r="AE58" s="149">
        <f t="shared" si="13"/>
        <v>2317654820.0494881</v>
      </c>
    </row>
    <row r="59" spans="1:31" x14ac:dyDescent="0.25">
      <c r="C59" s="19"/>
    </row>
    <row r="60" spans="1:31" x14ac:dyDescent="0.25">
      <c r="C60" s="53"/>
    </row>
  </sheetData>
  <mergeCells count="3">
    <mergeCell ref="D3:L3"/>
    <mergeCell ref="AA3:AC3"/>
    <mergeCell ref="R3:Z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41"/>
  <sheetViews>
    <sheetView topLeftCell="A5" workbookViewId="0">
      <selection activeCell="U33" sqref="U33"/>
    </sheetView>
  </sheetViews>
  <sheetFormatPr defaultRowHeight="15" x14ac:dyDescent="0.25"/>
  <cols>
    <col min="3" max="3" width="13.28515625" bestFit="1" customWidth="1"/>
    <col min="4" max="5" width="16.28515625" bestFit="1" customWidth="1"/>
    <col min="6" max="6" width="12.85546875" customWidth="1"/>
    <col min="7" max="7" width="16.42578125" customWidth="1"/>
    <col min="8" max="8" width="15.28515625" bestFit="1" customWidth="1"/>
    <col min="9" max="9" width="13.5703125" customWidth="1"/>
    <col min="10" max="10" width="15.28515625" bestFit="1" customWidth="1"/>
    <col min="11" max="11" width="13.5703125" customWidth="1"/>
    <col min="12" max="12" width="18" bestFit="1" customWidth="1"/>
    <col min="14" max="14" width="10.5703125" bestFit="1" customWidth="1"/>
    <col min="15" max="15" width="10.7109375" bestFit="1" customWidth="1"/>
    <col min="16" max="16" width="10.5703125" bestFit="1" customWidth="1"/>
    <col min="17" max="17" width="12.85546875" customWidth="1"/>
    <col min="18" max="18" width="13.5703125" customWidth="1"/>
    <col min="19" max="21" width="15.28515625" bestFit="1" customWidth="1"/>
    <col min="22" max="22" width="14.28515625" bestFit="1" customWidth="1"/>
    <col min="23" max="23" width="16.28515625" bestFit="1" customWidth="1"/>
    <col min="24" max="24" width="15.28515625" bestFit="1" customWidth="1"/>
    <col min="25" max="29" width="16.28515625" bestFit="1" customWidth="1"/>
    <col min="30" max="31" width="18" bestFit="1" customWidth="1"/>
  </cols>
  <sheetData>
    <row r="1" spans="1:8" ht="15.75" x14ac:dyDescent="0.25">
      <c r="A1" s="26" t="s">
        <v>298</v>
      </c>
    </row>
    <row r="8" spans="1:8" x14ac:dyDescent="0.25">
      <c r="F8" s="155"/>
    </row>
    <row r="9" spans="1:8" x14ac:dyDescent="0.25">
      <c r="F9" s="46"/>
    </row>
    <row r="10" spans="1:8" x14ac:dyDescent="0.25">
      <c r="F10" s="46"/>
    </row>
    <row r="11" spans="1:8" x14ac:dyDescent="0.25">
      <c r="F11" s="46"/>
    </row>
    <row r="12" spans="1:8" x14ac:dyDescent="0.25">
      <c r="F12" s="45"/>
    </row>
    <row r="13" spans="1:8" x14ac:dyDescent="0.25">
      <c r="F13" s="46"/>
      <c r="G13" s="16"/>
      <c r="H13" s="2"/>
    </row>
    <row r="24" spans="2:20" ht="14.25" customHeight="1" x14ac:dyDescent="0.25"/>
    <row r="26" spans="2:20" x14ac:dyDescent="0.25">
      <c r="T26" s="41" t="s">
        <v>152</v>
      </c>
    </row>
    <row r="27" spans="2:20" x14ac:dyDescent="0.25">
      <c r="T27" s="41" t="s">
        <v>153</v>
      </c>
    </row>
    <row r="32" spans="2:20" ht="18.75" x14ac:dyDescent="0.3">
      <c r="B32" s="12" t="s">
        <v>118</v>
      </c>
      <c r="C32" s="10">
        <v>2040</v>
      </c>
      <c r="E32" s="12" t="s">
        <v>304</v>
      </c>
      <c r="F32" s="162">
        <f>(Z41-L41)/L41</f>
        <v>-0.28833279484118701</v>
      </c>
      <c r="G32" s="149">
        <f>Z41-L41</f>
        <v>-310610922.43372393</v>
      </c>
      <c r="H32" s="42" t="str">
        <f>IF(F32&gt;=0,T$26,T$27)</f>
        <v>↓↓</v>
      </c>
    </row>
    <row r="33" spans="2:31" ht="18.75" x14ac:dyDescent="0.3">
      <c r="E33" s="12" t="s">
        <v>305</v>
      </c>
      <c r="F33" s="162">
        <f>AD41/L41</f>
        <v>0.59235050603485462</v>
      </c>
      <c r="G33" s="149">
        <f>AD41</f>
        <v>638118661.40620899</v>
      </c>
      <c r="H33" s="42" t="str">
        <f>IF(F33&gt;=0,T$26,T$27)</f>
        <v>↑↑</v>
      </c>
    </row>
    <row r="34" spans="2:31" ht="18.75" x14ac:dyDescent="0.3">
      <c r="E34" s="12" t="s">
        <v>306</v>
      </c>
      <c r="F34" s="162">
        <f>(AE41-L41)/L41</f>
        <v>0.30401771119366761</v>
      </c>
      <c r="G34" s="149">
        <f>AE41</f>
        <v>1404773065.6752892</v>
      </c>
      <c r="H34" s="42" t="str">
        <f>IF(F34&gt;=0,T$26,T$27)</f>
        <v>↑↑</v>
      </c>
    </row>
    <row r="38" spans="2:31" x14ac:dyDescent="0.25">
      <c r="D38" s="172" t="s">
        <v>301</v>
      </c>
      <c r="E38" s="172"/>
      <c r="F38" s="172"/>
      <c r="G38" s="172"/>
      <c r="H38" s="172"/>
      <c r="I38" s="172"/>
      <c r="J38" s="172"/>
      <c r="K38" s="172"/>
      <c r="L38" s="172"/>
      <c r="R38" s="172" t="s">
        <v>302</v>
      </c>
      <c r="S38" s="172"/>
      <c r="T38" s="172"/>
      <c r="U38" s="172"/>
      <c r="V38" s="172"/>
      <c r="W38" s="172"/>
      <c r="X38" s="172"/>
      <c r="Y38" s="172"/>
      <c r="Z38" s="172"/>
      <c r="AA38" s="172" t="s">
        <v>303</v>
      </c>
      <c r="AB38" s="172"/>
      <c r="AC38" s="172"/>
      <c r="AD38" s="172"/>
    </row>
    <row r="39" spans="2:31" x14ac:dyDescent="0.25">
      <c r="B39" s="153">
        <v>1</v>
      </c>
      <c r="C39" s="153">
        <v>2</v>
      </c>
      <c r="D39" s="153">
        <v>3</v>
      </c>
      <c r="E39" s="153">
        <v>4</v>
      </c>
      <c r="F39" s="153">
        <v>5</v>
      </c>
      <c r="G39" s="153">
        <v>6</v>
      </c>
      <c r="H39" s="153">
        <v>7</v>
      </c>
      <c r="I39" s="153">
        <v>8</v>
      </c>
      <c r="J39">
        <f>I39+1</f>
        <v>9</v>
      </c>
      <c r="K39">
        <f t="shared" ref="K39:AE39" si="0">J39+1</f>
        <v>10</v>
      </c>
      <c r="L39">
        <f t="shared" si="0"/>
        <v>11</v>
      </c>
      <c r="M39">
        <f t="shared" si="0"/>
        <v>12</v>
      </c>
      <c r="N39">
        <f t="shared" si="0"/>
        <v>13</v>
      </c>
      <c r="O39">
        <f t="shared" si="0"/>
        <v>14</v>
      </c>
      <c r="P39">
        <f t="shared" si="0"/>
        <v>15</v>
      </c>
      <c r="Q39">
        <f t="shared" si="0"/>
        <v>16</v>
      </c>
      <c r="R39">
        <f t="shared" si="0"/>
        <v>17</v>
      </c>
      <c r="S39">
        <f t="shared" si="0"/>
        <v>18</v>
      </c>
      <c r="T39">
        <f t="shared" si="0"/>
        <v>19</v>
      </c>
      <c r="U39">
        <f t="shared" si="0"/>
        <v>20</v>
      </c>
      <c r="V39">
        <f t="shared" si="0"/>
        <v>21</v>
      </c>
      <c r="W39">
        <f t="shared" si="0"/>
        <v>22</v>
      </c>
      <c r="X39">
        <f t="shared" si="0"/>
        <v>23</v>
      </c>
      <c r="Y39">
        <f t="shared" si="0"/>
        <v>24</v>
      </c>
      <c r="Z39">
        <f t="shared" si="0"/>
        <v>25</v>
      </c>
      <c r="AA39">
        <f t="shared" si="0"/>
        <v>26</v>
      </c>
      <c r="AB39">
        <f t="shared" si="0"/>
        <v>27</v>
      </c>
      <c r="AC39">
        <f t="shared" si="0"/>
        <v>28</v>
      </c>
      <c r="AD39">
        <f t="shared" si="0"/>
        <v>29</v>
      </c>
      <c r="AE39">
        <f t="shared" si="0"/>
        <v>30</v>
      </c>
    </row>
    <row r="40" spans="2:31" ht="33" customHeight="1" x14ac:dyDescent="0.25">
      <c r="B40" t="s">
        <v>97</v>
      </c>
      <c r="C40" t="s">
        <v>281</v>
      </c>
      <c r="D40" s="154" t="str">
        <f>City!$A$37</f>
        <v>Parking Revenues</v>
      </c>
      <c r="E40" s="154" t="str">
        <f>City!$A$38</f>
        <v>Parking Fines</v>
      </c>
      <c r="F40" s="154" t="str">
        <f>City!$A$39</f>
        <v>Traffic Citations</v>
      </c>
      <c r="G40" s="154" t="str">
        <f>City!$A$40</f>
        <v>Camera</v>
      </c>
      <c r="H40" s="154" t="str">
        <f>City!$A$41</f>
        <v>Towing</v>
      </c>
      <c r="I40" s="154" t="str">
        <f>City!$A$42</f>
        <v>Gas Tax</v>
      </c>
      <c r="J40" s="154" t="str">
        <f>City!$A$43</f>
        <v>Licensing</v>
      </c>
      <c r="K40" s="154" t="str">
        <f>City!$A$44</f>
        <v>Registration</v>
      </c>
      <c r="L40" s="153" t="s">
        <v>115</v>
      </c>
      <c r="M40" s="154" t="s">
        <v>294</v>
      </c>
      <c r="N40" s="154" t="s">
        <v>286</v>
      </c>
      <c r="O40" s="154" t="s">
        <v>284</v>
      </c>
      <c r="P40" s="154" t="s">
        <v>283</v>
      </c>
      <c r="Q40" s="154" t="s">
        <v>285</v>
      </c>
      <c r="R40" s="154" t="str">
        <f>City!$A$37</f>
        <v>Parking Revenues</v>
      </c>
      <c r="S40" s="154" t="str">
        <f>City!$A$38</f>
        <v>Parking Fines</v>
      </c>
      <c r="T40" s="154" t="str">
        <f>City!$A$39</f>
        <v>Traffic Citations</v>
      </c>
      <c r="U40" s="154" t="str">
        <f>City!$A$40</f>
        <v>Camera</v>
      </c>
      <c r="V40" s="154" t="str">
        <f>City!$A$41</f>
        <v>Towing</v>
      </c>
      <c r="W40" s="154" t="str">
        <f>City!$A$42</f>
        <v>Gas Tax</v>
      </c>
      <c r="X40" s="154" t="str">
        <f>City!$A$43</f>
        <v>Licensing</v>
      </c>
      <c r="Y40" s="154" t="str">
        <f>City!$A$44</f>
        <v>Registration</v>
      </c>
      <c r="Z40" s="153" t="s">
        <v>115</v>
      </c>
      <c r="AA40" s="154" t="s">
        <v>287</v>
      </c>
      <c r="AB40" s="154" t="s">
        <v>288</v>
      </c>
      <c r="AC40" s="154" t="s">
        <v>231</v>
      </c>
      <c r="AD40" s="154" t="s">
        <v>295</v>
      </c>
      <c r="AE40" s="154" t="s">
        <v>296</v>
      </c>
    </row>
    <row r="41" spans="2:31" x14ac:dyDescent="0.25">
      <c r="B41">
        <f>VLOOKUP($C32,Fees!$B$6:$AE$58,B39)</f>
        <v>2040</v>
      </c>
      <c r="C41" s="18">
        <f>VLOOKUP($C32,Fees!$B$6:$AE$58,C39)</f>
        <v>8339257.8317294009</v>
      </c>
      <c r="D41" s="148">
        <f>VLOOKUP($C32,Fees!$B$6:$AE$58,D39)</f>
        <v>333903883.5824452</v>
      </c>
      <c r="E41" s="148">
        <f>VLOOKUP($C32,Fees!$B$6:$AE$58,E39)</f>
        <v>288288143.24288541</v>
      </c>
      <c r="F41" s="148">
        <f>VLOOKUP($C32,Fees!$B$6:$AE$58,F39)</f>
        <v>39778259.857349239</v>
      </c>
      <c r="G41" s="148">
        <f>VLOOKUP($C32,Fees!$B$6:$AE$58,G39)</f>
        <v>92148799.040609881</v>
      </c>
      <c r="H41" s="148">
        <f>VLOOKUP($C32,Fees!$B$6:$AE$58,H39)</f>
        <v>18096189.4948528</v>
      </c>
      <c r="I41" s="148">
        <f>VLOOKUP($C32,Fees!$B$6:$AE$58,I39)</f>
        <v>155026803.09184957</v>
      </c>
      <c r="J41" s="148">
        <f>VLOOKUP($C32,Fees!$B$6:$AE$58,J39)</f>
        <v>50869472.773549341</v>
      </c>
      <c r="K41" s="148">
        <f>VLOOKUP($C32,Fees!$B$6:$AE$58,K39)</f>
        <v>99153775.619262576</v>
      </c>
      <c r="L41" s="148">
        <f>VLOOKUP($C32,Fees!$B$6:$AE$58,L39)</f>
        <v>1077265326.7028041</v>
      </c>
      <c r="M41" s="60">
        <f>VLOOKUP($C32,Fees!$B$6:$AE$58,M39)</f>
        <v>15.916431865506164</v>
      </c>
      <c r="N41" s="16">
        <f>VLOOKUP($C32,Fees!$B$6:$AE$58,N39)</f>
        <v>0.30042528096453353</v>
      </c>
      <c r="O41" s="60">
        <f>VLOOKUP($C32,Fees!$B$6:$AE$58,O39)</f>
        <v>1.1387332097472194</v>
      </c>
      <c r="P41" s="60">
        <f>VLOOKUP($C32,Fees!$B$6:$AE$58,P39)</f>
        <v>0.95137466814515903</v>
      </c>
      <c r="Q41" s="60">
        <f>VLOOKUP($C32,Fees!$B$6:$AE$58,Q39)</f>
        <v>1.05</v>
      </c>
      <c r="R41" s="148">
        <f>VLOOKUP($C32,Fees!$B$6:$AE$58,R39)</f>
        <v>222232289.48059872</v>
      </c>
      <c r="S41" s="148">
        <f>VLOOKUP($C32,Fees!$B$6:$AE$58,S39)</f>
        <v>191872383.79980767</v>
      </c>
      <c r="T41" s="148">
        <f>VLOOKUP($C32,Fees!$B$6:$AE$58,T39)</f>
        <v>31688513.990212984</v>
      </c>
      <c r="U41" s="148">
        <f>VLOOKUP($C32,Fees!$B$6:$AE$58,U39)</f>
        <v>73408402.430157974</v>
      </c>
      <c r="V41" s="148">
        <f>VLOOKUP($C32,Fees!$B$6:$AE$58,V39)</f>
        <v>12044057.646675806</v>
      </c>
      <c r="W41" s="148">
        <f>VLOOKUP($C32,Fees!$B$6:$AE$58,W39)</f>
        <v>92680438.767856807</v>
      </c>
      <c r="X41" s="148">
        <f>VLOOKUP($C32,Fees!$B$6:$AE$58,X39)</f>
        <v>48395927.778654709</v>
      </c>
      <c r="Y41" s="148">
        <f>VLOOKUP($C32,Fees!$B$6:$AE$58,Y39)</f>
        <v>94332390.375115499</v>
      </c>
      <c r="Z41" s="148">
        <f>VLOOKUP($C32,Fees!$B$6:$AE$58,Z39)</f>
        <v>766654404.26908016</v>
      </c>
      <c r="AA41" s="148">
        <f>VLOOKUP($C32,Fees!$B$6:$AE$58,AA39)</f>
        <v>79351365.729629308</v>
      </c>
      <c r="AB41" s="148">
        <f>VLOOKUP($C32,Fees!$B$6:$AE$58,AB39)</f>
        <v>154618479.60870391</v>
      </c>
      <c r="AC41" s="148">
        <f>VLOOKUP($C32,Fees!$B$6:$AE$58,AC39)</f>
        <v>404148816.06787574</v>
      </c>
      <c r="AD41" s="148">
        <f>VLOOKUP($C32,Fees!$B$6:$AE$58,AD39)</f>
        <v>638118661.40620899</v>
      </c>
      <c r="AE41" s="148">
        <f>VLOOKUP($C32,Fees!$B$6:$AE$58,AE39)</f>
        <v>1404773065.6752892</v>
      </c>
    </row>
  </sheetData>
  <mergeCells count="3">
    <mergeCell ref="D38:L38"/>
    <mergeCell ref="R38:Z38"/>
    <mergeCell ref="AA38:AD38"/>
  </mergeCells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G62"/>
  <sheetViews>
    <sheetView workbookViewId="0">
      <selection activeCell="Z23" sqref="Z23"/>
    </sheetView>
  </sheetViews>
  <sheetFormatPr defaultRowHeight="15" x14ac:dyDescent="0.25"/>
  <cols>
    <col min="3" max="3" width="12.140625" customWidth="1"/>
    <col min="4" max="12" width="10.7109375" customWidth="1"/>
    <col min="13" max="13" width="17.140625" customWidth="1"/>
    <col min="14" max="14" width="9.5703125" customWidth="1"/>
    <col min="15" max="15" width="12.85546875" customWidth="1"/>
    <col min="16" max="18" width="10.140625" customWidth="1"/>
    <col min="19" max="19" width="10.5703125" bestFit="1" customWidth="1"/>
    <col min="20" max="21" width="11.5703125" bestFit="1" customWidth="1"/>
    <col min="22" max="22" width="12.42578125" customWidth="1"/>
    <col min="23" max="23" width="11.28515625" bestFit="1" customWidth="1"/>
    <col min="24" max="24" width="10.42578125" customWidth="1"/>
    <col min="30" max="32" width="10.5703125" bestFit="1" customWidth="1"/>
    <col min="33" max="33" width="17.42578125" bestFit="1" customWidth="1"/>
  </cols>
  <sheetData>
    <row r="1" spans="1:33" ht="15.75" x14ac:dyDescent="0.25">
      <c r="A1" s="26" t="s">
        <v>317</v>
      </c>
    </row>
    <row r="2" spans="1:33" ht="15.75" x14ac:dyDescent="0.25">
      <c r="A2" s="26"/>
    </row>
    <row r="3" spans="1:33" ht="15.75" x14ac:dyDescent="0.25">
      <c r="A3" s="26"/>
      <c r="C3" s="12" t="s">
        <v>318</v>
      </c>
      <c r="D3" s="28">
        <f>City!$B$94</f>
        <v>0.36624283048856332</v>
      </c>
      <c r="E3" s="28">
        <f>City!$B$93</f>
        <v>0.42838103892170226</v>
      </c>
      <c r="F3" s="28">
        <f>City!$B$92</f>
        <v>0.41617412140575077</v>
      </c>
      <c r="G3" s="28"/>
      <c r="H3" s="62">
        <f>H5/$L5</f>
        <v>7.9182429592265666E-2</v>
      </c>
      <c r="I3" s="62">
        <f>I5/$L5</f>
        <v>1.0666246321984029E-2</v>
      </c>
      <c r="J3" s="62">
        <f>J5/$L5</f>
        <v>0.91015132408575039</v>
      </c>
      <c r="K3" s="62"/>
    </row>
    <row r="4" spans="1:33" x14ac:dyDescent="0.25">
      <c r="C4" s="12" t="s">
        <v>311</v>
      </c>
      <c r="D4" s="167">
        <f>City!$B$91</f>
        <v>31111</v>
      </c>
      <c r="E4" s="167">
        <f>City!$B$90</f>
        <v>60085</v>
      </c>
      <c r="F4" s="167">
        <f>City!$B$89</f>
        <v>128117</v>
      </c>
      <c r="G4" s="167"/>
      <c r="H4" s="167">
        <f>City!$B$85</f>
        <v>31516</v>
      </c>
      <c r="I4" s="167">
        <f>City!$B$84</f>
        <v>57657</v>
      </c>
      <c r="J4" s="167">
        <f>City!$B$83</f>
        <v>108573</v>
      </c>
      <c r="K4" s="167"/>
      <c r="L4" s="15"/>
      <c r="M4" s="15"/>
      <c r="N4" s="158"/>
      <c r="Q4" s="20"/>
      <c r="R4" s="20"/>
      <c r="S4" s="20"/>
      <c r="U4" s="20"/>
    </row>
    <row r="5" spans="1:33" x14ac:dyDescent="0.25">
      <c r="C5" s="12" t="s">
        <v>316</v>
      </c>
      <c r="D5" s="166">
        <f>City!$B$53</f>
        <v>4.2312865497076024E-2</v>
      </c>
      <c r="E5" s="166">
        <f>City!$B$52</f>
        <v>1.9307017543859648E-2</v>
      </c>
      <c r="F5" s="166">
        <f>City!$B$51</f>
        <v>2.1964912280701753E-2</v>
      </c>
      <c r="G5" s="166"/>
      <c r="H5" s="166">
        <f>City!$B$49</f>
        <v>4.406432748538012E-3</v>
      </c>
      <c r="I5" s="166">
        <f>City!$B$48</f>
        <v>5.9356725146198831E-4</v>
      </c>
      <c r="J5" s="166">
        <f>City!$B$47</f>
        <v>5.0649122807017541E-2</v>
      </c>
      <c r="K5" s="166"/>
      <c r="L5" s="165">
        <f>SUM(H5:J5)</f>
        <v>5.5649122807017538E-2</v>
      </c>
      <c r="O5" s="20"/>
      <c r="P5" s="20"/>
      <c r="Q5" s="20"/>
      <c r="R5" s="20"/>
      <c r="S5" s="20"/>
      <c r="T5" s="20"/>
      <c r="V5" s="158" t="s">
        <v>315</v>
      </c>
    </row>
    <row r="6" spans="1:33" ht="19.5" customHeight="1" x14ac:dyDescent="0.25">
      <c r="C6" s="12"/>
      <c r="D6" s="186" t="str">
        <f>City!$A$50</f>
        <v>Losers</v>
      </c>
      <c r="E6" s="186"/>
      <c r="F6" s="186"/>
      <c r="G6" s="166"/>
      <c r="H6" s="187" t="str">
        <f>City!$A$46</f>
        <v>Winners</v>
      </c>
      <c r="I6" s="187"/>
      <c r="J6" s="187"/>
      <c r="K6" s="152"/>
      <c r="N6" s="159" t="s">
        <v>102</v>
      </c>
      <c r="O6" s="186" t="str">
        <f>City!$A$50</f>
        <v>Losers</v>
      </c>
      <c r="P6" s="186"/>
      <c r="Q6" s="186"/>
      <c r="R6" s="166"/>
      <c r="S6" s="187" t="str">
        <f>City!$A$46</f>
        <v>Winners</v>
      </c>
      <c r="T6" s="187"/>
      <c r="U6" s="187"/>
      <c r="V6" s="158">
        <f>City!D46</f>
        <v>2.4</v>
      </c>
      <c r="Y6" t="s">
        <v>308</v>
      </c>
    </row>
    <row r="7" spans="1:33" ht="16.5" customHeight="1" x14ac:dyDescent="0.25">
      <c r="B7" t="s">
        <v>97</v>
      </c>
      <c r="C7" t="s">
        <v>314</v>
      </c>
      <c r="D7" s="159" t="str">
        <f>City!$A$53</f>
        <v>Low</v>
      </c>
      <c r="E7" s="159" t="str">
        <f>City!$A$52</f>
        <v>Medium</v>
      </c>
      <c r="F7" s="159" t="str">
        <f>City!$A$51</f>
        <v>High</v>
      </c>
      <c r="G7" s="159" t="s">
        <v>308</v>
      </c>
      <c r="H7" s="159" t="str">
        <f>City!$A$49</f>
        <v>Low</v>
      </c>
      <c r="I7" s="159" t="str">
        <f>City!$A$48</f>
        <v>Medium</v>
      </c>
      <c r="J7" s="159" t="str">
        <f>City!$A$47</f>
        <v>High</v>
      </c>
      <c r="K7" s="159" t="s">
        <v>307</v>
      </c>
      <c r="L7" s="158" t="s">
        <v>115</v>
      </c>
      <c r="M7" s="158" t="s">
        <v>319</v>
      </c>
      <c r="N7" s="159" t="s">
        <v>180</v>
      </c>
      <c r="O7" s="159" t="str">
        <f>City!$A$53</f>
        <v>Low</v>
      </c>
      <c r="P7" s="159" t="str">
        <f>City!$A$52</f>
        <v>Medium</v>
      </c>
      <c r="Q7" s="159" t="str">
        <f>City!$A$51</f>
        <v>High</v>
      </c>
      <c r="R7" s="159" t="s">
        <v>318</v>
      </c>
      <c r="S7" s="159" t="str">
        <f>City!$A$49</f>
        <v>Low</v>
      </c>
      <c r="T7" s="159" t="str">
        <f>City!$A$48</f>
        <v>Medium</v>
      </c>
      <c r="U7" s="159" t="str">
        <f>City!$A$47</f>
        <v>High</v>
      </c>
      <c r="V7" s="158" t="s">
        <v>315</v>
      </c>
      <c r="W7" s="158" t="s">
        <v>320</v>
      </c>
      <c r="X7" s="159" t="str">
        <f>City!$A$53</f>
        <v>Low</v>
      </c>
      <c r="Y7" s="159" t="str">
        <f>City!$A$52</f>
        <v>Medium</v>
      </c>
      <c r="Z7" s="159" t="str">
        <f>City!$A$51</f>
        <v>High</v>
      </c>
      <c r="AA7" s="159" t="s">
        <v>308</v>
      </c>
      <c r="AB7" s="159" t="str">
        <f>City!$A$49</f>
        <v>Low</v>
      </c>
      <c r="AC7" s="159" t="str">
        <f>City!$A$48</f>
        <v>Medium</v>
      </c>
      <c r="AD7" s="159" t="str">
        <f>City!$A$47</f>
        <v>High</v>
      </c>
      <c r="AE7" s="159" t="s">
        <v>307</v>
      </c>
      <c r="AF7" s="158" t="s">
        <v>115</v>
      </c>
      <c r="AG7" s="158" t="s">
        <v>319</v>
      </c>
    </row>
    <row r="8" spans="1:33" x14ac:dyDescent="0.25">
      <c r="A8">
        <v>1</v>
      </c>
      <c r="B8">
        <f>City!B3</f>
        <v>2018</v>
      </c>
      <c r="C8" s="156">
        <f>City!B33</f>
        <v>3420000</v>
      </c>
      <c r="D8" s="18">
        <f>$C8*D$5</f>
        <v>144710</v>
      </c>
      <c r="E8" s="18">
        <f t="shared" ref="E8:J23" si="0">$C8*E$5</f>
        <v>66030</v>
      </c>
      <c r="F8" s="18">
        <f t="shared" si="0"/>
        <v>75120</v>
      </c>
      <c r="G8" s="18">
        <f>SUM(D8:F8)</f>
        <v>285860</v>
      </c>
      <c r="H8" s="18">
        <f t="shared" si="0"/>
        <v>15070.000000000002</v>
      </c>
      <c r="I8" s="18">
        <f t="shared" si="0"/>
        <v>2030</v>
      </c>
      <c r="J8" s="18">
        <f t="shared" si="0"/>
        <v>173220</v>
      </c>
      <c r="K8" s="18">
        <f>SUM(H8:J8)</f>
        <v>190320</v>
      </c>
      <c r="L8" s="18">
        <f>G8+K8</f>
        <v>476180</v>
      </c>
      <c r="M8" s="148">
        <f>SUMPRODUCT(D8:J8,D$4:J$4)</f>
        <v>37492639290</v>
      </c>
      <c r="N8" s="14">
        <f>'Fleet Types'!F15</f>
        <v>0</v>
      </c>
      <c r="O8" s="20">
        <f>D8*D$3*$N8</f>
        <v>0</v>
      </c>
      <c r="P8" s="20">
        <f>E8*E$3*$N8</f>
        <v>0</v>
      </c>
      <c r="Q8" s="20">
        <f>F8*F$3*$N8</f>
        <v>0</v>
      </c>
      <c r="R8" s="20">
        <f>SUM(O8:Q8)</f>
        <v>0</v>
      </c>
      <c r="S8" s="20">
        <f>R8*H$3*$V$6</f>
        <v>0</v>
      </c>
      <c r="T8" s="20">
        <f>R8*I$3*$V$6</f>
        <v>0</v>
      </c>
      <c r="U8" s="20">
        <f>R8*J$3*$V$6</f>
        <v>0</v>
      </c>
      <c r="V8" s="20">
        <f>SUM(S8:U8)</f>
        <v>0</v>
      </c>
      <c r="W8" s="20">
        <f>V8-R8</f>
        <v>0</v>
      </c>
      <c r="X8" s="20">
        <f>D8-O8</f>
        <v>144710</v>
      </c>
      <c r="Y8" s="20">
        <f>E8-P8</f>
        <v>66030</v>
      </c>
      <c r="Z8" s="20">
        <f>F8-Q8</f>
        <v>75120</v>
      </c>
      <c r="AA8" s="20">
        <f>SUM(X8:Z8)</f>
        <v>285860</v>
      </c>
      <c r="AB8" s="20">
        <f>H8+S8</f>
        <v>15070.000000000002</v>
      </c>
      <c r="AC8" s="20">
        <f>I8+T8</f>
        <v>2030</v>
      </c>
      <c r="AD8" s="20">
        <f>J8+U8</f>
        <v>173220</v>
      </c>
      <c r="AE8" s="20">
        <f>SUM(AB8:AD8)</f>
        <v>190320</v>
      </c>
      <c r="AF8" s="20">
        <f>AA8+AE8</f>
        <v>476180</v>
      </c>
      <c r="AG8" s="148">
        <f>SUMPRODUCT(X8:AD8,D$4:J$4)</f>
        <v>37492639290</v>
      </c>
    </row>
    <row r="9" spans="1:33" x14ac:dyDescent="0.25">
      <c r="A9">
        <f>A8+1</f>
        <v>2</v>
      </c>
      <c r="B9">
        <f>B8+1</f>
        <v>2019</v>
      </c>
      <c r="C9" s="18">
        <f>C8*(1+City!$B$8)</f>
        <v>3471299.9999999995</v>
      </c>
      <c r="D9" s="18">
        <f t="shared" ref="D9:J40" si="1">$C9*D$5</f>
        <v>146880.65</v>
      </c>
      <c r="E9" s="18">
        <f t="shared" si="0"/>
        <v>67020.449999999983</v>
      </c>
      <c r="F9" s="18">
        <f t="shared" si="0"/>
        <v>76246.799999999988</v>
      </c>
      <c r="G9" s="18">
        <f t="shared" ref="G9:G60" si="2">SUM(D9:F9)</f>
        <v>290147.89999999997</v>
      </c>
      <c r="H9" s="18">
        <f t="shared" si="0"/>
        <v>15296.05</v>
      </c>
      <c r="I9" s="18">
        <f t="shared" si="0"/>
        <v>2060.4499999999998</v>
      </c>
      <c r="J9" s="18">
        <f t="shared" si="0"/>
        <v>175818.29999999996</v>
      </c>
      <c r="K9" s="18">
        <f t="shared" ref="K9:K60" si="3">SUM(H9:J9)</f>
        <v>193174.79999999996</v>
      </c>
      <c r="L9" s="18">
        <f t="shared" ref="L9:L60" si="4">G9+K9</f>
        <v>483322.69999999995</v>
      </c>
      <c r="M9" s="148">
        <f t="shared" ref="M9:M60" si="5">SUMPRODUCT(D9:J9,D$4:J$4)</f>
        <v>38055028879.349991</v>
      </c>
      <c r="N9" s="14">
        <f>'Fleet Types'!F16</f>
        <v>0</v>
      </c>
      <c r="O9" s="20">
        <f t="shared" ref="O9:O60" si="6">D9*D$3*$N9</f>
        <v>0</v>
      </c>
      <c r="P9" s="20">
        <f t="shared" ref="P9:P60" si="7">E9*E$3*$N9</f>
        <v>0</v>
      </c>
      <c r="Q9" s="20">
        <f t="shared" ref="Q9:Q60" si="8">F9*F$3*$N9</f>
        <v>0</v>
      </c>
      <c r="R9" s="20">
        <f t="shared" ref="R9:R60" si="9">SUM(O9:Q9)</f>
        <v>0</v>
      </c>
      <c r="S9" s="20">
        <f t="shared" ref="S9:S60" si="10">R9*H$3*$V$6</f>
        <v>0</v>
      </c>
      <c r="T9" s="20">
        <f t="shared" ref="T9:T60" si="11">R9*I$3*$V$6</f>
        <v>0</v>
      </c>
      <c r="U9" s="20">
        <f t="shared" ref="U9:U60" si="12">R9*J$3*$V$6</f>
        <v>0</v>
      </c>
      <c r="V9" s="20">
        <f t="shared" ref="V9:V60" si="13">SUM(S9:U9)</f>
        <v>0</v>
      </c>
      <c r="W9" s="20">
        <f t="shared" ref="W9:W60" si="14">V9-R9</f>
        <v>0</v>
      </c>
      <c r="X9" s="20">
        <f t="shared" ref="X9:X60" si="15">D9-O9</f>
        <v>146880.65</v>
      </c>
      <c r="Y9" s="20">
        <f t="shared" ref="Y9:Y60" si="16">E9-P9</f>
        <v>67020.449999999983</v>
      </c>
      <c r="Z9" s="20">
        <f t="shared" ref="Z9:Z60" si="17">F9-Q9</f>
        <v>76246.799999999988</v>
      </c>
      <c r="AA9" s="20">
        <f t="shared" ref="AA9:AA60" si="18">SUM(X9:Z9)</f>
        <v>290147.89999999997</v>
      </c>
      <c r="AB9" s="20">
        <f t="shared" ref="AB9:AB60" si="19">H9+S9</f>
        <v>15296.05</v>
      </c>
      <c r="AC9" s="20">
        <f t="shared" ref="AC9:AC60" si="20">I9+T9</f>
        <v>2060.4499999999998</v>
      </c>
      <c r="AD9" s="20">
        <f t="shared" ref="AD9:AD60" si="21">J9+U9</f>
        <v>175818.29999999996</v>
      </c>
      <c r="AE9" s="20">
        <f t="shared" ref="AE9:AE60" si="22">SUM(AB9:AD9)</f>
        <v>193174.79999999996</v>
      </c>
      <c r="AF9" s="20">
        <f t="shared" ref="AF9:AF60" si="23">AA9+AE9</f>
        <v>483322.69999999995</v>
      </c>
      <c r="AG9" s="148">
        <f t="shared" ref="AG9:AG60" si="24">SUMPRODUCT(X9:AD9,D$4:J$4)</f>
        <v>38055028879.349991</v>
      </c>
    </row>
    <row r="10" spans="1:33" x14ac:dyDescent="0.25">
      <c r="A10">
        <f t="shared" ref="A10:B25" si="25">A9+1</f>
        <v>3</v>
      </c>
      <c r="B10">
        <f t="shared" si="25"/>
        <v>2020</v>
      </c>
      <c r="C10" s="18">
        <f>C9*(1+City!$B$8)</f>
        <v>3523369.4999999991</v>
      </c>
      <c r="D10" s="18">
        <f t="shared" si="1"/>
        <v>149083.85974999997</v>
      </c>
      <c r="E10" s="18">
        <f t="shared" si="0"/>
        <v>68025.756749999971</v>
      </c>
      <c r="F10" s="18">
        <f t="shared" si="0"/>
        <v>77390.501999999979</v>
      </c>
      <c r="G10" s="18">
        <f t="shared" si="2"/>
        <v>294500.11849999992</v>
      </c>
      <c r="H10" s="18">
        <f t="shared" si="0"/>
        <v>15525.490749999997</v>
      </c>
      <c r="I10" s="18">
        <f t="shared" si="0"/>
        <v>2091.3567499999995</v>
      </c>
      <c r="J10" s="18">
        <f t="shared" si="0"/>
        <v>178455.57449999993</v>
      </c>
      <c r="K10" s="18">
        <f t="shared" si="3"/>
        <v>196072.42199999993</v>
      </c>
      <c r="L10" s="18">
        <f t="shared" si="4"/>
        <v>490572.54049999989</v>
      </c>
      <c r="M10" s="148">
        <f t="shared" si="5"/>
        <v>38625854312.540237</v>
      </c>
      <c r="N10" s="14">
        <f>'Fleet Types'!F17</f>
        <v>0</v>
      </c>
      <c r="O10" s="20">
        <f t="shared" si="6"/>
        <v>0</v>
      </c>
      <c r="P10" s="20">
        <f t="shared" si="7"/>
        <v>0</v>
      </c>
      <c r="Q10" s="20">
        <f t="shared" si="8"/>
        <v>0</v>
      </c>
      <c r="R10" s="20">
        <f t="shared" si="9"/>
        <v>0</v>
      </c>
      <c r="S10" s="20">
        <f t="shared" si="10"/>
        <v>0</v>
      </c>
      <c r="T10" s="20">
        <f t="shared" si="11"/>
        <v>0</v>
      </c>
      <c r="U10" s="20">
        <f t="shared" si="12"/>
        <v>0</v>
      </c>
      <c r="V10" s="20">
        <f t="shared" si="13"/>
        <v>0</v>
      </c>
      <c r="W10" s="20">
        <f t="shared" si="14"/>
        <v>0</v>
      </c>
      <c r="X10" s="20">
        <f t="shared" si="15"/>
        <v>149083.85974999997</v>
      </c>
      <c r="Y10" s="20">
        <f t="shared" si="16"/>
        <v>68025.756749999971</v>
      </c>
      <c r="Z10" s="20">
        <f t="shared" si="17"/>
        <v>77390.501999999979</v>
      </c>
      <c r="AA10" s="20">
        <f t="shared" si="18"/>
        <v>294500.11849999992</v>
      </c>
      <c r="AB10" s="20">
        <f t="shared" si="19"/>
        <v>15525.490749999997</v>
      </c>
      <c r="AC10" s="20">
        <f t="shared" si="20"/>
        <v>2091.3567499999995</v>
      </c>
      <c r="AD10" s="20">
        <f t="shared" si="21"/>
        <v>178455.57449999993</v>
      </c>
      <c r="AE10" s="20">
        <f t="shared" si="22"/>
        <v>196072.42199999993</v>
      </c>
      <c r="AF10" s="20">
        <f t="shared" si="23"/>
        <v>490572.54049999989</v>
      </c>
      <c r="AG10" s="148">
        <f t="shared" si="24"/>
        <v>38625854312.540237</v>
      </c>
    </row>
    <row r="11" spans="1:33" x14ac:dyDescent="0.25">
      <c r="A11">
        <f t="shared" si="25"/>
        <v>4</v>
      </c>
      <c r="B11">
        <f t="shared" si="25"/>
        <v>2021</v>
      </c>
      <c r="C11" s="18">
        <f>C10*(1+City!$B$8)</f>
        <v>3576220.0424999986</v>
      </c>
      <c r="D11" s="18">
        <f t="shared" si="1"/>
        <v>151320.11764624994</v>
      </c>
      <c r="E11" s="18">
        <f t="shared" si="0"/>
        <v>69046.143101249967</v>
      </c>
      <c r="F11" s="18">
        <f t="shared" si="0"/>
        <v>78551.359529999958</v>
      </c>
      <c r="G11" s="18">
        <f t="shared" si="2"/>
        <v>298917.6202774999</v>
      </c>
      <c r="H11" s="18">
        <f t="shared" si="0"/>
        <v>15758.373111249995</v>
      </c>
      <c r="I11" s="18">
        <f t="shared" si="0"/>
        <v>2122.7271012499991</v>
      </c>
      <c r="J11" s="18">
        <f t="shared" si="0"/>
        <v>181132.40811749993</v>
      </c>
      <c r="K11" s="18">
        <f t="shared" si="3"/>
        <v>199013.50832999992</v>
      </c>
      <c r="L11" s="18">
        <f t="shared" si="4"/>
        <v>497931.12860749982</v>
      </c>
      <c r="M11" s="148">
        <f t="shared" si="5"/>
        <v>39205242127.22834</v>
      </c>
      <c r="N11" s="14">
        <f>'Fleet Types'!F18</f>
        <v>0</v>
      </c>
      <c r="O11" s="20">
        <f t="shared" si="6"/>
        <v>0</v>
      </c>
      <c r="P11" s="20">
        <f t="shared" si="7"/>
        <v>0</v>
      </c>
      <c r="Q11" s="20">
        <f t="shared" si="8"/>
        <v>0</v>
      </c>
      <c r="R11" s="20">
        <f t="shared" si="9"/>
        <v>0</v>
      </c>
      <c r="S11" s="20">
        <f t="shared" si="10"/>
        <v>0</v>
      </c>
      <c r="T11" s="20">
        <f t="shared" si="11"/>
        <v>0</v>
      </c>
      <c r="U11" s="20">
        <f t="shared" si="12"/>
        <v>0</v>
      </c>
      <c r="V11" s="20">
        <f t="shared" si="13"/>
        <v>0</v>
      </c>
      <c r="W11" s="20">
        <f t="shared" si="14"/>
        <v>0</v>
      </c>
      <c r="X11" s="20">
        <f t="shared" si="15"/>
        <v>151320.11764624994</v>
      </c>
      <c r="Y11" s="20">
        <f t="shared" si="16"/>
        <v>69046.143101249967</v>
      </c>
      <c r="Z11" s="20">
        <f t="shared" si="17"/>
        <v>78551.359529999958</v>
      </c>
      <c r="AA11" s="20">
        <f t="shared" si="18"/>
        <v>298917.6202774999</v>
      </c>
      <c r="AB11" s="20">
        <f t="shared" si="19"/>
        <v>15758.373111249995</v>
      </c>
      <c r="AC11" s="20">
        <f t="shared" si="20"/>
        <v>2122.7271012499991</v>
      </c>
      <c r="AD11" s="20">
        <f t="shared" si="21"/>
        <v>181132.40811749993</v>
      </c>
      <c r="AE11" s="20">
        <f t="shared" si="22"/>
        <v>199013.50832999992</v>
      </c>
      <c r="AF11" s="20">
        <f t="shared" si="23"/>
        <v>497931.12860749982</v>
      </c>
      <c r="AG11" s="148">
        <f t="shared" si="24"/>
        <v>39205242127.22834</v>
      </c>
    </row>
    <row r="12" spans="1:33" x14ac:dyDescent="0.25">
      <c r="A12">
        <f t="shared" si="25"/>
        <v>5</v>
      </c>
      <c r="B12">
        <f t="shared" si="25"/>
        <v>2022</v>
      </c>
      <c r="C12" s="18">
        <f>C11*(1+City!$B$8)</f>
        <v>3629863.343137498</v>
      </c>
      <c r="D12" s="18">
        <f t="shared" si="1"/>
        <v>153589.91941094366</v>
      </c>
      <c r="E12" s="18">
        <f t="shared" si="0"/>
        <v>70081.8352477687</v>
      </c>
      <c r="F12" s="18">
        <f t="shared" si="0"/>
        <v>79729.629922949956</v>
      </c>
      <c r="G12" s="18">
        <f t="shared" si="2"/>
        <v>303401.38458166231</v>
      </c>
      <c r="H12" s="18">
        <f t="shared" si="0"/>
        <v>15994.748707918743</v>
      </c>
      <c r="I12" s="18">
        <f t="shared" si="0"/>
        <v>2154.5680077687489</v>
      </c>
      <c r="J12" s="18">
        <f t="shared" si="0"/>
        <v>183849.39423926239</v>
      </c>
      <c r="K12" s="18">
        <f t="shared" si="3"/>
        <v>201998.71095494987</v>
      </c>
      <c r="L12" s="18">
        <f t="shared" si="4"/>
        <v>505400.09553661221</v>
      </c>
      <c r="M12" s="148">
        <f t="shared" si="5"/>
        <v>39793320759.136749</v>
      </c>
      <c r="N12" s="14">
        <f>'Fleet Types'!F19</f>
        <v>0</v>
      </c>
      <c r="O12" s="20">
        <f t="shared" si="6"/>
        <v>0</v>
      </c>
      <c r="P12" s="20">
        <f t="shared" si="7"/>
        <v>0</v>
      </c>
      <c r="Q12" s="20">
        <f t="shared" si="8"/>
        <v>0</v>
      </c>
      <c r="R12" s="20">
        <f t="shared" si="9"/>
        <v>0</v>
      </c>
      <c r="S12" s="20">
        <f t="shared" si="10"/>
        <v>0</v>
      </c>
      <c r="T12" s="20">
        <f t="shared" si="11"/>
        <v>0</v>
      </c>
      <c r="U12" s="20">
        <f t="shared" si="12"/>
        <v>0</v>
      </c>
      <c r="V12" s="20">
        <f t="shared" si="13"/>
        <v>0</v>
      </c>
      <c r="W12" s="20">
        <f t="shared" si="14"/>
        <v>0</v>
      </c>
      <c r="X12" s="20">
        <f t="shared" si="15"/>
        <v>153589.91941094366</v>
      </c>
      <c r="Y12" s="20">
        <f t="shared" si="16"/>
        <v>70081.8352477687</v>
      </c>
      <c r="Z12" s="20">
        <f t="shared" si="17"/>
        <v>79729.629922949956</v>
      </c>
      <c r="AA12" s="20">
        <f t="shared" si="18"/>
        <v>303401.38458166231</v>
      </c>
      <c r="AB12" s="20">
        <f t="shared" si="19"/>
        <v>15994.748707918743</v>
      </c>
      <c r="AC12" s="20">
        <f t="shared" si="20"/>
        <v>2154.5680077687489</v>
      </c>
      <c r="AD12" s="20">
        <f t="shared" si="21"/>
        <v>183849.39423926239</v>
      </c>
      <c r="AE12" s="20">
        <f t="shared" si="22"/>
        <v>201998.71095494987</v>
      </c>
      <c r="AF12" s="20">
        <f t="shared" si="23"/>
        <v>505400.09553661221</v>
      </c>
      <c r="AG12" s="148">
        <f t="shared" si="24"/>
        <v>39793320759.136749</v>
      </c>
    </row>
    <row r="13" spans="1:33" x14ac:dyDescent="0.25">
      <c r="A13">
        <f t="shared" si="25"/>
        <v>6</v>
      </c>
      <c r="B13">
        <f t="shared" si="25"/>
        <v>2023</v>
      </c>
      <c r="C13" s="18">
        <f>C12*(1+City!$B$8)</f>
        <v>3684311.2932845601</v>
      </c>
      <c r="D13" s="18">
        <f t="shared" si="1"/>
        <v>155893.76820210781</v>
      </c>
      <c r="E13" s="18">
        <f t="shared" si="0"/>
        <v>71133.062776485225</v>
      </c>
      <c r="F13" s="18">
        <f t="shared" si="0"/>
        <v>80925.574371794195</v>
      </c>
      <c r="G13" s="18">
        <f t="shared" si="2"/>
        <v>307952.40535038721</v>
      </c>
      <c r="H13" s="18">
        <f t="shared" si="0"/>
        <v>16234.669938537521</v>
      </c>
      <c r="I13" s="18">
        <f t="shared" si="0"/>
        <v>2186.88652788528</v>
      </c>
      <c r="J13" s="18">
        <f t="shared" si="0"/>
        <v>186607.13515285132</v>
      </c>
      <c r="K13" s="18">
        <f t="shared" si="3"/>
        <v>205028.69161927412</v>
      </c>
      <c r="L13" s="18">
        <f t="shared" si="4"/>
        <v>512981.0969696613</v>
      </c>
      <c r="M13" s="148">
        <f t="shared" si="5"/>
        <v>40390220570.523804</v>
      </c>
      <c r="N13" s="14">
        <f>'Fleet Types'!F20</f>
        <v>0</v>
      </c>
      <c r="O13" s="20">
        <f t="shared" si="6"/>
        <v>0</v>
      </c>
      <c r="P13" s="20">
        <f t="shared" si="7"/>
        <v>0</v>
      </c>
      <c r="Q13" s="20">
        <f t="shared" si="8"/>
        <v>0</v>
      </c>
      <c r="R13" s="20">
        <f t="shared" si="9"/>
        <v>0</v>
      </c>
      <c r="S13" s="20">
        <f t="shared" si="10"/>
        <v>0</v>
      </c>
      <c r="T13" s="20">
        <f t="shared" si="11"/>
        <v>0</v>
      </c>
      <c r="U13" s="20">
        <f t="shared" si="12"/>
        <v>0</v>
      </c>
      <c r="V13" s="20">
        <f t="shared" si="13"/>
        <v>0</v>
      </c>
      <c r="W13" s="20">
        <f t="shared" si="14"/>
        <v>0</v>
      </c>
      <c r="X13" s="20">
        <f t="shared" si="15"/>
        <v>155893.76820210781</v>
      </c>
      <c r="Y13" s="20">
        <f t="shared" si="16"/>
        <v>71133.062776485225</v>
      </c>
      <c r="Z13" s="20">
        <f t="shared" si="17"/>
        <v>80925.574371794195</v>
      </c>
      <c r="AA13" s="20">
        <f t="shared" si="18"/>
        <v>307952.40535038721</v>
      </c>
      <c r="AB13" s="20">
        <f t="shared" si="19"/>
        <v>16234.669938537521</v>
      </c>
      <c r="AC13" s="20">
        <f t="shared" si="20"/>
        <v>2186.88652788528</v>
      </c>
      <c r="AD13" s="20">
        <f t="shared" si="21"/>
        <v>186607.13515285132</v>
      </c>
      <c r="AE13" s="20">
        <f t="shared" si="22"/>
        <v>205028.69161927412</v>
      </c>
      <c r="AF13" s="20">
        <f t="shared" si="23"/>
        <v>512981.0969696613</v>
      </c>
      <c r="AG13" s="148">
        <f t="shared" si="24"/>
        <v>40390220570.523804</v>
      </c>
    </row>
    <row r="14" spans="1:33" x14ac:dyDescent="0.25">
      <c r="A14">
        <f t="shared" si="25"/>
        <v>7</v>
      </c>
      <c r="B14">
        <f t="shared" si="25"/>
        <v>2024</v>
      </c>
      <c r="C14" s="18">
        <f>C13*(1+City!$B$8)</f>
        <v>3739575.9626838281</v>
      </c>
      <c r="D14" s="18">
        <f t="shared" si="1"/>
        <v>158232.1747251394</v>
      </c>
      <c r="E14" s="18">
        <f t="shared" si="0"/>
        <v>72200.058718132495</v>
      </c>
      <c r="F14" s="18">
        <f t="shared" si="0"/>
        <v>82139.45798737109</v>
      </c>
      <c r="G14" s="18">
        <f t="shared" si="2"/>
        <v>312571.69143064297</v>
      </c>
      <c r="H14" s="18">
        <f t="shared" si="0"/>
        <v>16478.189987615584</v>
      </c>
      <c r="I14" s="18">
        <f t="shared" si="0"/>
        <v>2219.689825803559</v>
      </c>
      <c r="J14" s="18">
        <f t="shared" si="0"/>
        <v>189406.24218014407</v>
      </c>
      <c r="K14" s="18">
        <f t="shared" si="3"/>
        <v>208104.1219935632</v>
      </c>
      <c r="L14" s="18">
        <f t="shared" si="4"/>
        <v>520675.81342420616</v>
      </c>
      <c r="M14" s="148">
        <f t="shared" si="5"/>
        <v>40996073879.08165</v>
      </c>
      <c r="N14" s="14">
        <f>'Fleet Types'!F21</f>
        <v>0</v>
      </c>
      <c r="O14" s="20">
        <f t="shared" si="6"/>
        <v>0</v>
      </c>
      <c r="P14" s="20">
        <f t="shared" si="7"/>
        <v>0</v>
      </c>
      <c r="Q14" s="20">
        <f t="shared" si="8"/>
        <v>0</v>
      </c>
      <c r="R14" s="20">
        <f t="shared" si="9"/>
        <v>0</v>
      </c>
      <c r="S14" s="20">
        <f t="shared" si="10"/>
        <v>0</v>
      </c>
      <c r="T14" s="20">
        <f t="shared" si="11"/>
        <v>0</v>
      </c>
      <c r="U14" s="20">
        <f t="shared" si="12"/>
        <v>0</v>
      </c>
      <c r="V14" s="20">
        <f t="shared" si="13"/>
        <v>0</v>
      </c>
      <c r="W14" s="20">
        <f t="shared" si="14"/>
        <v>0</v>
      </c>
      <c r="X14" s="20">
        <f t="shared" si="15"/>
        <v>158232.1747251394</v>
      </c>
      <c r="Y14" s="20">
        <f t="shared" si="16"/>
        <v>72200.058718132495</v>
      </c>
      <c r="Z14" s="20">
        <f t="shared" si="17"/>
        <v>82139.45798737109</v>
      </c>
      <c r="AA14" s="20">
        <f t="shared" si="18"/>
        <v>312571.69143064297</v>
      </c>
      <c r="AB14" s="20">
        <f t="shared" si="19"/>
        <v>16478.189987615584</v>
      </c>
      <c r="AC14" s="20">
        <f t="shared" si="20"/>
        <v>2219.689825803559</v>
      </c>
      <c r="AD14" s="20">
        <f t="shared" si="21"/>
        <v>189406.24218014407</v>
      </c>
      <c r="AE14" s="20">
        <f t="shared" si="22"/>
        <v>208104.1219935632</v>
      </c>
      <c r="AF14" s="20">
        <f t="shared" si="23"/>
        <v>520675.81342420616</v>
      </c>
      <c r="AG14" s="148">
        <f t="shared" si="24"/>
        <v>40996073879.08165</v>
      </c>
    </row>
    <row r="15" spans="1:33" x14ac:dyDescent="0.25">
      <c r="A15">
        <f t="shared" si="25"/>
        <v>8</v>
      </c>
      <c r="B15">
        <f t="shared" si="25"/>
        <v>2025</v>
      </c>
      <c r="C15" s="18">
        <f>C14*(1+City!$B$8)</f>
        <v>3795669.6021240852</v>
      </c>
      <c r="D15" s="18">
        <f t="shared" si="1"/>
        <v>160605.65734601649</v>
      </c>
      <c r="E15" s="18">
        <f t="shared" si="0"/>
        <v>73283.059598904481</v>
      </c>
      <c r="F15" s="18">
        <f t="shared" si="0"/>
        <v>83371.549857181657</v>
      </c>
      <c r="G15" s="18">
        <f t="shared" si="2"/>
        <v>317260.26680210262</v>
      </c>
      <c r="H15" s="18">
        <f t="shared" si="0"/>
        <v>16725.362837429817</v>
      </c>
      <c r="I15" s="18">
        <f t="shared" si="0"/>
        <v>2252.9851731906119</v>
      </c>
      <c r="J15" s="18">
        <f t="shared" si="0"/>
        <v>192247.3358128462</v>
      </c>
      <c r="K15" s="18">
        <f t="shared" si="3"/>
        <v>211225.68382346662</v>
      </c>
      <c r="L15" s="18">
        <f t="shared" si="4"/>
        <v>528485.95062556921</v>
      </c>
      <c r="M15" s="148">
        <f t="shared" si="5"/>
        <v>41611014987.267868</v>
      </c>
      <c r="N15" s="14">
        <f>'Fleet Types'!F22</f>
        <v>0</v>
      </c>
      <c r="O15" s="20">
        <f t="shared" si="6"/>
        <v>0</v>
      </c>
      <c r="P15" s="20">
        <f t="shared" si="7"/>
        <v>0</v>
      </c>
      <c r="Q15" s="20">
        <f t="shared" si="8"/>
        <v>0</v>
      </c>
      <c r="R15" s="20">
        <f t="shared" si="9"/>
        <v>0</v>
      </c>
      <c r="S15" s="20">
        <f t="shared" si="10"/>
        <v>0</v>
      </c>
      <c r="T15" s="20">
        <f t="shared" si="11"/>
        <v>0</v>
      </c>
      <c r="U15" s="20">
        <f t="shared" si="12"/>
        <v>0</v>
      </c>
      <c r="V15" s="20">
        <f t="shared" si="13"/>
        <v>0</v>
      </c>
      <c r="W15" s="20">
        <f t="shared" si="14"/>
        <v>0</v>
      </c>
      <c r="X15" s="20">
        <f t="shared" si="15"/>
        <v>160605.65734601649</v>
      </c>
      <c r="Y15" s="20">
        <f t="shared" si="16"/>
        <v>73283.059598904481</v>
      </c>
      <c r="Z15" s="20">
        <f t="shared" si="17"/>
        <v>83371.549857181657</v>
      </c>
      <c r="AA15" s="20">
        <f t="shared" si="18"/>
        <v>317260.26680210262</v>
      </c>
      <c r="AB15" s="20">
        <f t="shared" si="19"/>
        <v>16725.362837429817</v>
      </c>
      <c r="AC15" s="20">
        <f t="shared" si="20"/>
        <v>2252.9851731906119</v>
      </c>
      <c r="AD15" s="20">
        <f t="shared" si="21"/>
        <v>192247.3358128462</v>
      </c>
      <c r="AE15" s="20">
        <f t="shared" si="22"/>
        <v>211225.68382346662</v>
      </c>
      <c r="AF15" s="20">
        <f t="shared" si="23"/>
        <v>528485.95062556921</v>
      </c>
      <c r="AG15" s="148">
        <f t="shared" si="24"/>
        <v>41611014987.267868</v>
      </c>
    </row>
    <row r="16" spans="1:33" x14ac:dyDescent="0.25">
      <c r="A16">
        <f t="shared" si="25"/>
        <v>9</v>
      </c>
      <c r="B16">
        <f t="shared" si="25"/>
        <v>2026</v>
      </c>
      <c r="C16" s="18">
        <f>C15*(1+City!$B$8)</f>
        <v>3852604.646155946</v>
      </c>
      <c r="D16" s="18">
        <f t="shared" si="1"/>
        <v>163014.74220620672</v>
      </c>
      <c r="E16" s="18">
        <f t="shared" si="0"/>
        <v>74382.305492888045</v>
      </c>
      <c r="F16" s="18">
        <f t="shared" si="0"/>
        <v>84622.123105039369</v>
      </c>
      <c r="G16" s="18">
        <f t="shared" si="2"/>
        <v>322019.1708041341</v>
      </c>
      <c r="H16" s="18">
        <f t="shared" si="0"/>
        <v>16976.24327999126</v>
      </c>
      <c r="I16" s="18">
        <f t="shared" si="0"/>
        <v>2286.7799507884711</v>
      </c>
      <c r="J16" s="18">
        <f t="shared" si="0"/>
        <v>195131.04585003888</v>
      </c>
      <c r="K16" s="18">
        <f t="shared" si="3"/>
        <v>214394.06908081862</v>
      </c>
      <c r="L16" s="18">
        <f t="shared" si="4"/>
        <v>536413.23988495278</v>
      </c>
      <c r="M16" s="148">
        <f t="shared" si="5"/>
        <v>42235180212.076889</v>
      </c>
      <c r="N16" s="14">
        <f>'Fleet Types'!F23</f>
        <v>6.7453356959466578E-3</v>
      </c>
      <c r="O16" s="20">
        <f t="shared" si="6"/>
        <v>402.71664617511613</v>
      </c>
      <c r="P16" s="20">
        <f t="shared" si="7"/>
        <v>214.93316956375278</v>
      </c>
      <c r="Q16" s="20">
        <f t="shared" si="8"/>
        <v>237.55411440541621</v>
      </c>
      <c r="R16" s="20">
        <f t="shared" si="9"/>
        <v>855.2039301442851</v>
      </c>
      <c r="S16" s="20">
        <f t="shared" si="10"/>
        <v>162.52109996562896</v>
      </c>
      <c r="T16" s="20">
        <f t="shared" si="11"/>
        <v>21.892357858674643</v>
      </c>
      <c r="U16" s="20">
        <f t="shared" si="12"/>
        <v>1868.0759745219807</v>
      </c>
      <c r="V16" s="20">
        <f t="shared" si="13"/>
        <v>2052.4894323462845</v>
      </c>
      <c r="W16" s="20">
        <f t="shared" si="14"/>
        <v>1197.2855022019994</v>
      </c>
      <c r="X16" s="20">
        <f t="shared" si="15"/>
        <v>162612.02556003162</v>
      </c>
      <c r="Y16" s="20">
        <f t="shared" si="16"/>
        <v>74167.372323324293</v>
      </c>
      <c r="Z16" s="20">
        <f t="shared" si="17"/>
        <v>84384.568990633954</v>
      </c>
      <c r="AA16" s="20">
        <f t="shared" si="18"/>
        <v>321163.96687398985</v>
      </c>
      <c r="AB16" s="20">
        <f t="shared" si="19"/>
        <v>17138.76437995689</v>
      </c>
      <c r="AC16" s="20">
        <f t="shared" si="20"/>
        <v>2308.6723086471457</v>
      </c>
      <c r="AD16" s="20">
        <f t="shared" si="21"/>
        <v>196999.12182456086</v>
      </c>
      <c r="AE16" s="20">
        <f t="shared" si="22"/>
        <v>216446.5585131649</v>
      </c>
      <c r="AF16" s="20">
        <f t="shared" si="23"/>
        <v>537610.52538715478</v>
      </c>
      <c r="AG16" s="148">
        <f t="shared" si="24"/>
        <v>42388509189.974571</v>
      </c>
    </row>
    <row r="17" spans="1:33" x14ac:dyDescent="0.25">
      <c r="A17">
        <f t="shared" si="25"/>
        <v>10</v>
      </c>
      <c r="B17">
        <f t="shared" si="25"/>
        <v>2027</v>
      </c>
      <c r="C17" s="18">
        <f>C16*(1+City!$B$8)</f>
        <v>3910393.7158482848</v>
      </c>
      <c r="D17" s="18">
        <f t="shared" si="1"/>
        <v>165459.96333929981</v>
      </c>
      <c r="E17" s="18">
        <f t="shared" si="0"/>
        <v>75498.040075281358</v>
      </c>
      <c r="F17" s="18">
        <f t="shared" si="0"/>
        <v>85891.454951614956</v>
      </c>
      <c r="G17" s="18">
        <f t="shared" si="2"/>
        <v>326849.45836619614</v>
      </c>
      <c r="H17" s="18">
        <f t="shared" si="0"/>
        <v>17230.886929191129</v>
      </c>
      <c r="I17" s="18">
        <f t="shared" si="0"/>
        <v>2321.0816500502979</v>
      </c>
      <c r="J17" s="18">
        <f t="shared" si="0"/>
        <v>198058.01153778943</v>
      </c>
      <c r="K17" s="18">
        <f t="shared" si="3"/>
        <v>217609.98011703085</v>
      </c>
      <c r="L17" s="18">
        <f t="shared" si="4"/>
        <v>544459.43848322704</v>
      </c>
      <c r="M17" s="148">
        <f t="shared" si="5"/>
        <v>42868707915.258041</v>
      </c>
      <c r="N17" s="14">
        <f>'Fleet Types'!F24</f>
        <v>1.6642524263412124E-2</v>
      </c>
      <c r="O17" s="20">
        <f t="shared" si="6"/>
        <v>1008.5124277307519</v>
      </c>
      <c r="P17" s="20">
        <f t="shared" si="7"/>
        <v>538.25133551184069</v>
      </c>
      <c r="Q17" s="20">
        <f t="shared" si="8"/>
        <v>594.90035714157796</v>
      </c>
      <c r="R17" s="20">
        <f t="shared" si="9"/>
        <v>2141.6641203841705</v>
      </c>
      <c r="S17" s="20">
        <f t="shared" si="10"/>
        <v>406.9972042142428</v>
      </c>
      <c r="T17" s="20">
        <f t="shared" si="11"/>
        <v>54.824440912734758</v>
      </c>
      <c r="U17" s="20">
        <f t="shared" si="12"/>
        <v>4678.172243795032</v>
      </c>
      <c r="V17" s="20">
        <f t="shared" si="13"/>
        <v>5139.9938889220093</v>
      </c>
      <c r="W17" s="20">
        <f t="shared" si="14"/>
        <v>2998.3297685378388</v>
      </c>
      <c r="X17" s="20">
        <f t="shared" si="15"/>
        <v>164451.45091156906</v>
      </c>
      <c r="Y17" s="20">
        <f t="shared" si="16"/>
        <v>74959.788739769516</v>
      </c>
      <c r="Z17" s="20">
        <f t="shared" si="17"/>
        <v>85296.554594473375</v>
      </c>
      <c r="AA17" s="20">
        <f t="shared" si="18"/>
        <v>324707.79424581194</v>
      </c>
      <c r="AB17" s="20">
        <f t="shared" si="19"/>
        <v>17637.884133405372</v>
      </c>
      <c r="AC17" s="20">
        <f t="shared" si="20"/>
        <v>2375.9060909630325</v>
      </c>
      <c r="AD17" s="20">
        <f t="shared" si="21"/>
        <v>202736.18378158446</v>
      </c>
      <c r="AE17" s="20">
        <f t="shared" si="22"/>
        <v>222749.97400595286</v>
      </c>
      <c r="AF17" s="20">
        <f t="shared" si="23"/>
        <v>547457.76825176482</v>
      </c>
      <c r="AG17" s="148">
        <f t="shared" si="24"/>
        <v>43252685536.272049</v>
      </c>
    </row>
    <row r="18" spans="1:33" x14ac:dyDescent="0.25">
      <c r="A18">
        <f t="shared" si="25"/>
        <v>11</v>
      </c>
      <c r="B18">
        <f t="shared" si="25"/>
        <v>2028</v>
      </c>
      <c r="C18" s="18">
        <f>C17*(1+City!$B$8)</f>
        <v>3969049.6215860085</v>
      </c>
      <c r="D18" s="18">
        <f t="shared" si="1"/>
        <v>167941.86278938927</v>
      </c>
      <c r="E18" s="18">
        <f t="shared" si="0"/>
        <v>76630.510676410559</v>
      </c>
      <c r="F18" s="18">
        <f t="shared" si="0"/>
        <v>87179.82677588916</v>
      </c>
      <c r="G18" s="18">
        <f t="shared" si="2"/>
        <v>331752.20024168899</v>
      </c>
      <c r="H18" s="18">
        <f t="shared" si="0"/>
        <v>17489.350233128993</v>
      </c>
      <c r="I18" s="18">
        <f t="shared" si="0"/>
        <v>2355.8978748010518</v>
      </c>
      <c r="J18" s="18">
        <f t="shared" si="0"/>
        <v>201028.88171085625</v>
      </c>
      <c r="K18" s="18">
        <f t="shared" si="3"/>
        <v>220874.12981878628</v>
      </c>
      <c r="L18" s="18">
        <f t="shared" si="4"/>
        <v>552626.33006047527</v>
      </c>
      <c r="M18" s="148">
        <f t="shared" si="5"/>
        <v>43511738533.9869</v>
      </c>
      <c r="N18" s="14">
        <f>'Fleet Types'!F25</f>
        <v>2.7686050788352977E-2</v>
      </c>
      <c r="O18" s="20">
        <f t="shared" si="6"/>
        <v>1702.899857058753</v>
      </c>
      <c r="P18" s="20">
        <f t="shared" si="7"/>
        <v>908.85158883684369</v>
      </c>
      <c r="Q18" s="20">
        <f t="shared" si="8"/>
        <v>1004.5049572865108</v>
      </c>
      <c r="R18" s="20">
        <f t="shared" si="9"/>
        <v>3616.2564031821075</v>
      </c>
      <c r="S18" s="20">
        <f t="shared" si="10"/>
        <v>687.22552327811297</v>
      </c>
      <c r="T18" s="20">
        <f t="shared" si="11"/>
        <v>92.572515743501626</v>
      </c>
      <c r="U18" s="20">
        <f t="shared" si="12"/>
        <v>7899.217328615443</v>
      </c>
      <c r="V18" s="20">
        <f t="shared" si="13"/>
        <v>8679.0153676370574</v>
      </c>
      <c r="W18" s="20">
        <f t="shared" si="14"/>
        <v>5062.7589644549498</v>
      </c>
      <c r="X18" s="20">
        <f t="shared" si="15"/>
        <v>166238.96293233053</v>
      </c>
      <c r="Y18" s="20">
        <f t="shared" si="16"/>
        <v>75721.659087573717</v>
      </c>
      <c r="Z18" s="20">
        <f t="shared" si="17"/>
        <v>86175.32181860265</v>
      </c>
      <c r="AA18" s="20">
        <f t="shared" si="18"/>
        <v>328135.94383850694</v>
      </c>
      <c r="AB18" s="20">
        <f t="shared" si="19"/>
        <v>18176.575756407106</v>
      </c>
      <c r="AC18" s="20">
        <f t="shared" si="20"/>
        <v>2448.4703905445535</v>
      </c>
      <c r="AD18" s="20">
        <f t="shared" si="21"/>
        <v>208928.09903947171</v>
      </c>
      <c r="AE18" s="20">
        <f t="shared" si="22"/>
        <v>229553.14518642338</v>
      </c>
      <c r="AF18" s="20">
        <f t="shared" si="23"/>
        <v>557689.08902493026</v>
      </c>
      <c r="AG18" s="148">
        <f t="shared" si="24"/>
        <v>44160094883.357635</v>
      </c>
    </row>
    <row r="19" spans="1:33" x14ac:dyDescent="0.25">
      <c r="A19">
        <f t="shared" si="25"/>
        <v>12</v>
      </c>
      <c r="B19">
        <f t="shared" si="25"/>
        <v>2029</v>
      </c>
      <c r="C19" s="18">
        <f>C18*(1+City!$B$8)</f>
        <v>4028585.3659097981</v>
      </c>
      <c r="D19" s="18">
        <f t="shared" si="1"/>
        <v>170460.99073123009</v>
      </c>
      <c r="E19" s="18">
        <f t="shared" si="0"/>
        <v>77779.968336556703</v>
      </c>
      <c r="F19" s="18">
        <f t="shared" si="0"/>
        <v>88487.524177527492</v>
      </c>
      <c r="G19" s="18">
        <f t="shared" si="2"/>
        <v>336728.48324531433</v>
      </c>
      <c r="H19" s="18">
        <f t="shared" si="0"/>
        <v>17751.690486625925</v>
      </c>
      <c r="I19" s="18">
        <f t="shared" si="0"/>
        <v>2391.2363429230672</v>
      </c>
      <c r="J19" s="18">
        <f t="shared" si="0"/>
        <v>204044.31493651905</v>
      </c>
      <c r="K19" s="18">
        <f t="shared" si="3"/>
        <v>224187.24176606804</v>
      </c>
      <c r="L19" s="18">
        <f t="shared" si="4"/>
        <v>560915.72501138237</v>
      </c>
      <c r="M19" s="148">
        <f t="shared" si="5"/>
        <v>44164414611.996696</v>
      </c>
      <c r="N19" s="14">
        <f>'Fleet Types'!F26</f>
        <v>4.0012853182000443E-2</v>
      </c>
      <c r="O19" s="20">
        <f t="shared" si="6"/>
        <v>2498.0070549714474</v>
      </c>
      <c r="P19" s="20">
        <f t="shared" si="7"/>
        <v>1333.2068068628155</v>
      </c>
      <c r="Q19" s="20">
        <f t="shared" si="8"/>
        <v>1473.522039275691</v>
      </c>
      <c r="R19" s="20">
        <f t="shared" si="9"/>
        <v>5304.7359011099543</v>
      </c>
      <c r="S19" s="20">
        <f t="shared" si="10"/>
        <v>1008.100504788487</v>
      </c>
      <c r="T19" s="20">
        <f t="shared" si="11"/>
        <v>135.79588750634562</v>
      </c>
      <c r="U19" s="20">
        <f t="shared" si="12"/>
        <v>11587.469770369058</v>
      </c>
      <c r="V19" s="20">
        <f t="shared" si="13"/>
        <v>12731.366162663891</v>
      </c>
      <c r="W19" s="20">
        <f t="shared" si="14"/>
        <v>7426.6302615539371</v>
      </c>
      <c r="X19" s="20">
        <f t="shared" si="15"/>
        <v>167962.98367625865</v>
      </c>
      <c r="Y19" s="20">
        <f t="shared" si="16"/>
        <v>76446.761529693889</v>
      </c>
      <c r="Z19" s="20">
        <f t="shared" si="17"/>
        <v>87014.002138251803</v>
      </c>
      <c r="AA19" s="20">
        <f t="shared" si="18"/>
        <v>331423.74734420434</v>
      </c>
      <c r="AB19" s="20">
        <f t="shared" si="19"/>
        <v>18759.790991414411</v>
      </c>
      <c r="AC19" s="20">
        <f t="shared" si="20"/>
        <v>2527.0322304294127</v>
      </c>
      <c r="AD19" s="20">
        <f t="shared" si="21"/>
        <v>215631.78470688811</v>
      </c>
      <c r="AE19" s="20">
        <f t="shared" si="22"/>
        <v>236918.60792873194</v>
      </c>
      <c r="AF19" s="20">
        <f t="shared" si="23"/>
        <v>568342.35527293629</v>
      </c>
      <c r="AG19" s="148">
        <f t="shared" si="24"/>
        <v>45115497394.786392</v>
      </c>
    </row>
    <row r="20" spans="1:33" x14ac:dyDescent="0.25">
      <c r="A20">
        <f t="shared" si="25"/>
        <v>13</v>
      </c>
      <c r="B20">
        <f t="shared" si="25"/>
        <v>2030</v>
      </c>
      <c r="C20" s="18">
        <f>C19*(1+City!$B$8)</f>
        <v>4089014.1463984447</v>
      </c>
      <c r="D20" s="18">
        <f t="shared" si="1"/>
        <v>173017.90559219851</v>
      </c>
      <c r="E20" s="18">
        <f t="shared" si="0"/>
        <v>78946.667861605049</v>
      </c>
      <c r="F20" s="18">
        <f t="shared" si="0"/>
        <v>89814.837040190396</v>
      </c>
      <c r="G20" s="18">
        <f t="shared" si="2"/>
        <v>341779.41049399396</v>
      </c>
      <c r="H20" s="18">
        <f t="shared" si="0"/>
        <v>18017.965843925311</v>
      </c>
      <c r="I20" s="18">
        <f t="shared" si="0"/>
        <v>2427.1048880669132</v>
      </c>
      <c r="J20" s="18">
        <f t="shared" si="0"/>
        <v>207104.97966056684</v>
      </c>
      <c r="K20" s="18">
        <f t="shared" si="3"/>
        <v>227550.05039255906</v>
      </c>
      <c r="L20" s="18">
        <f t="shared" si="4"/>
        <v>569329.46088655305</v>
      </c>
      <c r="M20" s="148">
        <f t="shared" si="5"/>
        <v>44826880831.176651</v>
      </c>
      <c r="N20" s="14">
        <f>'Fleet Types'!F27</f>
        <v>5.3773677228331485E-2</v>
      </c>
      <c r="O20" s="20">
        <f t="shared" si="6"/>
        <v>3407.4533461608803</v>
      </c>
      <c r="P20" s="20">
        <f t="shared" si="7"/>
        <v>1818.5857346271939</v>
      </c>
      <c r="Q20" s="20">
        <f t="shared" si="8"/>
        <v>2009.9853574789638</v>
      </c>
      <c r="R20" s="20">
        <f t="shared" si="9"/>
        <v>7236.024438267038</v>
      </c>
      <c r="S20" s="20">
        <f t="shared" si="10"/>
        <v>1375.1183894663843</v>
      </c>
      <c r="T20" s="20">
        <f t="shared" si="11"/>
        <v>185.2349257210856</v>
      </c>
      <c r="U20" s="20">
        <f t="shared" si="12"/>
        <v>15806.105336653422</v>
      </c>
      <c r="V20" s="20">
        <f t="shared" si="13"/>
        <v>17366.458651840891</v>
      </c>
      <c r="W20" s="20">
        <f t="shared" si="14"/>
        <v>10130.434213573852</v>
      </c>
      <c r="X20" s="20">
        <f t="shared" si="15"/>
        <v>169610.45224603763</v>
      </c>
      <c r="Y20" s="20">
        <f t="shared" si="16"/>
        <v>77128.082126977853</v>
      </c>
      <c r="Z20" s="20">
        <f t="shared" si="17"/>
        <v>87804.851682711436</v>
      </c>
      <c r="AA20" s="20">
        <f t="shared" si="18"/>
        <v>334543.38605572691</v>
      </c>
      <c r="AB20" s="20">
        <f t="shared" si="19"/>
        <v>19393.084233391695</v>
      </c>
      <c r="AC20" s="20">
        <f t="shared" si="20"/>
        <v>2612.339813787999</v>
      </c>
      <c r="AD20" s="20">
        <f t="shared" si="21"/>
        <v>222911.08499722026</v>
      </c>
      <c r="AE20" s="20">
        <f t="shared" si="22"/>
        <v>244916.50904439995</v>
      </c>
      <c r="AF20" s="20">
        <f t="shared" si="23"/>
        <v>579459.89510012686</v>
      </c>
      <c r="AG20" s="148">
        <f t="shared" si="24"/>
        <v>46124223128.206223</v>
      </c>
    </row>
    <row r="21" spans="1:33" x14ac:dyDescent="0.25">
      <c r="A21">
        <f t="shared" si="25"/>
        <v>14</v>
      </c>
      <c r="B21">
        <f t="shared" si="25"/>
        <v>2031</v>
      </c>
      <c r="C21" s="18">
        <f>C20*(1+City!$B$8)</f>
        <v>4150349.3585944208</v>
      </c>
      <c r="D21" s="18">
        <f t="shared" si="1"/>
        <v>175613.17417608149</v>
      </c>
      <c r="E21" s="18">
        <f t="shared" si="0"/>
        <v>80130.86787952912</v>
      </c>
      <c r="F21" s="18">
        <f t="shared" si="0"/>
        <v>91162.059595793238</v>
      </c>
      <c r="G21" s="18">
        <f t="shared" si="2"/>
        <v>346906.10165140388</v>
      </c>
      <c r="H21" s="18">
        <f t="shared" si="0"/>
        <v>18288.23533158419</v>
      </c>
      <c r="I21" s="18">
        <f t="shared" si="0"/>
        <v>2463.5114613879164</v>
      </c>
      <c r="J21" s="18">
        <f t="shared" si="0"/>
        <v>210211.55435547529</v>
      </c>
      <c r="K21" s="18">
        <f t="shared" si="3"/>
        <v>230963.30114844741</v>
      </c>
      <c r="L21" s="18">
        <f t="shared" si="4"/>
        <v>577869.40279985126</v>
      </c>
      <c r="M21" s="148">
        <f t="shared" si="5"/>
        <v>45499284043.644287</v>
      </c>
      <c r="N21" s="14">
        <f>'Fleet Types'!F28</f>
        <v>6.9037665700086098E-2</v>
      </c>
      <c r="O21" s="20">
        <f t="shared" si="6"/>
        <v>4440.3001000293825</v>
      </c>
      <c r="P21" s="20">
        <f t="shared" si="7"/>
        <v>2369.8244991307588</v>
      </c>
      <c r="Q21" s="20">
        <f t="shared" si="8"/>
        <v>2619.2400239102353</v>
      </c>
      <c r="R21" s="20">
        <f t="shared" si="9"/>
        <v>9429.3646230703762</v>
      </c>
      <c r="S21" s="20">
        <f t="shared" si="10"/>
        <v>1791.9360008785695</v>
      </c>
      <c r="T21" s="20">
        <f t="shared" si="11"/>
        <v>241.38222175072968</v>
      </c>
      <c r="U21" s="20">
        <f t="shared" si="12"/>
        <v>20597.156872739604</v>
      </c>
      <c r="V21" s="20">
        <f t="shared" si="13"/>
        <v>22630.475095368904</v>
      </c>
      <c r="W21" s="20">
        <f t="shared" si="14"/>
        <v>13201.110472298527</v>
      </c>
      <c r="X21" s="20">
        <f t="shared" si="15"/>
        <v>171172.8740760521</v>
      </c>
      <c r="Y21" s="20">
        <f t="shared" si="16"/>
        <v>77761.043380398361</v>
      </c>
      <c r="Z21" s="20">
        <f t="shared" si="17"/>
        <v>88542.81957188301</v>
      </c>
      <c r="AA21" s="20">
        <f t="shared" si="18"/>
        <v>337476.73702833347</v>
      </c>
      <c r="AB21" s="20">
        <f t="shared" si="19"/>
        <v>20080.17133246276</v>
      </c>
      <c r="AC21" s="20">
        <f t="shared" si="20"/>
        <v>2704.8936831386459</v>
      </c>
      <c r="AD21" s="20">
        <f t="shared" si="21"/>
        <v>230808.7112282149</v>
      </c>
      <c r="AE21" s="20">
        <f t="shared" si="22"/>
        <v>253593.7762438163</v>
      </c>
      <c r="AF21" s="20">
        <f t="shared" si="23"/>
        <v>591070.51327214972</v>
      </c>
      <c r="AG21" s="148">
        <f t="shared" si="24"/>
        <v>47189868930.965828</v>
      </c>
    </row>
    <row r="22" spans="1:33" x14ac:dyDescent="0.25">
      <c r="A22">
        <f t="shared" si="25"/>
        <v>15</v>
      </c>
      <c r="B22">
        <f t="shared" si="25"/>
        <v>2032</v>
      </c>
      <c r="C22" s="18">
        <f>C21*(1+City!$B$8)</f>
        <v>4212604.5989733366</v>
      </c>
      <c r="D22" s="18">
        <f t="shared" si="1"/>
        <v>178247.37178872267</v>
      </c>
      <c r="E22" s="18">
        <f t="shared" si="0"/>
        <v>81332.830897722044</v>
      </c>
      <c r="F22" s="18">
        <f t="shared" si="0"/>
        <v>92529.490489730131</v>
      </c>
      <c r="G22" s="18">
        <f t="shared" si="2"/>
        <v>352109.69317617483</v>
      </c>
      <c r="H22" s="18">
        <f t="shared" si="0"/>
        <v>18562.558861557951</v>
      </c>
      <c r="I22" s="18">
        <f t="shared" si="0"/>
        <v>2500.4641333087347</v>
      </c>
      <c r="J22" s="18">
        <f t="shared" si="0"/>
        <v>213364.72767080739</v>
      </c>
      <c r="K22" s="18">
        <f t="shared" si="3"/>
        <v>234427.75066567407</v>
      </c>
      <c r="L22" s="18">
        <f t="shared" si="4"/>
        <v>586537.44384184887</v>
      </c>
      <c r="M22" s="148">
        <f t="shared" si="5"/>
        <v>46181773304.29895</v>
      </c>
      <c r="N22" s="14">
        <f>'Fleet Types'!F29</f>
        <v>8.5950764461609749E-2</v>
      </c>
      <c r="O22" s="20">
        <f t="shared" si="6"/>
        <v>5611.0225038583803</v>
      </c>
      <c r="P22" s="20">
        <f t="shared" si="7"/>
        <v>2994.6486262785738</v>
      </c>
      <c r="Q22" s="20">
        <f t="shared" si="8"/>
        <v>3309.8246483542052</v>
      </c>
      <c r="R22" s="20">
        <f t="shared" si="9"/>
        <v>11915.49577849116</v>
      </c>
      <c r="S22" s="20">
        <f t="shared" si="10"/>
        <v>2264.3949732895562</v>
      </c>
      <c r="T22" s="20">
        <f t="shared" si="11"/>
        <v>305.02467125267412</v>
      </c>
      <c r="U22" s="20">
        <f t="shared" si="12"/>
        <v>26027.770223836556</v>
      </c>
      <c r="V22" s="20">
        <f t="shared" si="13"/>
        <v>28597.189868378788</v>
      </c>
      <c r="W22" s="20">
        <f t="shared" si="14"/>
        <v>16681.694089887627</v>
      </c>
      <c r="X22" s="20">
        <f t="shared" si="15"/>
        <v>172636.34928486429</v>
      </c>
      <c r="Y22" s="20">
        <f t="shared" si="16"/>
        <v>78338.182271443467</v>
      </c>
      <c r="Z22" s="20">
        <f t="shared" si="17"/>
        <v>89219.665841375929</v>
      </c>
      <c r="AA22" s="20">
        <f t="shared" si="18"/>
        <v>340194.19739768369</v>
      </c>
      <c r="AB22" s="20">
        <f t="shared" si="19"/>
        <v>20826.953834847507</v>
      </c>
      <c r="AC22" s="20">
        <f t="shared" si="20"/>
        <v>2805.4888045614089</v>
      </c>
      <c r="AD22" s="20">
        <f t="shared" si="21"/>
        <v>239392.49789464395</v>
      </c>
      <c r="AE22" s="20">
        <f t="shared" si="22"/>
        <v>263024.94053405285</v>
      </c>
      <c r="AF22" s="20">
        <f t="shared" si="23"/>
        <v>603219.13793173654</v>
      </c>
      <c r="AG22" s="148">
        <f t="shared" si="24"/>
        <v>48318095091.95948</v>
      </c>
    </row>
    <row r="23" spans="1:33" x14ac:dyDescent="0.25">
      <c r="A23">
        <f t="shared" si="25"/>
        <v>16</v>
      </c>
      <c r="B23">
        <f t="shared" si="25"/>
        <v>2033</v>
      </c>
      <c r="C23" s="18">
        <f>C22*(1+City!$B$8)</f>
        <v>4275793.6679579364</v>
      </c>
      <c r="D23" s="18">
        <f t="shared" si="1"/>
        <v>180921.08236555351</v>
      </c>
      <c r="E23" s="18">
        <f t="shared" si="0"/>
        <v>82552.823361187868</v>
      </c>
      <c r="F23" s="18">
        <f t="shared" si="0"/>
        <v>93917.432847076067</v>
      </c>
      <c r="G23" s="18">
        <f t="shared" si="2"/>
        <v>357391.3385738174</v>
      </c>
      <c r="H23" s="18">
        <f t="shared" si="0"/>
        <v>18840.997244481317</v>
      </c>
      <c r="I23" s="18">
        <f t="shared" si="0"/>
        <v>2537.9710953083659</v>
      </c>
      <c r="J23" s="18">
        <f t="shared" si="0"/>
        <v>216565.19858586951</v>
      </c>
      <c r="K23" s="18">
        <f t="shared" si="3"/>
        <v>237944.1669256592</v>
      </c>
      <c r="L23" s="18">
        <f t="shared" si="4"/>
        <v>595335.50549947657</v>
      </c>
      <c r="M23" s="148">
        <f t="shared" si="5"/>
        <v>46874499903.863434</v>
      </c>
      <c r="N23" s="14">
        <f>'Fleet Types'!F30</f>
        <v>0.10473555882950639</v>
      </c>
      <c r="O23" s="20">
        <f t="shared" si="6"/>
        <v>6939.8880271293665</v>
      </c>
      <c r="P23" s="20">
        <f t="shared" si="7"/>
        <v>3703.8750303851252</v>
      </c>
      <c r="Q23" s="20">
        <f t="shared" si="8"/>
        <v>4093.6945865421112</v>
      </c>
      <c r="R23" s="20">
        <f t="shared" si="9"/>
        <v>14737.457644056603</v>
      </c>
      <c r="S23" s="20">
        <f t="shared" si="10"/>
        <v>2800.6744854468225</v>
      </c>
      <c r="T23" s="20">
        <f t="shared" si="11"/>
        <v>377.264048139154</v>
      </c>
      <c r="U23" s="20">
        <f t="shared" si="12"/>
        <v>32191.959812149871</v>
      </c>
      <c r="V23" s="20">
        <f t="shared" si="13"/>
        <v>35369.898345735848</v>
      </c>
      <c r="W23" s="20">
        <f t="shared" si="14"/>
        <v>20632.440701679247</v>
      </c>
      <c r="X23" s="20">
        <f t="shared" si="15"/>
        <v>173981.19433842413</v>
      </c>
      <c r="Y23" s="20">
        <f t="shared" si="16"/>
        <v>78848.948330802741</v>
      </c>
      <c r="Z23" s="20">
        <f t="shared" si="17"/>
        <v>89823.738260533952</v>
      </c>
      <c r="AA23" s="20">
        <f t="shared" si="18"/>
        <v>342653.88092976081</v>
      </c>
      <c r="AB23" s="20">
        <f t="shared" si="19"/>
        <v>21641.671729928141</v>
      </c>
      <c r="AC23" s="20">
        <f t="shared" si="20"/>
        <v>2915.2351434475199</v>
      </c>
      <c r="AD23" s="20">
        <f t="shared" si="21"/>
        <v>248757.15839801938</v>
      </c>
      <c r="AE23" s="20">
        <f t="shared" si="22"/>
        <v>273314.06527139503</v>
      </c>
      <c r="AF23" s="20">
        <f t="shared" si="23"/>
        <v>615967.94620115589</v>
      </c>
      <c r="AG23" s="148">
        <f t="shared" si="24"/>
        <v>49516769469.898148</v>
      </c>
    </row>
    <row r="24" spans="1:33" x14ac:dyDescent="0.25">
      <c r="A24">
        <f t="shared" si="25"/>
        <v>17</v>
      </c>
      <c r="B24">
        <f t="shared" si="25"/>
        <v>2034</v>
      </c>
      <c r="C24" s="18">
        <f>C23*(1+City!$B$8)</f>
        <v>4339930.5729773054</v>
      </c>
      <c r="D24" s="18">
        <f t="shared" si="1"/>
        <v>183634.89860103681</v>
      </c>
      <c r="E24" s="18">
        <f t="shared" si="1"/>
        <v>83791.115711605686</v>
      </c>
      <c r="F24" s="18">
        <f t="shared" si="1"/>
        <v>95326.194339782218</v>
      </c>
      <c r="G24" s="18">
        <f t="shared" si="2"/>
        <v>362752.20865242474</v>
      </c>
      <c r="H24" s="18">
        <f t="shared" si="1"/>
        <v>19123.612203148536</v>
      </c>
      <c r="I24" s="18">
        <f t="shared" si="1"/>
        <v>2576.0406617379913</v>
      </c>
      <c r="J24" s="18">
        <f t="shared" si="1"/>
        <v>219813.67656465754</v>
      </c>
      <c r="K24" s="18">
        <f t="shared" si="3"/>
        <v>241513.32942954407</v>
      </c>
      <c r="L24" s="18">
        <f t="shared" si="4"/>
        <v>604265.53808196879</v>
      </c>
      <c r="M24" s="148">
        <f t="shared" si="5"/>
        <v>47577617402.421379</v>
      </c>
      <c r="N24" s="14">
        <f>'Fleet Types'!F31</f>
        <v>0.12556877142857148</v>
      </c>
      <c r="O24" s="20">
        <f t="shared" si="6"/>
        <v>8445.1233325599005</v>
      </c>
      <c r="P24" s="20">
        <f t="shared" si="7"/>
        <v>4507.231430494714</v>
      </c>
      <c r="Q24" s="20">
        <f t="shared" si="8"/>
        <v>4981.6013650412306</v>
      </c>
      <c r="R24" s="20">
        <f t="shared" si="9"/>
        <v>17933.956128095844</v>
      </c>
      <c r="S24" s="20">
        <f t="shared" si="10"/>
        <v>3408.1301242169534</v>
      </c>
      <c r="T24" s="20">
        <f t="shared" si="11"/>
        <v>459.09118461582057</v>
      </c>
      <c r="U24" s="20">
        <f t="shared" si="12"/>
        <v>39174.273398597252</v>
      </c>
      <c r="V24" s="20">
        <f t="shared" si="13"/>
        <v>43041.494707430029</v>
      </c>
      <c r="W24" s="20">
        <f t="shared" si="14"/>
        <v>25107.538579334185</v>
      </c>
      <c r="X24" s="20">
        <f t="shared" si="15"/>
        <v>175189.77526847692</v>
      </c>
      <c r="Y24" s="20">
        <f t="shared" si="16"/>
        <v>79283.884281110979</v>
      </c>
      <c r="Z24" s="20">
        <f t="shared" si="17"/>
        <v>90344.592974740983</v>
      </c>
      <c r="AA24" s="20">
        <f t="shared" si="18"/>
        <v>344818.25252432888</v>
      </c>
      <c r="AB24" s="20">
        <f t="shared" si="19"/>
        <v>22531.742327365489</v>
      </c>
      <c r="AC24" s="20">
        <f t="shared" si="20"/>
        <v>3035.1318463538119</v>
      </c>
      <c r="AD24" s="20">
        <f t="shared" si="21"/>
        <v>258987.9499632548</v>
      </c>
      <c r="AE24" s="20">
        <f t="shared" si="22"/>
        <v>284554.82413697412</v>
      </c>
      <c r="AF24" s="20">
        <f t="shared" si="23"/>
        <v>629373.07666130294</v>
      </c>
      <c r="AG24" s="148">
        <f t="shared" si="24"/>
        <v>50792985182.967964</v>
      </c>
    </row>
    <row r="25" spans="1:33" x14ac:dyDescent="0.25">
      <c r="A25">
        <f t="shared" si="25"/>
        <v>18</v>
      </c>
      <c r="B25">
        <f t="shared" si="25"/>
        <v>2035</v>
      </c>
      <c r="C25" s="18">
        <f>C24*(1+City!$B$8)</f>
        <v>4405029.5315719647</v>
      </c>
      <c r="D25" s="18">
        <f t="shared" si="1"/>
        <v>186389.42208005235</v>
      </c>
      <c r="E25" s="18">
        <f t="shared" si="1"/>
        <v>85047.982447279763</v>
      </c>
      <c r="F25" s="18">
        <f t="shared" si="1"/>
        <v>96756.087254878934</v>
      </c>
      <c r="G25" s="18">
        <f t="shared" si="2"/>
        <v>368193.49178221106</v>
      </c>
      <c r="H25" s="18">
        <f t="shared" si="1"/>
        <v>19410.466386195763</v>
      </c>
      <c r="I25" s="18">
        <f t="shared" si="1"/>
        <v>2614.6812716640611</v>
      </c>
      <c r="J25" s="18">
        <f t="shared" si="1"/>
        <v>223110.8817131274</v>
      </c>
      <c r="K25" s="18">
        <f t="shared" si="3"/>
        <v>245136.02937098721</v>
      </c>
      <c r="L25" s="18">
        <f t="shared" si="4"/>
        <v>613329.52115319832</v>
      </c>
      <c r="M25" s="148">
        <f t="shared" si="5"/>
        <v>48291281663.457703</v>
      </c>
      <c r="N25" s="14">
        <f>'Fleet Types'!F32</f>
        <v>0.14862405464239117</v>
      </c>
      <c r="O25" s="20">
        <f t="shared" si="6"/>
        <v>10145.641183081934</v>
      </c>
      <c r="P25" s="20">
        <f t="shared" si="7"/>
        <v>5414.8117229505378</v>
      </c>
      <c r="Q25" s="20">
        <f t="shared" si="8"/>
        <v>5984.7012265644726</v>
      </c>
      <c r="R25" s="20">
        <f t="shared" si="9"/>
        <v>21545.154132596945</v>
      </c>
      <c r="S25" s="20">
        <f t="shared" si="10"/>
        <v>4094.3943603812859</v>
      </c>
      <c r="T25" s="20">
        <f t="shared" si="11"/>
        <v>551.53421045613879</v>
      </c>
      <c r="U25" s="20">
        <f t="shared" si="12"/>
        <v>47062.441347395245</v>
      </c>
      <c r="V25" s="20">
        <f t="shared" si="13"/>
        <v>51708.369918232667</v>
      </c>
      <c r="W25" s="20">
        <f t="shared" si="14"/>
        <v>30163.215785635723</v>
      </c>
      <c r="X25" s="20">
        <f t="shared" si="15"/>
        <v>176243.78089697042</v>
      </c>
      <c r="Y25" s="20">
        <f t="shared" si="16"/>
        <v>79633.170724329219</v>
      </c>
      <c r="Z25" s="20">
        <f t="shared" si="17"/>
        <v>90771.38602831446</v>
      </c>
      <c r="AA25" s="20">
        <f t="shared" si="18"/>
        <v>346648.33764961408</v>
      </c>
      <c r="AB25" s="20">
        <f t="shared" si="19"/>
        <v>23504.860746577047</v>
      </c>
      <c r="AC25" s="20">
        <f t="shared" si="20"/>
        <v>3166.2154821201998</v>
      </c>
      <c r="AD25" s="20">
        <f t="shared" si="21"/>
        <v>270173.32306052267</v>
      </c>
      <c r="AE25" s="20">
        <f t="shared" si="22"/>
        <v>296844.39928921993</v>
      </c>
      <c r="AF25" s="20">
        <f t="shared" si="23"/>
        <v>643492.73693883396</v>
      </c>
      <c r="AG25" s="148">
        <f t="shared" si="24"/>
        <v>52154098876.238388</v>
      </c>
    </row>
    <row r="26" spans="1:33" x14ac:dyDescent="0.25">
      <c r="A26">
        <f t="shared" ref="A26:B41" si="26">A25+1</f>
        <v>19</v>
      </c>
      <c r="B26">
        <f t="shared" si="26"/>
        <v>2036</v>
      </c>
      <c r="C26" s="18">
        <f>C25*(1+City!$B$8)</f>
        <v>4471104.974545544</v>
      </c>
      <c r="D26" s="18">
        <f t="shared" si="1"/>
        <v>189185.26341125314</v>
      </c>
      <c r="E26" s="18">
        <f t="shared" si="1"/>
        <v>86323.702183988964</v>
      </c>
      <c r="F26" s="18">
        <f t="shared" si="1"/>
        <v>98207.428563702124</v>
      </c>
      <c r="G26" s="18">
        <f t="shared" si="2"/>
        <v>373716.39415894425</v>
      </c>
      <c r="H26" s="18">
        <f t="shared" si="1"/>
        <v>19701.623381988698</v>
      </c>
      <c r="I26" s="18">
        <f t="shared" si="1"/>
        <v>2653.9014907390219</v>
      </c>
      <c r="J26" s="18">
        <f t="shared" si="1"/>
        <v>226457.54493882429</v>
      </c>
      <c r="K26" s="18">
        <f t="shared" si="3"/>
        <v>248813.06981155201</v>
      </c>
      <c r="L26" s="18">
        <f t="shared" si="4"/>
        <v>622529.46397049632</v>
      </c>
      <c r="M26" s="148">
        <f t="shared" si="5"/>
        <v>49015650888.409561</v>
      </c>
      <c r="N26" s="14">
        <f>'Fleet Types'!F33</f>
        <v>0.17406279970929789</v>
      </c>
      <c r="O26" s="20">
        <f t="shared" si="6"/>
        <v>12060.419116701567</v>
      </c>
      <c r="P26" s="20">
        <f t="shared" si="7"/>
        <v>6436.7443750829352</v>
      </c>
      <c r="Q26" s="20">
        <f t="shared" si="8"/>
        <v>7114.1886232842326</v>
      </c>
      <c r="R26" s="20">
        <f t="shared" si="9"/>
        <v>25611.352115068734</v>
      </c>
      <c r="S26" s="20">
        <f t="shared" si="10"/>
        <v>4867.1258054739701</v>
      </c>
      <c r="T26" s="20">
        <f t="shared" si="11"/>
        <v>655.62477671613533</v>
      </c>
      <c r="U26" s="20">
        <f t="shared" si="12"/>
        <v>55944.49449397486</v>
      </c>
      <c r="V26" s="20">
        <f t="shared" si="13"/>
        <v>61467.245076164967</v>
      </c>
      <c r="W26" s="20">
        <f t="shared" si="14"/>
        <v>35855.892961096237</v>
      </c>
      <c r="X26" s="20">
        <f t="shared" si="15"/>
        <v>177124.84429455159</v>
      </c>
      <c r="Y26" s="20">
        <f t="shared" si="16"/>
        <v>79886.957808906023</v>
      </c>
      <c r="Z26" s="20">
        <f t="shared" si="17"/>
        <v>91093.239940417887</v>
      </c>
      <c r="AA26" s="20">
        <f t="shared" si="18"/>
        <v>348105.0420438755</v>
      </c>
      <c r="AB26" s="20">
        <f t="shared" si="19"/>
        <v>24568.749187462668</v>
      </c>
      <c r="AC26" s="20">
        <f t="shared" si="20"/>
        <v>3309.5262674551573</v>
      </c>
      <c r="AD26" s="20">
        <f t="shared" si="21"/>
        <v>282402.03943279915</v>
      </c>
      <c r="AE26" s="20">
        <f t="shared" si="22"/>
        <v>310280.31488771696</v>
      </c>
      <c r="AF26" s="20">
        <f t="shared" si="23"/>
        <v>658385.35693159245</v>
      </c>
      <c r="AG26" s="148">
        <f t="shared" si="24"/>
        <v>53607494194.974472</v>
      </c>
    </row>
    <row r="27" spans="1:33" x14ac:dyDescent="0.25">
      <c r="A27">
        <f t="shared" si="26"/>
        <v>20</v>
      </c>
      <c r="B27">
        <f t="shared" si="26"/>
        <v>2037</v>
      </c>
      <c r="C27" s="18">
        <f>C26*(1+City!$B$8)</f>
        <v>4538171.5491637271</v>
      </c>
      <c r="D27" s="18">
        <f t="shared" si="1"/>
        <v>192023.04236242193</v>
      </c>
      <c r="E27" s="18">
        <f t="shared" si="1"/>
        <v>87618.557716748794</v>
      </c>
      <c r="F27" s="18">
        <f t="shared" si="1"/>
        <v>99680.539992157646</v>
      </c>
      <c r="G27" s="18">
        <f t="shared" si="2"/>
        <v>379322.14007132838</v>
      </c>
      <c r="H27" s="18">
        <f t="shared" si="1"/>
        <v>19997.147732718531</v>
      </c>
      <c r="I27" s="18">
        <f t="shared" si="1"/>
        <v>2693.7100131001071</v>
      </c>
      <c r="J27" s="18">
        <f t="shared" si="1"/>
        <v>229854.40811290665</v>
      </c>
      <c r="K27" s="18">
        <f t="shared" si="3"/>
        <v>252545.2658587253</v>
      </c>
      <c r="L27" s="18">
        <f t="shared" si="4"/>
        <v>631867.40593005368</v>
      </c>
      <c r="M27" s="148">
        <f t="shared" si="5"/>
        <v>49750885651.735703</v>
      </c>
      <c r="N27" s="14">
        <f>'Fleet Types'!F34</f>
        <v>0.20202212653399576</v>
      </c>
      <c r="O27" s="20">
        <f t="shared" si="6"/>
        <v>14207.622730015839</v>
      </c>
      <c r="P27" s="20">
        <f t="shared" si="7"/>
        <v>7582.7245144479712</v>
      </c>
      <c r="Q27" s="20">
        <f t="shared" si="8"/>
        <v>8380.7790601423621</v>
      </c>
      <c r="R27" s="20">
        <f t="shared" si="9"/>
        <v>30171.126304606172</v>
      </c>
      <c r="S27" s="20">
        <f t="shared" si="10"/>
        <v>5733.6554024011984</v>
      </c>
      <c r="T27" s="20">
        <f t="shared" si="11"/>
        <v>772.35039594389082</v>
      </c>
      <c r="U27" s="20">
        <f t="shared" si="12"/>
        <v>65904.697332709722</v>
      </c>
      <c r="V27" s="20">
        <f t="shared" si="13"/>
        <v>72410.703131054819</v>
      </c>
      <c r="W27" s="20">
        <f t="shared" si="14"/>
        <v>42239.576826448647</v>
      </c>
      <c r="X27" s="20">
        <f t="shared" si="15"/>
        <v>177815.41963240609</v>
      </c>
      <c r="Y27" s="20">
        <f t="shared" si="16"/>
        <v>80035.833202300826</v>
      </c>
      <c r="Z27" s="20">
        <f t="shared" si="17"/>
        <v>91299.760932015284</v>
      </c>
      <c r="AA27" s="20">
        <f t="shared" si="18"/>
        <v>349151.01376672217</v>
      </c>
      <c r="AB27" s="20">
        <f t="shared" si="19"/>
        <v>25730.803135119728</v>
      </c>
      <c r="AC27" s="20">
        <f t="shared" si="20"/>
        <v>3466.0604090439979</v>
      </c>
      <c r="AD27" s="20">
        <f t="shared" si="21"/>
        <v>295759.10544561635</v>
      </c>
      <c r="AE27" s="20">
        <f t="shared" si="22"/>
        <v>324955.96898978006</v>
      </c>
      <c r="AF27" s="20">
        <f t="shared" si="23"/>
        <v>674106.98275650223</v>
      </c>
      <c r="AG27" s="148">
        <f t="shared" si="24"/>
        <v>55160248021.628616</v>
      </c>
    </row>
    <row r="28" spans="1:33" x14ac:dyDescent="0.25">
      <c r="A28">
        <f t="shared" si="26"/>
        <v>21</v>
      </c>
      <c r="B28">
        <f t="shared" si="26"/>
        <v>2038</v>
      </c>
      <c r="C28" s="18">
        <f>C27*(1+City!$B$8)</f>
        <v>4606244.1224011825</v>
      </c>
      <c r="D28" s="18">
        <f t="shared" si="1"/>
        <v>194903.38799785823</v>
      </c>
      <c r="E28" s="18">
        <f t="shared" si="1"/>
        <v>88932.836082500013</v>
      </c>
      <c r="F28" s="18">
        <f t="shared" si="1"/>
        <v>101175.74809204</v>
      </c>
      <c r="G28" s="18">
        <f t="shared" si="2"/>
        <v>385011.97217239824</v>
      </c>
      <c r="H28" s="18">
        <f t="shared" si="1"/>
        <v>20297.104948709304</v>
      </c>
      <c r="I28" s="18">
        <f t="shared" si="1"/>
        <v>2734.1156632966085</v>
      </c>
      <c r="J28" s="18">
        <f t="shared" si="1"/>
        <v>233302.22423460023</v>
      </c>
      <c r="K28" s="18">
        <f t="shared" si="3"/>
        <v>256333.44484660614</v>
      </c>
      <c r="L28" s="18">
        <f t="shared" si="4"/>
        <v>641345.41701900435</v>
      </c>
      <c r="M28" s="148">
        <f t="shared" si="5"/>
        <v>50497148936.511734</v>
      </c>
      <c r="N28" s="14">
        <f>'Fleet Types'!F35</f>
        <v>0.2325526975253373</v>
      </c>
      <c r="O28" s="20">
        <f t="shared" si="6"/>
        <v>16600.069327517249</v>
      </c>
      <c r="P28" s="20">
        <f t="shared" si="7"/>
        <v>8859.5928413395141</v>
      </c>
      <c r="Q28" s="20">
        <f t="shared" si="8"/>
        <v>9792.0331965918558</v>
      </c>
      <c r="R28" s="20">
        <f t="shared" si="9"/>
        <v>35251.695365448613</v>
      </c>
      <c r="S28" s="20">
        <f t="shared" si="10"/>
        <v>6699.1557270783187</v>
      </c>
      <c r="T28" s="20">
        <f t="shared" si="11"/>
        <v>902.40783848500246</v>
      </c>
      <c r="U28" s="20">
        <f t="shared" si="12"/>
        <v>77002.505311513363</v>
      </c>
      <c r="V28" s="20">
        <f t="shared" si="13"/>
        <v>84604.068877076686</v>
      </c>
      <c r="W28" s="20">
        <f t="shared" si="14"/>
        <v>49352.373511628073</v>
      </c>
      <c r="X28" s="20">
        <f t="shared" si="15"/>
        <v>178303.31867034099</v>
      </c>
      <c r="Y28" s="20">
        <f t="shared" si="16"/>
        <v>80073.243241160497</v>
      </c>
      <c r="Z28" s="20">
        <f t="shared" si="17"/>
        <v>91383.714895448138</v>
      </c>
      <c r="AA28" s="20">
        <f t="shared" si="18"/>
        <v>349760.27680694964</v>
      </c>
      <c r="AB28" s="20">
        <f t="shared" si="19"/>
        <v>26996.260675787624</v>
      </c>
      <c r="AC28" s="20">
        <f t="shared" si="20"/>
        <v>3636.5235017816112</v>
      </c>
      <c r="AD28" s="20">
        <f t="shared" si="21"/>
        <v>310304.72954611358</v>
      </c>
      <c r="AE28" s="20">
        <f t="shared" si="22"/>
        <v>340937.51372368285</v>
      </c>
      <c r="AF28" s="20">
        <f t="shared" si="23"/>
        <v>690697.79053063248</v>
      </c>
      <c r="AG28" s="148">
        <f t="shared" si="24"/>
        <v>56817403356.568771</v>
      </c>
    </row>
    <row r="29" spans="1:33" x14ac:dyDescent="0.25">
      <c r="A29">
        <f t="shared" si="26"/>
        <v>22</v>
      </c>
      <c r="B29">
        <f t="shared" si="26"/>
        <v>2039</v>
      </c>
      <c r="C29" s="18">
        <f>C28*(1+City!$B$8)</f>
        <v>4675337.7842371995</v>
      </c>
      <c r="D29" s="18">
        <f t="shared" si="1"/>
        <v>197826.93881782607</v>
      </c>
      <c r="E29" s="18">
        <f t="shared" si="1"/>
        <v>90266.8286237375</v>
      </c>
      <c r="F29" s="18">
        <f t="shared" si="1"/>
        <v>102693.38431342058</v>
      </c>
      <c r="G29" s="18">
        <f t="shared" si="2"/>
        <v>390787.15175498411</v>
      </c>
      <c r="H29" s="18">
        <f t="shared" si="1"/>
        <v>20601.561522939941</v>
      </c>
      <c r="I29" s="18">
        <f t="shared" si="1"/>
        <v>2775.1273982460571</v>
      </c>
      <c r="J29" s="18">
        <f t="shared" si="1"/>
        <v>236801.75759811921</v>
      </c>
      <c r="K29" s="18">
        <f t="shared" si="3"/>
        <v>260178.4465193052</v>
      </c>
      <c r="L29" s="18">
        <f t="shared" si="4"/>
        <v>650965.59827428928</v>
      </c>
      <c r="M29" s="148">
        <f t="shared" si="5"/>
        <v>51254606170.559402</v>
      </c>
      <c r="N29" s="14">
        <f>'Fleet Types'!F36</f>
        <v>0.26524486024332805</v>
      </c>
      <c r="O29" s="20">
        <f t="shared" si="6"/>
        <v>19217.705760441877</v>
      </c>
      <c r="P29" s="20">
        <f t="shared" si="7"/>
        <v>10256.646826163869</v>
      </c>
      <c r="Q29" s="20">
        <f t="shared" si="8"/>
        <v>11336.122100203671</v>
      </c>
      <c r="R29" s="20">
        <f t="shared" si="9"/>
        <v>40810.474686809415</v>
      </c>
      <c r="S29" s="20">
        <f t="shared" si="10"/>
        <v>7755.5340924365446</v>
      </c>
      <c r="T29" s="20">
        <f t="shared" si="11"/>
        <v>1044.7069812638476</v>
      </c>
      <c r="U29" s="20">
        <f t="shared" si="12"/>
        <v>89144.898174642221</v>
      </c>
      <c r="V29" s="20">
        <f t="shared" si="13"/>
        <v>97945.139248342617</v>
      </c>
      <c r="W29" s="20">
        <f t="shared" si="14"/>
        <v>57134.664561533202</v>
      </c>
      <c r="X29" s="20">
        <f t="shared" si="15"/>
        <v>178609.2330573842</v>
      </c>
      <c r="Y29" s="20">
        <f t="shared" si="16"/>
        <v>80010.181797573634</v>
      </c>
      <c r="Z29" s="20">
        <f t="shared" si="17"/>
        <v>91357.262213216905</v>
      </c>
      <c r="AA29" s="20">
        <f t="shared" si="18"/>
        <v>349976.67706817476</v>
      </c>
      <c r="AB29" s="20">
        <f t="shared" si="19"/>
        <v>28357.095615376486</v>
      </c>
      <c r="AC29" s="20">
        <f t="shared" si="20"/>
        <v>3819.8343795099045</v>
      </c>
      <c r="AD29" s="20">
        <f t="shared" si="21"/>
        <v>325946.65577276144</v>
      </c>
      <c r="AE29" s="20">
        <f t="shared" si="22"/>
        <v>358123.58576764783</v>
      </c>
      <c r="AF29" s="20">
        <f t="shared" si="23"/>
        <v>708100.26283582253</v>
      </c>
      <c r="AG29" s="148">
        <f t="shared" si="24"/>
        <v>58571490659.375832</v>
      </c>
    </row>
    <row r="30" spans="1:33" x14ac:dyDescent="0.25">
      <c r="A30">
        <f t="shared" si="26"/>
        <v>23</v>
      </c>
      <c r="B30">
        <f t="shared" si="26"/>
        <v>2040</v>
      </c>
      <c r="C30" s="18">
        <f>C29*(1+City!$B$8)</f>
        <v>4745467.851000757</v>
      </c>
      <c r="D30" s="18">
        <f t="shared" si="1"/>
        <v>200794.34290009344</v>
      </c>
      <c r="E30" s="18">
        <f t="shared" si="1"/>
        <v>91620.831053093556</v>
      </c>
      <c r="F30" s="18">
        <f t="shared" si="1"/>
        <v>104233.78507812189</v>
      </c>
      <c r="G30" s="18">
        <f t="shared" si="2"/>
        <v>396648.95903130888</v>
      </c>
      <c r="H30" s="18">
        <f t="shared" si="1"/>
        <v>20910.584945784038</v>
      </c>
      <c r="I30" s="18">
        <f t="shared" si="1"/>
        <v>2816.7543092197475</v>
      </c>
      <c r="J30" s="18">
        <f t="shared" si="1"/>
        <v>240353.78396209097</v>
      </c>
      <c r="K30" s="18">
        <f t="shared" si="3"/>
        <v>264081.12321709475</v>
      </c>
      <c r="L30" s="18">
        <f t="shared" si="4"/>
        <v>660730.08224840369</v>
      </c>
      <c r="M30" s="148">
        <f t="shared" si="5"/>
        <v>52023425263.117798</v>
      </c>
      <c r="N30" s="14">
        <f>'Fleet Types'!F37</f>
        <v>0.30042528096453353</v>
      </c>
      <c r="O30" s="20">
        <f t="shared" si="6"/>
        <v>22093.121491542668</v>
      </c>
      <c r="P30" s="20">
        <f t="shared" si="7"/>
        <v>11791.279731877503</v>
      </c>
      <c r="Q30" s="20">
        <f t="shared" si="8"/>
        <v>13032.269612447373</v>
      </c>
      <c r="R30" s="20">
        <f t="shared" si="9"/>
        <v>46916.670835867546</v>
      </c>
      <c r="S30" s="20">
        <f t="shared" si="10"/>
        <v>8915.9423643950049</v>
      </c>
      <c r="T30" s="20">
        <f t="shared" si="11"/>
        <v>1201.0194425827381</v>
      </c>
      <c r="U30" s="20">
        <f t="shared" si="12"/>
        <v>102483.04819910438</v>
      </c>
      <c r="V30" s="20">
        <f t="shared" si="13"/>
        <v>112600.01000608213</v>
      </c>
      <c r="W30" s="20">
        <f t="shared" si="14"/>
        <v>65683.339170214575</v>
      </c>
      <c r="X30" s="20">
        <f t="shared" si="15"/>
        <v>178701.22140855077</v>
      </c>
      <c r="Y30" s="20">
        <f t="shared" si="16"/>
        <v>79829.551321216059</v>
      </c>
      <c r="Z30" s="20">
        <f t="shared" si="17"/>
        <v>91201.515465674514</v>
      </c>
      <c r="AA30" s="20">
        <f t="shared" si="18"/>
        <v>349732.28819544136</v>
      </c>
      <c r="AB30" s="20">
        <f t="shared" si="19"/>
        <v>29826.527310179044</v>
      </c>
      <c r="AC30" s="20">
        <f t="shared" si="20"/>
        <v>4017.7737518024855</v>
      </c>
      <c r="AD30" s="20">
        <f t="shared" si="21"/>
        <v>342836.83216119534</v>
      </c>
      <c r="AE30" s="20">
        <f t="shared" si="22"/>
        <v>376681.13322317688</v>
      </c>
      <c r="AF30" s="20">
        <f t="shared" si="23"/>
        <v>726413.42141861818</v>
      </c>
      <c r="AG30" s="148">
        <f t="shared" si="24"/>
        <v>60435085841.445251</v>
      </c>
    </row>
    <row r="31" spans="1:33" x14ac:dyDescent="0.25">
      <c r="A31">
        <f t="shared" si="26"/>
        <v>24</v>
      </c>
      <c r="B31">
        <f t="shared" si="26"/>
        <v>2041</v>
      </c>
      <c r="C31" s="18">
        <f>C30*(1+City!$B$8)</f>
        <v>4816649.8687657677</v>
      </c>
      <c r="D31" s="18">
        <f t="shared" si="1"/>
        <v>203806.2580435948</v>
      </c>
      <c r="E31" s="18">
        <f t="shared" si="1"/>
        <v>92995.143518889949</v>
      </c>
      <c r="F31" s="18">
        <f t="shared" si="1"/>
        <v>105797.2918542937</v>
      </c>
      <c r="G31" s="18">
        <f t="shared" si="2"/>
        <v>402598.69341677846</v>
      </c>
      <c r="H31" s="18">
        <f t="shared" si="1"/>
        <v>21224.243719970797</v>
      </c>
      <c r="I31" s="18">
        <f t="shared" si="1"/>
        <v>2859.0056238580432</v>
      </c>
      <c r="J31" s="18">
        <f t="shared" si="1"/>
        <v>243959.09072152228</v>
      </c>
      <c r="K31" s="18">
        <f t="shared" si="3"/>
        <v>268042.34006535111</v>
      </c>
      <c r="L31" s="18">
        <f t="shared" si="4"/>
        <v>670641.03348212957</v>
      </c>
      <c r="M31" s="148">
        <f t="shared" si="5"/>
        <v>52803776642.064545</v>
      </c>
      <c r="N31" s="14">
        <f>'Fleet Types'!F38</f>
        <v>0.33795990011829652</v>
      </c>
      <c r="O31" s="20">
        <f t="shared" si="6"/>
        <v>25226.199157542203</v>
      </c>
      <c r="P31" s="20">
        <f t="shared" si="7"/>
        <v>13463.428920738859</v>
      </c>
      <c r="Q31" s="20">
        <f t="shared" si="8"/>
        <v>14880.406503183869</v>
      </c>
      <c r="R31" s="20">
        <f t="shared" si="9"/>
        <v>53570.034581464934</v>
      </c>
      <c r="S31" s="20">
        <f t="shared" si="10"/>
        <v>10180.333179605001</v>
      </c>
      <c r="T31" s="20">
        <f t="shared" si="11"/>
        <v>1371.3388423754582</v>
      </c>
      <c r="U31" s="20">
        <f t="shared" si="12"/>
        <v>117016.41097353538</v>
      </c>
      <c r="V31" s="20">
        <f t="shared" si="13"/>
        <v>128568.08299551584</v>
      </c>
      <c r="W31" s="20">
        <f t="shared" si="14"/>
        <v>74998.048414050907</v>
      </c>
      <c r="X31" s="20">
        <f t="shared" si="15"/>
        <v>178580.0588860526</v>
      </c>
      <c r="Y31" s="20">
        <f t="shared" si="16"/>
        <v>79531.714598151084</v>
      </c>
      <c r="Z31" s="20">
        <f t="shared" si="17"/>
        <v>90916.885351109828</v>
      </c>
      <c r="AA31" s="20">
        <f t="shared" si="18"/>
        <v>349028.65883531352</v>
      </c>
      <c r="AB31" s="20">
        <f t="shared" si="19"/>
        <v>31404.576899575797</v>
      </c>
      <c r="AC31" s="20">
        <f t="shared" si="20"/>
        <v>4230.3444662335014</v>
      </c>
      <c r="AD31" s="20">
        <f t="shared" si="21"/>
        <v>360975.50169505767</v>
      </c>
      <c r="AE31" s="20">
        <f t="shared" si="22"/>
        <v>396610.42306086695</v>
      </c>
      <c r="AF31" s="20">
        <f t="shared" si="23"/>
        <v>745639.08189618052</v>
      </c>
      <c r="AG31" s="148">
        <f t="shared" si="24"/>
        <v>62408314646.156181</v>
      </c>
    </row>
    <row r="32" spans="1:33" x14ac:dyDescent="0.25">
      <c r="A32">
        <f t="shared" si="26"/>
        <v>25</v>
      </c>
      <c r="B32">
        <f t="shared" si="26"/>
        <v>2042</v>
      </c>
      <c r="C32" s="18">
        <f>C31*(1+City!$B$8)</f>
        <v>4888899.6167972535</v>
      </c>
      <c r="D32" s="18">
        <f t="shared" si="1"/>
        <v>206863.35191424869</v>
      </c>
      <c r="E32" s="18">
        <f t="shared" si="1"/>
        <v>94390.070671673282</v>
      </c>
      <c r="F32" s="18">
        <f t="shared" si="1"/>
        <v>107384.25123210809</v>
      </c>
      <c r="G32" s="18">
        <f t="shared" si="2"/>
        <v>408637.67381803005</v>
      </c>
      <c r="H32" s="18">
        <f t="shared" si="1"/>
        <v>21542.607375770356</v>
      </c>
      <c r="I32" s="18">
        <f t="shared" si="1"/>
        <v>2901.8907082159135</v>
      </c>
      <c r="J32" s="18">
        <f t="shared" si="1"/>
        <v>247618.47708234508</v>
      </c>
      <c r="K32" s="18">
        <f t="shared" si="3"/>
        <v>272062.97516633134</v>
      </c>
      <c r="L32" s="18">
        <f t="shared" si="4"/>
        <v>680700.64898436144</v>
      </c>
      <c r="M32" s="148">
        <f t="shared" si="5"/>
        <v>53595833291.695511</v>
      </c>
      <c r="N32" s="14">
        <f>'Fleet Types'!F39</f>
        <v>0.37761558546771445</v>
      </c>
      <c r="O32" s="20">
        <f t="shared" si="6"/>
        <v>28608.994883937787</v>
      </c>
      <c r="P32" s="20">
        <f t="shared" si="7"/>
        <v>15268.85468191974</v>
      </c>
      <c r="Q32" s="20">
        <f t="shared" si="8"/>
        <v>16875.846847233854</v>
      </c>
      <c r="R32" s="20">
        <f t="shared" si="9"/>
        <v>60753.696413091384</v>
      </c>
      <c r="S32" s="20">
        <f t="shared" si="10"/>
        <v>11545.500692878779</v>
      </c>
      <c r="T32" s="20">
        <f t="shared" si="11"/>
        <v>1555.2333381913684</v>
      </c>
      <c r="U32" s="20">
        <f t="shared" si="12"/>
        <v>132708.13736034918</v>
      </c>
      <c r="V32" s="20">
        <f t="shared" si="13"/>
        <v>145808.87139141932</v>
      </c>
      <c r="W32" s="20">
        <f t="shared" si="14"/>
        <v>85055.174978327937</v>
      </c>
      <c r="X32" s="20">
        <f t="shared" si="15"/>
        <v>178254.3570303109</v>
      </c>
      <c r="Y32" s="20">
        <f t="shared" si="16"/>
        <v>79121.215989753546</v>
      </c>
      <c r="Z32" s="20">
        <f t="shared" si="17"/>
        <v>90508.404384874229</v>
      </c>
      <c r="AA32" s="20">
        <f t="shared" si="18"/>
        <v>347883.97740493866</v>
      </c>
      <c r="AB32" s="20">
        <f t="shared" si="19"/>
        <v>33088.108068649133</v>
      </c>
      <c r="AC32" s="20">
        <f t="shared" si="20"/>
        <v>4457.1240464072816</v>
      </c>
      <c r="AD32" s="20">
        <f t="shared" si="21"/>
        <v>380326.61444269423</v>
      </c>
      <c r="AE32" s="20">
        <f t="shared" si="22"/>
        <v>417871.84655775066</v>
      </c>
      <c r="AF32" s="20">
        <f t="shared" si="23"/>
        <v>765755.82396268938</v>
      </c>
      <c r="AG32" s="148">
        <f t="shared" si="24"/>
        <v>64488325533.813164</v>
      </c>
    </row>
    <row r="33" spans="1:33" x14ac:dyDescent="0.25">
      <c r="A33">
        <f t="shared" si="26"/>
        <v>26</v>
      </c>
      <c r="B33">
        <f t="shared" si="26"/>
        <v>2043</v>
      </c>
      <c r="C33" s="18">
        <f>C32*(1+City!$B$8)</f>
        <v>4962233.1110492116</v>
      </c>
      <c r="D33" s="18">
        <f t="shared" si="1"/>
        <v>209966.30219296241</v>
      </c>
      <c r="E33" s="18">
        <f t="shared" si="1"/>
        <v>95805.921731748371</v>
      </c>
      <c r="F33" s="18">
        <f t="shared" si="1"/>
        <v>108995.01500058969</v>
      </c>
      <c r="G33" s="18">
        <f t="shared" si="2"/>
        <v>414767.23892530042</v>
      </c>
      <c r="H33" s="18">
        <f t="shared" si="1"/>
        <v>21865.746486406908</v>
      </c>
      <c r="I33" s="18">
        <f t="shared" si="1"/>
        <v>2945.4190688391518</v>
      </c>
      <c r="J33" s="18">
        <f t="shared" si="1"/>
        <v>251332.75423858024</v>
      </c>
      <c r="K33" s="18">
        <f t="shared" si="3"/>
        <v>276143.9197938263</v>
      </c>
      <c r="L33" s="18">
        <f t="shared" si="4"/>
        <v>690911.15871912672</v>
      </c>
      <c r="M33" s="148">
        <f t="shared" si="5"/>
        <v>54399770791.070938</v>
      </c>
      <c r="N33" s="14">
        <f>'Fleet Types'!F40</f>
        <v>0.4190570477978246</v>
      </c>
      <c r="O33" s="20">
        <f t="shared" si="6"/>
        <v>32224.922431371211</v>
      </c>
      <c r="P33" s="20">
        <f t="shared" si="7"/>
        <v>17198.704803746601</v>
      </c>
      <c r="Q33" s="20">
        <f t="shared" si="8"/>
        <v>19008.806769409952</v>
      </c>
      <c r="R33" s="20">
        <f t="shared" si="9"/>
        <v>68432.434004527764</v>
      </c>
      <c r="S33" s="20">
        <f t="shared" si="10"/>
        <v>13004.751329738127</v>
      </c>
      <c r="T33" s="20">
        <f t="shared" si="11"/>
        <v>1751.8012740125016</v>
      </c>
      <c r="U33" s="20">
        <f t="shared" si="12"/>
        <v>149481.28900711602</v>
      </c>
      <c r="V33" s="20">
        <f t="shared" si="13"/>
        <v>164237.84161086666</v>
      </c>
      <c r="W33" s="20">
        <f t="shared" si="14"/>
        <v>95805.407606338893</v>
      </c>
      <c r="X33" s="20">
        <f t="shared" si="15"/>
        <v>177741.3797615912</v>
      </c>
      <c r="Y33" s="20">
        <f t="shared" si="16"/>
        <v>78607.21692800177</v>
      </c>
      <c r="Z33" s="20">
        <f t="shared" si="17"/>
        <v>89986.208231179742</v>
      </c>
      <c r="AA33" s="20">
        <f t="shared" si="18"/>
        <v>346334.80492077273</v>
      </c>
      <c r="AB33" s="20">
        <f t="shared" si="19"/>
        <v>34870.497816145034</v>
      </c>
      <c r="AC33" s="20">
        <f t="shared" si="20"/>
        <v>4697.2203428516532</v>
      </c>
      <c r="AD33" s="20">
        <f t="shared" si="21"/>
        <v>400814.04324569623</v>
      </c>
      <c r="AE33" s="20">
        <f t="shared" si="22"/>
        <v>440381.76140469289</v>
      </c>
      <c r="AF33" s="20">
        <f t="shared" si="23"/>
        <v>786716.56632546568</v>
      </c>
      <c r="AG33" s="148">
        <f t="shared" si="24"/>
        <v>66668979094.632309</v>
      </c>
    </row>
    <row r="34" spans="1:33" x14ac:dyDescent="0.25">
      <c r="A34">
        <f t="shared" si="26"/>
        <v>27</v>
      </c>
      <c r="B34">
        <f t="shared" si="26"/>
        <v>2044</v>
      </c>
      <c r="C34" s="18">
        <f>C33*(1+City!$B$8)</f>
        <v>5036666.6077149492</v>
      </c>
      <c r="D34" s="18">
        <f t="shared" si="1"/>
        <v>213115.79672585681</v>
      </c>
      <c r="E34" s="18">
        <f t="shared" si="1"/>
        <v>97243.010557724585</v>
      </c>
      <c r="F34" s="18">
        <f t="shared" si="1"/>
        <v>110629.94022559853</v>
      </c>
      <c r="G34" s="18">
        <f t="shared" si="2"/>
        <v>420988.74750917993</v>
      </c>
      <c r="H34" s="18">
        <f t="shared" si="1"/>
        <v>22193.732683703009</v>
      </c>
      <c r="I34" s="18">
        <f t="shared" si="1"/>
        <v>2989.600354871739</v>
      </c>
      <c r="J34" s="18">
        <f t="shared" si="1"/>
        <v>255102.74555215891</v>
      </c>
      <c r="K34" s="18">
        <f t="shared" si="3"/>
        <v>280286.07859073364</v>
      </c>
      <c r="L34" s="18">
        <f t="shared" si="4"/>
        <v>701274.82609991357</v>
      </c>
      <c r="M34" s="148">
        <f t="shared" si="5"/>
        <v>55215767352.936996</v>
      </c>
      <c r="N34" s="14">
        <f>'Fleet Types'!F41</f>
        <v>0.46185388433572333</v>
      </c>
      <c r="O34" s="20">
        <f t="shared" si="6"/>
        <v>36048.680628787617</v>
      </c>
      <c r="P34" s="20">
        <f t="shared" si="7"/>
        <v>19239.475844183602</v>
      </c>
      <c r="Q34" s="20">
        <f t="shared" si="8"/>
        <v>21264.361638857099</v>
      </c>
      <c r="R34" s="20">
        <f t="shared" si="9"/>
        <v>76552.518111828322</v>
      </c>
      <c r="S34" s="20">
        <f t="shared" si="10"/>
        <v>14547.874501201173</v>
      </c>
      <c r="T34" s="20">
        <f t="shared" si="11"/>
        <v>1959.6672353973709</v>
      </c>
      <c r="U34" s="20">
        <f t="shared" si="12"/>
        <v>167218.50173178944</v>
      </c>
      <c r="V34" s="20">
        <f t="shared" si="13"/>
        <v>183726.04346838797</v>
      </c>
      <c r="W34" s="20">
        <f t="shared" si="14"/>
        <v>107173.52535655965</v>
      </c>
      <c r="X34" s="20">
        <f t="shared" si="15"/>
        <v>177067.1160970692</v>
      </c>
      <c r="Y34" s="20">
        <f t="shared" si="16"/>
        <v>78003.534713540983</v>
      </c>
      <c r="Z34" s="20">
        <f t="shared" si="17"/>
        <v>89365.578586741438</v>
      </c>
      <c r="AA34" s="20">
        <f t="shared" si="18"/>
        <v>344436.22939735162</v>
      </c>
      <c r="AB34" s="20">
        <f t="shared" si="19"/>
        <v>36741.607184904184</v>
      </c>
      <c r="AC34" s="20">
        <f t="shared" si="20"/>
        <v>4949.2675902691099</v>
      </c>
      <c r="AD34" s="20">
        <f t="shared" si="21"/>
        <v>422321.24728394835</v>
      </c>
      <c r="AE34" s="20">
        <f t="shared" si="22"/>
        <v>464012.12205912167</v>
      </c>
      <c r="AF34" s="20">
        <f t="shared" si="23"/>
        <v>808448.35145647335</v>
      </c>
      <c r="AG34" s="148">
        <f t="shared" si="24"/>
        <v>68940820458.808289</v>
      </c>
    </row>
    <row r="35" spans="1:33" x14ac:dyDescent="0.25">
      <c r="A35">
        <f t="shared" si="26"/>
        <v>28</v>
      </c>
      <c r="B35">
        <f t="shared" si="26"/>
        <v>2045</v>
      </c>
      <c r="C35" s="18">
        <f>C34*(1+City!$B$8)</f>
        <v>5112216.6068306733</v>
      </c>
      <c r="D35" s="18">
        <f t="shared" si="1"/>
        <v>216312.53367674467</v>
      </c>
      <c r="E35" s="18">
        <f t="shared" si="1"/>
        <v>98701.655716090449</v>
      </c>
      <c r="F35" s="18">
        <f t="shared" si="1"/>
        <v>112289.38932898251</v>
      </c>
      <c r="G35" s="18">
        <f t="shared" si="2"/>
        <v>427303.57872181764</v>
      </c>
      <c r="H35" s="18">
        <f t="shared" si="1"/>
        <v>22526.638673958554</v>
      </c>
      <c r="I35" s="18">
        <f t="shared" si="1"/>
        <v>3034.4443601948151</v>
      </c>
      <c r="J35" s="18">
        <f t="shared" si="1"/>
        <v>258929.28673544127</v>
      </c>
      <c r="K35" s="18">
        <f t="shared" si="3"/>
        <v>284490.36976959463</v>
      </c>
      <c r="L35" s="18">
        <f t="shared" si="4"/>
        <v>711793.94849141221</v>
      </c>
      <c r="M35" s="148">
        <f t="shared" si="5"/>
        <v>56044003863.231049</v>
      </c>
      <c r="N35" s="14">
        <f>'Fleet Types'!F42</f>
        <v>0.50549883697024067</v>
      </c>
      <c r="O35" s="20">
        <f t="shared" si="6"/>
        <v>40047.091193676097</v>
      </c>
      <c r="P35" s="20">
        <f t="shared" si="7"/>
        <v>21373.460282351025</v>
      </c>
      <c r="Q35" s="20">
        <f t="shared" si="8"/>
        <v>23622.940281663723</v>
      </c>
      <c r="R35" s="20">
        <f t="shared" si="9"/>
        <v>85043.491757690848</v>
      </c>
      <c r="S35" s="20">
        <f t="shared" si="10"/>
        <v>16161.480716121074</v>
      </c>
      <c r="T35" s="20">
        <f t="shared" si="11"/>
        <v>2177.0275948059575</v>
      </c>
      <c r="U35" s="20">
        <f t="shared" si="12"/>
        <v>185765.87190753102</v>
      </c>
      <c r="V35" s="20">
        <f t="shared" si="13"/>
        <v>204104.38021845804</v>
      </c>
      <c r="W35" s="20">
        <f t="shared" si="14"/>
        <v>119060.88846076719</v>
      </c>
      <c r="X35" s="20">
        <f t="shared" si="15"/>
        <v>176265.44248306856</v>
      </c>
      <c r="Y35" s="20">
        <f t="shared" si="16"/>
        <v>77328.195433739427</v>
      </c>
      <c r="Z35" s="20">
        <f t="shared" si="17"/>
        <v>88666.449047318776</v>
      </c>
      <c r="AA35" s="20">
        <f t="shared" si="18"/>
        <v>342260.08696412679</v>
      </c>
      <c r="AB35" s="20">
        <f t="shared" si="19"/>
        <v>38688.119390079628</v>
      </c>
      <c r="AC35" s="20">
        <f t="shared" si="20"/>
        <v>5211.4719550007721</v>
      </c>
      <c r="AD35" s="20">
        <f t="shared" si="21"/>
        <v>444695.1586429723</v>
      </c>
      <c r="AE35" s="20">
        <f t="shared" si="22"/>
        <v>488594.7499880527</v>
      </c>
      <c r="AF35" s="20">
        <f t="shared" si="23"/>
        <v>830854.83695217944</v>
      </c>
      <c r="AG35" s="148">
        <f t="shared" si="24"/>
        <v>71291398324.872986</v>
      </c>
    </row>
    <row r="36" spans="1:33" x14ac:dyDescent="0.25">
      <c r="A36">
        <f t="shared" si="26"/>
        <v>29</v>
      </c>
      <c r="B36">
        <f t="shared" si="26"/>
        <v>2046</v>
      </c>
      <c r="C36" s="18">
        <f>C35*(1+City!$B$8)</f>
        <v>5188899.8559331326</v>
      </c>
      <c r="D36" s="18">
        <f t="shared" si="1"/>
        <v>219557.22168189581</v>
      </c>
      <c r="E36" s="18">
        <f t="shared" si="1"/>
        <v>100182.18055183179</v>
      </c>
      <c r="F36" s="18">
        <f t="shared" si="1"/>
        <v>113973.73016891722</v>
      </c>
      <c r="G36" s="18">
        <f t="shared" si="2"/>
        <v>433713.13240264484</v>
      </c>
      <c r="H36" s="18">
        <f t="shared" si="1"/>
        <v>22864.538254067927</v>
      </c>
      <c r="I36" s="18">
        <f t="shared" si="1"/>
        <v>3079.9610255977368</v>
      </c>
      <c r="J36" s="18">
        <f t="shared" si="1"/>
        <v>262813.22603647289</v>
      </c>
      <c r="K36" s="18">
        <f t="shared" si="3"/>
        <v>288757.72531613853</v>
      </c>
      <c r="L36" s="18">
        <f t="shared" si="4"/>
        <v>722470.85771878343</v>
      </c>
      <c r="M36" s="148">
        <f t="shared" si="5"/>
        <v>56884663921.179504</v>
      </c>
      <c r="N36" s="14">
        <f>'Fleet Types'!F43</f>
        <v>0.54943620339618682</v>
      </c>
      <c r="O36" s="20">
        <f t="shared" si="6"/>
        <v>44180.856483289521</v>
      </c>
      <c r="P36" s="20">
        <f t="shared" si="7"/>
        <v>23579.684644735324</v>
      </c>
      <c r="Q36" s="20">
        <f t="shared" si="8"/>
        <v>26061.361841489088</v>
      </c>
      <c r="R36" s="20">
        <f t="shared" si="9"/>
        <v>93821.902969513932</v>
      </c>
      <c r="S36" s="20">
        <f t="shared" si="10"/>
        <v>17829.710942630201</v>
      </c>
      <c r="T36" s="20">
        <f t="shared" si="11"/>
        <v>2401.7460659282888</v>
      </c>
      <c r="U36" s="20">
        <f t="shared" si="12"/>
        <v>204941.11011827496</v>
      </c>
      <c r="V36" s="20">
        <f t="shared" si="13"/>
        <v>225172.56712683346</v>
      </c>
      <c r="W36" s="20">
        <f t="shared" si="14"/>
        <v>131350.66415731952</v>
      </c>
      <c r="X36" s="20">
        <f t="shared" si="15"/>
        <v>175376.36519860628</v>
      </c>
      <c r="Y36" s="20">
        <f t="shared" si="16"/>
        <v>76602.495907096454</v>
      </c>
      <c r="Z36" s="20">
        <f t="shared" si="17"/>
        <v>87912.368327428121</v>
      </c>
      <c r="AA36" s="20">
        <f t="shared" si="18"/>
        <v>339891.22943313082</v>
      </c>
      <c r="AB36" s="20">
        <f t="shared" si="19"/>
        <v>40694.249196698132</v>
      </c>
      <c r="AC36" s="20">
        <f t="shared" si="20"/>
        <v>5481.7070915260256</v>
      </c>
      <c r="AD36" s="20">
        <f t="shared" si="21"/>
        <v>467754.33615474787</v>
      </c>
      <c r="AE36" s="20">
        <f t="shared" si="22"/>
        <v>513930.29244297202</v>
      </c>
      <c r="AF36" s="20">
        <f t="shared" si="23"/>
        <v>853821.52187610278</v>
      </c>
      <c r="AG36" s="148">
        <f t="shared" si="24"/>
        <v>73705934240.065536</v>
      </c>
    </row>
    <row r="37" spans="1:33" x14ac:dyDescent="0.25">
      <c r="A37">
        <f t="shared" si="26"/>
        <v>30</v>
      </c>
      <c r="B37">
        <f t="shared" si="26"/>
        <v>2047</v>
      </c>
      <c r="C37" s="18">
        <f>C36*(1+City!$B$8)</f>
        <v>5266733.3537721289</v>
      </c>
      <c r="D37" s="18">
        <f t="shared" si="1"/>
        <v>222850.5800071242</v>
      </c>
      <c r="E37" s="18">
        <f t="shared" si="1"/>
        <v>101684.91326010926</v>
      </c>
      <c r="F37" s="18">
        <f t="shared" si="1"/>
        <v>115683.33612145096</v>
      </c>
      <c r="G37" s="18">
        <f t="shared" si="2"/>
        <v>440218.82938868448</v>
      </c>
      <c r="H37" s="18">
        <f t="shared" si="1"/>
        <v>23207.506327878946</v>
      </c>
      <c r="I37" s="18">
        <f t="shared" si="1"/>
        <v>3126.1604409817023</v>
      </c>
      <c r="J37" s="18">
        <f t="shared" si="1"/>
        <v>266755.4244270199</v>
      </c>
      <c r="K37" s="18">
        <f t="shared" si="3"/>
        <v>293089.09119588055</v>
      </c>
      <c r="L37" s="18">
        <f t="shared" si="4"/>
        <v>733307.92058456503</v>
      </c>
      <c r="M37" s="148">
        <f t="shared" si="5"/>
        <v>57737933879.997177</v>
      </c>
      <c r="N37" s="14">
        <f>'Fleet Types'!F44</f>
        <v>0.59309704451932221</v>
      </c>
      <c r="O37" s="20">
        <f t="shared" si="6"/>
        <v>48407.054852302259</v>
      </c>
      <c r="P37" s="20">
        <f t="shared" si="7"/>
        <v>25835.241297990939</v>
      </c>
      <c r="Q37" s="20">
        <f t="shared" si="8"/>
        <v>28554.307738778574</v>
      </c>
      <c r="R37" s="20">
        <f t="shared" si="9"/>
        <v>102796.60388907178</v>
      </c>
      <c r="S37" s="20">
        <f t="shared" si="10"/>
        <v>19535.243639449076</v>
      </c>
      <c r="T37" s="20">
        <f t="shared" si="11"/>
        <v>2631.4893555462259</v>
      </c>
      <c r="U37" s="20">
        <f t="shared" si="12"/>
        <v>224545.11633877698</v>
      </c>
      <c r="V37" s="20">
        <f t="shared" si="13"/>
        <v>246711.84933377229</v>
      </c>
      <c r="W37" s="20">
        <f t="shared" si="14"/>
        <v>143915.24544470053</v>
      </c>
      <c r="X37" s="20">
        <f t="shared" si="15"/>
        <v>174443.52515482192</v>
      </c>
      <c r="Y37" s="20">
        <f t="shared" si="16"/>
        <v>75849.671962118315</v>
      </c>
      <c r="Z37" s="20">
        <f t="shared" si="17"/>
        <v>87129.02838267239</v>
      </c>
      <c r="AA37" s="20">
        <f t="shared" si="18"/>
        <v>337422.22549961263</v>
      </c>
      <c r="AB37" s="20">
        <f t="shared" si="19"/>
        <v>42742.749967328025</v>
      </c>
      <c r="AC37" s="20">
        <f t="shared" si="20"/>
        <v>5757.6497965279286</v>
      </c>
      <c r="AD37" s="20">
        <f t="shared" si="21"/>
        <v>491300.5407657969</v>
      </c>
      <c r="AE37" s="20">
        <f t="shared" si="22"/>
        <v>539800.94052965287</v>
      </c>
      <c r="AF37" s="20">
        <f t="shared" si="23"/>
        <v>877223.1660292655</v>
      </c>
      <c r="AG37" s="148">
        <f t="shared" si="24"/>
        <v>76168272715.091965</v>
      </c>
    </row>
    <row r="38" spans="1:33" x14ac:dyDescent="0.25">
      <c r="A38">
        <f t="shared" si="26"/>
        <v>31</v>
      </c>
      <c r="B38">
        <f t="shared" si="26"/>
        <v>2048</v>
      </c>
      <c r="C38" s="18">
        <f>C37*(1+City!$B$8)</f>
        <v>5345734.3540787101</v>
      </c>
      <c r="D38" s="18">
        <f t="shared" si="1"/>
        <v>226193.33870723104</v>
      </c>
      <c r="E38" s="18">
        <f t="shared" si="1"/>
        <v>103210.18695901088</v>
      </c>
      <c r="F38" s="18">
        <f t="shared" si="1"/>
        <v>117418.58616327272</v>
      </c>
      <c r="G38" s="18">
        <f t="shared" si="2"/>
        <v>446822.11182951467</v>
      </c>
      <c r="H38" s="18">
        <f t="shared" si="1"/>
        <v>23555.618922797126</v>
      </c>
      <c r="I38" s="18">
        <f t="shared" si="1"/>
        <v>3173.0528475964275</v>
      </c>
      <c r="J38" s="18">
        <f t="shared" si="1"/>
        <v>270756.7557934252</v>
      </c>
      <c r="K38" s="18">
        <f t="shared" si="3"/>
        <v>297485.42756381875</v>
      </c>
      <c r="L38" s="18">
        <f t="shared" si="4"/>
        <v>744307.53939333349</v>
      </c>
      <c r="M38" s="148">
        <f t="shared" si="5"/>
        <v>58604002888.197144</v>
      </c>
      <c r="N38" s="14">
        <f>'Fleet Types'!F45</f>
        <v>0.63593615517731694</v>
      </c>
      <c r="O38" s="20">
        <f t="shared" si="6"/>
        <v>52682.024940365569</v>
      </c>
      <c r="P38" s="20">
        <f t="shared" si="7"/>
        <v>28116.82781681127</v>
      </c>
      <c r="Q38" s="20">
        <f t="shared" si="8"/>
        <v>31076.02305157925</v>
      </c>
      <c r="R38" s="20">
        <f t="shared" si="9"/>
        <v>111874.87580875609</v>
      </c>
      <c r="S38" s="20">
        <f t="shared" si="10"/>
        <v>21260.458744488704</v>
      </c>
      <c r="T38" s="20">
        <f t="shared" si="11"/>
        <v>2863.8839582821547</v>
      </c>
      <c r="U38" s="20">
        <f t="shared" si="12"/>
        <v>244375.35923824375</v>
      </c>
      <c r="V38" s="20">
        <f t="shared" si="13"/>
        <v>268499.70194101462</v>
      </c>
      <c r="W38" s="20">
        <f t="shared" si="14"/>
        <v>156624.82613225852</v>
      </c>
      <c r="X38" s="20">
        <f t="shared" si="15"/>
        <v>173511.31376686547</v>
      </c>
      <c r="Y38" s="20">
        <f t="shared" si="16"/>
        <v>75093.35914219961</v>
      </c>
      <c r="Z38" s="20">
        <f t="shared" si="17"/>
        <v>86342.563111693467</v>
      </c>
      <c r="AA38" s="20">
        <f t="shared" si="18"/>
        <v>334947.23602075857</v>
      </c>
      <c r="AB38" s="20">
        <f t="shared" si="19"/>
        <v>44816.077667285834</v>
      </c>
      <c r="AC38" s="20">
        <f t="shared" si="20"/>
        <v>6036.9368058785822</v>
      </c>
      <c r="AD38" s="20">
        <f t="shared" si="21"/>
        <v>515132.11503166892</v>
      </c>
      <c r="AE38" s="20">
        <f t="shared" si="22"/>
        <v>565985.12950483337</v>
      </c>
      <c r="AF38" s="20">
        <f t="shared" si="23"/>
        <v>900932.36552559189</v>
      </c>
      <c r="AG38" s="148">
        <f t="shared" si="24"/>
        <v>78661979419.352966</v>
      </c>
    </row>
    <row r="39" spans="1:33" x14ac:dyDescent="0.25">
      <c r="A39">
        <f t="shared" si="26"/>
        <v>32</v>
      </c>
      <c r="B39">
        <f t="shared" si="26"/>
        <v>2049</v>
      </c>
      <c r="C39" s="18">
        <f>C38*(1+City!$B$8)</f>
        <v>5425920.3693898898</v>
      </c>
      <c r="D39" s="18">
        <f t="shared" si="1"/>
        <v>229586.23878783945</v>
      </c>
      <c r="E39" s="18">
        <f t="shared" si="1"/>
        <v>104758.33976339603</v>
      </c>
      <c r="F39" s="18">
        <f t="shared" si="1"/>
        <v>119179.86495572179</v>
      </c>
      <c r="G39" s="18">
        <f t="shared" si="2"/>
        <v>453524.44350695726</v>
      </c>
      <c r="H39" s="18">
        <f t="shared" si="1"/>
        <v>23908.953206639078</v>
      </c>
      <c r="I39" s="18">
        <f t="shared" si="1"/>
        <v>3220.6486403103731</v>
      </c>
      <c r="J39" s="18">
        <f t="shared" si="1"/>
        <v>274818.10713032651</v>
      </c>
      <c r="K39" s="18">
        <f t="shared" si="3"/>
        <v>301947.70897727594</v>
      </c>
      <c r="L39" s="18">
        <f t="shared" si="4"/>
        <v>755472.15248423326</v>
      </c>
      <c r="M39" s="148">
        <f t="shared" si="5"/>
        <v>59483062931.520088</v>
      </c>
      <c r="N39" s="14">
        <f>'Fleet Types'!F46</f>
        <v>0.6774653322264943</v>
      </c>
      <c r="O39" s="20">
        <f t="shared" si="6"/>
        <v>56964.207674931342</v>
      </c>
      <c r="P39" s="20">
        <f t="shared" si="7"/>
        <v>30402.263784092305</v>
      </c>
      <c r="Q39" s="20">
        <f t="shared" si="8"/>
        <v>33601.992953477966</v>
      </c>
      <c r="R39" s="20">
        <f t="shared" si="9"/>
        <v>120968.46441250162</v>
      </c>
      <c r="S39" s="20">
        <f t="shared" si="10"/>
        <v>22988.58459894577</v>
      </c>
      <c r="T39" s="20">
        <f t="shared" si="11"/>
        <v>3096.6706526781627</v>
      </c>
      <c r="U39" s="20">
        <f t="shared" si="12"/>
        <v>264239.05933837994</v>
      </c>
      <c r="V39" s="20">
        <f t="shared" si="13"/>
        <v>290324.31459000387</v>
      </c>
      <c r="W39" s="20">
        <f t="shared" si="14"/>
        <v>169355.85017750226</v>
      </c>
      <c r="X39" s="20">
        <f t="shared" si="15"/>
        <v>172622.03111290809</v>
      </c>
      <c r="Y39" s="20">
        <f t="shared" si="16"/>
        <v>74356.075979303714</v>
      </c>
      <c r="Z39" s="20">
        <f t="shared" si="17"/>
        <v>85577.872002243821</v>
      </c>
      <c r="AA39" s="20">
        <f t="shared" si="18"/>
        <v>332555.9790944556</v>
      </c>
      <c r="AB39" s="20">
        <f t="shared" si="19"/>
        <v>46897.537805584849</v>
      </c>
      <c r="AC39" s="20">
        <f t="shared" si="20"/>
        <v>6317.3192929885354</v>
      </c>
      <c r="AD39" s="20">
        <f t="shared" si="21"/>
        <v>539057.16646870645</v>
      </c>
      <c r="AE39" s="20">
        <f t="shared" si="22"/>
        <v>592272.0235672798</v>
      </c>
      <c r="AF39" s="20">
        <f t="shared" si="23"/>
        <v>924828.0026617354</v>
      </c>
      <c r="AG39" s="148">
        <f t="shared" si="24"/>
        <v>81171423277.445145</v>
      </c>
    </row>
    <row r="40" spans="1:33" x14ac:dyDescent="0.25">
      <c r="A40">
        <f t="shared" si="26"/>
        <v>33</v>
      </c>
      <c r="B40">
        <f t="shared" si="26"/>
        <v>2050</v>
      </c>
      <c r="C40" s="18">
        <f>C39*(1+City!$B$8)</f>
        <v>5507309.1749307374</v>
      </c>
      <c r="D40" s="18">
        <f t="shared" si="1"/>
        <v>233030.03236965701</v>
      </c>
      <c r="E40" s="18">
        <f t="shared" si="1"/>
        <v>106329.71485984695</v>
      </c>
      <c r="F40" s="18">
        <f t="shared" si="1"/>
        <v>120967.5629300576</v>
      </c>
      <c r="G40" s="18">
        <f t="shared" si="2"/>
        <v>460327.31015956152</v>
      </c>
      <c r="H40" s="18">
        <f t="shared" si="1"/>
        <v>24267.587504738662</v>
      </c>
      <c r="I40" s="18">
        <f t="shared" si="1"/>
        <v>3268.9583699150285</v>
      </c>
      <c r="J40" s="18">
        <f t="shared" si="1"/>
        <v>278940.37873728137</v>
      </c>
      <c r="K40" s="18">
        <f t="shared" si="3"/>
        <v>306476.92461193504</v>
      </c>
      <c r="L40" s="18">
        <f t="shared" si="4"/>
        <v>766804.23477149662</v>
      </c>
      <c r="M40" s="148">
        <f t="shared" si="5"/>
        <v>60375308875.492874</v>
      </c>
      <c r="N40" s="14">
        <f>'Fleet Types'!F47</f>
        <v>0.71727844873018176</v>
      </c>
      <c r="O40" s="20">
        <f t="shared" si="6"/>
        <v>61216.544255679706</v>
      </c>
      <c r="P40" s="20">
        <f t="shared" si="7"/>
        <v>32671.770614844736</v>
      </c>
      <c r="Q40" s="20">
        <f t="shared" si="8"/>
        <v>36110.357234387717</v>
      </c>
      <c r="R40" s="20">
        <f t="shared" si="9"/>
        <v>129998.67210491216</v>
      </c>
      <c r="S40" s="20">
        <f t="shared" si="10"/>
        <v>24704.665682484567</v>
      </c>
      <c r="T40" s="20">
        <f t="shared" si="11"/>
        <v>3327.8348596843848</v>
      </c>
      <c r="U40" s="20">
        <f t="shared" si="12"/>
        <v>283964.31250962021</v>
      </c>
      <c r="V40" s="20">
        <f t="shared" si="13"/>
        <v>311996.81305178918</v>
      </c>
      <c r="W40" s="20">
        <f t="shared" si="14"/>
        <v>181998.14094687701</v>
      </c>
      <c r="X40" s="20">
        <f t="shared" si="15"/>
        <v>171813.48811397731</v>
      </c>
      <c r="Y40" s="20">
        <f t="shared" si="16"/>
        <v>73657.944245002218</v>
      </c>
      <c r="Z40" s="20">
        <f t="shared" si="17"/>
        <v>84857.20569566988</v>
      </c>
      <c r="AA40" s="20">
        <f t="shared" si="18"/>
        <v>330328.6380546494</v>
      </c>
      <c r="AB40" s="20">
        <f t="shared" si="19"/>
        <v>48972.253187223228</v>
      </c>
      <c r="AC40" s="20">
        <f t="shared" si="20"/>
        <v>6596.7932295994133</v>
      </c>
      <c r="AD40" s="20">
        <f t="shared" si="21"/>
        <v>562904.69124690164</v>
      </c>
      <c r="AE40" s="20">
        <f t="shared" si="22"/>
        <v>618473.73766372423</v>
      </c>
      <c r="AF40" s="20">
        <f t="shared" si="23"/>
        <v>948802.37571837357</v>
      </c>
      <c r="AG40" s="148">
        <f t="shared" si="24"/>
        <v>83682689512.224442</v>
      </c>
    </row>
    <row r="41" spans="1:33" x14ac:dyDescent="0.25">
      <c r="A41">
        <f t="shared" si="26"/>
        <v>34</v>
      </c>
      <c r="B41">
        <f t="shared" si="26"/>
        <v>2051</v>
      </c>
      <c r="C41" s="18">
        <f>C40*(1+City!$B$8)</f>
        <v>5589918.8125546975</v>
      </c>
      <c r="D41" s="18">
        <f t="shared" ref="D41:J60" si="27">$C41*D$5</f>
        <v>236525.48285520184</v>
      </c>
      <c r="E41" s="18">
        <f t="shared" si="27"/>
        <v>107924.66058274463</v>
      </c>
      <c r="F41" s="18">
        <f t="shared" si="27"/>
        <v>122782.07637400844</v>
      </c>
      <c r="G41" s="18">
        <f t="shared" si="2"/>
        <v>467232.21981195488</v>
      </c>
      <c r="H41" s="18">
        <f t="shared" si="27"/>
        <v>24631.601317309734</v>
      </c>
      <c r="I41" s="18">
        <f t="shared" si="27"/>
        <v>3317.9927454637532</v>
      </c>
      <c r="J41" s="18">
        <f t="shared" si="27"/>
        <v>283124.48441834055</v>
      </c>
      <c r="K41" s="18">
        <f t="shared" si="3"/>
        <v>311074.07848111406</v>
      </c>
      <c r="L41" s="18">
        <f t="shared" si="4"/>
        <v>778306.29829306901</v>
      </c>
      <c r="M41" s="148">
        <f t="shared" si="5"/>
        <v>61280938508.625259</v>
      </c>
      <c r="N41" s="14">
        <f>'Fleet Types'!F48</f>
        <v>0.75428269343965637</v>
      </c>
      <c r="O41" s="20">
        <f t="shared" si="6"/>
        <v>65340.313326680814</v>
      </c>
      <c r="P41" s="20">
        <f t="shared" si="7"/>
        <v>34872.659913554846</v>
      </c>
      <c r="Q41" s="20">
        <f t="shared" si="8"/>
        <v>38542.882234231256</v>
      </c>
      <c r="R41" s="20">
        <f t="shared" si="9"/>
        <v>138755.85547446692</v>
      </c>
      <c r="S41" s="20">
        <f t="shared" si="10"/>
        <v>26368.861815891763</v>
      </c>
      <c r="T41" s="20">
        <f t="shared" si="11"/>
        <v>3552.0099194598724</v>
      </c>
      <c r="U41" s="20">
        <f t="shared" si="12"/>
        <v>303093.181403369</v>
      </c>
      <c r="V41" s="20">
        <f t="shared" si="13"/>
        <v>333014.05313872063</v>
      </c>
      <c r="W41" s="20">
        <f t="shared" si="14"/>
        <v>194258.1976642537</v>
      </c>
      <c r="X41" s="20">
        <f t="shared" si="15"/>
        <v>171185.16952852102</v>
      </c>
      <c r="Y41" s="20">
        <f t="shared" si="16"/>
        <v>73052.000669189787</v>
      </c>
      <c r="Z41" s="20">
        <f t="shared" si="17"/>
        <v>84239.194139777188</v>
      </c>
      <c r="AA41" s="20">
        <f t="shared" si="18"/>
        <v>328476.36433748796</v>
      </c>
      <c r="AB41" s="20">
        <f t="shared" si="19"/>
        <v>51000.463133201498</v>
      </c>
      <c r="AC41" s="20">
        <f t="shared" si="20"/>
        <v>6870.0026649236261</v>
      </c>
      <c r="AD41" s="20">
        <f t="shared" si="21"/>
        <v>586217.66582170955</v>
      </c>
      <c r="AE41" s="20">
        <f t="shared" si="22"/>
        <v>644088.13161983469</v>
      </c>
      <c r="AF41" s="20">
        <f t="shared" si="23"/>
        <v>972564.49595732265</v>
      </c>
      <c r="AG41" s="148">
        <f t="shared" si="24"/>
        <v>86158389076.033875</v>
      </c>
    </row>
    <row r="42" spans="1:33" x14ac:dyDescent="0.25">
      <c r="A42">
        <f t="shared" ref="A42:B57" si="28">A41+1</f>
        <v>35</v>
      </c>
      <c r="B42">
        <f t="shared" si="28"/>
        <v>2052</v>
      </c>
      <c r="C42" s="18">
        <f>C41*(1+City!$B$8)</f>
        <v>5673767.5947430171</v>
      </c>
      <c r="D42" s="18">
        <f t="shared" si="27"/>
        <v>240073.36509802984</v>
      </c>
      <c r="E42" s="18">
        <f t="shared" si="27"/>
        <v>109543.53049148578</v>
      </c>
      <c r="F42" s="18">
        <f t="shared" si="27"/>
        <v>124623.80751961854</v>
      </c>
      <c r="G42" s="18">
        <f t="shared" si="2"/>
        <v>474240.70310913416</v>
      </c>
      <c r="H42" s="18">
        <f t="shared" si="27"/>
        <v>25001.075337069378</v>
      </c>
      <c r="I42" s="18">
        <f t="shared" si="27"/>
        <v>3367.7626366457089</v>
      </c>
      <c r="J42" s="18">
        <f t="shared" si="27"/>
        <v>287371.3516846156</v>
      </c>
      <c r="K42" s="18">
        <f t="shared" si="3"/>
        <v>315740.1896583307</v>
      </c>
      <c r="L42" s="18">
        <f t="shared" si="4"/>
        <v>789980.89276746486</v>
      </c>
      <c r="M42" s="148">
        <f t="shared" si="5"/>
        <v>62200152586.254623</v>
      </c>
      <c r="N42" s="14">
        <f>'Fleet Types'!F49</f>
        <v>0.78843487005184687</v>
      </c>
      <c r="O42" s="20">
        <f t="shared" si="6"/>
        <v>69323.253235631593</v>
      </c>
      <c r="P42" s="20">
        <f t="shared" si="7"/>
        <v>36998.38753604926</v>
      </c>
      <c r="Q42" s="20">
        <f t="shared" si="8"/>
        <v>40892.335061143604</v>
      </c>
      <c r="R42" s="20">
        <f t="shared" si="9"/>
        <v>147213.97583282448</v>
      </c>
      <c r="S42" s="20">
        <f t="shared" si="10"/>
        <v>27976.224663312296</v>
      </c>
      <c r="T42" s="20">
        <f t="shared" si="11"/>
        <v>3768.529267851623</v>
      </c>
      <c r="U42" s="20">
        <f t="shared" si="12"/>
        <v>321568.78806761483</v>
      </c>
      <c r="V42" s="20">
        <f t="shared" si="13"/>
        <v>353313.54199877876</v>
      </c>
      <c r="W42" s="20">
        <f t="shared" si="14"/>
        <v>206099.56616595428</v>
      </c>
      <c r="X42" s="20">
        <f t="shared" si="15"/>
        <v>170750.11186239825</v>
      </c>
      <c r="Y42" s="20">
        <f t="shared" si="16"/>
        <v>72545.142955436517</v>
      </c>
      <c r="Z42" s="20">
        <f t="shared" si="17"/>
        <v>83731.472458474935</v>
      </c>
      <c r="AA42" s="20">
        <f t="shared" si="18"/>
        <v>327026.72727630968</v>
      </c>
      <c r="AB42" s="20">
        <f t="shared" si="19"/>
        <v>52977.300000381671</v>
      </c>
      <c r="AC42" s="20">
        <f t="shared" si="20"/>
        <v>7136.2919044973314</v>
      </c>
      <c r="AD42" s="20">
        <f t="shared" si="21"/>
        <v>608940.13975223037</v>
      </c>
      <c r="AE42" s="20">
        <f t="shared" si="22"/>
        <v>669053.73165710934</v>
      </c>
      <c r="AF42" s="20">
        <f t="shared" si="23"/>
        <v>996080.45893341908</v>
      </c>
      <c r="AG42" s="148">
        <f t="shared" si="24"/>
        <v>88594054264.059448</v>
      </c>
    </row>
    <row r="43" spans="1:33" x14ac:dyDescent="0.25">
      <c r="A43">
        <f t="shared" si="28"/>
        <v>36</v>
      </c>
      <c r="B43">
        <f t="shared" si="28"/>
        <v>2053</v>
      </c>
      <c r="C43" s="18">
        <f>C42*(1+City!$B$8)</f>
        <v>5758874.1086641615</v>
      </c>
      <c r="D43" s="18">
        <f t="shared" si="27"/>
        <v>243674.46557450024</v>
      </c>
      <c r="E43" s="18">
        <f t="shared" si="27"/>
        <v>111186.68344885805</v>
      </c>
      <c r="F43" s="18">
        <f t="shared" si="27"/>
        <v>126493.16463241281</v>
      </c>
      <c r="G43" s="18">
        <f t="shared" si="2"/>
        <v>481354.31365577108</v>
      </c>
      <c r="H43" s="18">
        <f t="shared" si="27"/>
        <v>25376.091467125414</v>
      </c>
      <c r="I43" s="18">
        <f t="shared" si="27"/>
        <v>3418.2790761953943</v>
      </c>
      <c r="J43" s="18">
        <f t="shared" si="27"/>
        <v>291681.92195988481</v>
      </c>
      <c r="K43" s="18">
        <f t="shared" si="3"/>
        <v>320476.29250320559</v>
      </c>
      <c r="L43" s="18">
        <f t="shared" si="4"/>
        <v>801830.60615897668</v>
      </c>
      <c r="M43" s="148">
        <f t="shared" si="5"/>
        <v>63133154875.048447</v>
      </c>
      <c r="N43" s="14">
        <f>'Fleet Types'!F50</f>
        <v>0.82012911446203174</v>
      </c>
      <c r="O43" s="20">
        <f t="shared" si="6"/>
        <v>73191.624006035432</v>
      </c>
      <c r="P43" s="20">
        <f t="shared" si="7"/>
        <v>39062.968671762079</v>
      </c>
      <c r="Q43" s="20">
        <f t="shared" si="8"/>
        <v>43174.205952955446</v>
      </c>
      <c r="R43" s="20">
        <f t="shared" si="9"/>
        <v>155428.79863075295</v>
      </c>
      <c r="S43" s="20">
        <f t="shared" si="10"/>
        <v>29537.351770056077</v>
      </c>
      <c r="T43" s="20">
        <f t="shared" si="11"/>
        <v>3978.8204441415955</v>
      </c>
      <c r="U43" s="20">
        <f t="shared" si="12"/>
        <v>339512.94449960947</v>
      </c>
      <c r="V43" s="20">
        <f t="shared" si="13"/>
        <v>373029.11671380716</v>
      </c>
      <c r="W43" s="20">
        <f t="shared" si="14"/>
        <v>217600.31808305421</v>
      </c>
      <c r="X43" s="20">
        <f t="shared" si="15"/>
        <v>170482.84156846482</v>
      </c>
      <c r="Y43" s="20">
        <f t="shared" si="16"/>
        <v>72123.714777095971</v>
      </c>
      <c r="Z43" s="20">
        <f t="shared" si="17"/>
        <v>83318.95867945737</v>
      </c>
      <c r="AA43" s="20">
        <f t="shared" si="18"/>
        <v>325925.51502501813</v>
      </c>
      <c r="AB43" s="20">
        <f t="shared" si="19"/>
        <v>54913.443237181491</v>
      </c>
      <c r="AC43" s="20">
        <f t="shared" si="20"/>
        <v>7397.0995203369894</v>
      </c>
      <c r="AD43" s="20">
        <f t="shared" si="21"/>
        <v>631194.86645949422</v>
      </c>
      <c r="AE43" s="20">
        <f t="shared" si="22"/>
        <v>693505.4092170127</v>
      </c>
      <c r="AF43" s="20">
        <f t="shared" si="23"/>
        <v>1019430.9242420308</v>
      </c>
      <c r="AG43" s="148">
        <f t="shared" si="24"/>
        <v>90999886995.768112</v>
      </c>
    </row>
    <row r="44" spans="1:33" x14ac:dyDescent="0.25">
      <c r="A44">
        <f t="shared" si="28"/>
        <v>37</v>
      </c>
      <c r="B44">
        <f t="shared" si="28"/>
        <v>2054</v>
      </c>
      <c r="C44" s="18">
        <f>C43*(1+City!$B$8)</f>
        <v>5845257.2202941235</v>
      </c>
      <c r="D44" s="18">
        <f t="shared" si="27"/>
        <v>247329.58255811772</v>
      </c>
      <c r="E44" s="18">
        <f t="shared" si="27"/>
        <v>112854.48370059092</v>
      </c>
      <c r="F44" s="18">
        <f t="shared" si="27"/>
        <v>128390.56210189899</v>
      </c>
      <c r="G44" s="18">
        <f t="shared" si="2"/>
        <v>488574.62836060766</v>
      </c>
      <c r="H44" s="18">
        <f t="shared" si="27"/>
        <v>25756.732839132295</v>
      </c>
      <c r="I44" s="18">
        <f t="shared" si="27"/>
        <v>3469.5532623383247</v>
      </c>
      <c r="J44" s="18">
        <f t="shared" si="27"/>
        <v>296057.15078928304</v>
      </c>
      <c r="K44" s="18">
        <f t="shared" si="3"/>
        <v>325283.43689075368</v>
      </c>
      <c r="L44" s="18">
        <f t="shared" si="4"/>
        <v>813858.06525136135</v>
      </c>
      <c r="M44" s="148">
        <f t="shared" si="5"/>
        <v>64080152198.174164</v>
      </c>
      <c r="N44" s="14">
        <f>'Fleet Types'!F51</f>
        <v>0.84934516169310526</v>
      </c>
      <c r="O44" s="20">
        <f t="shared" si="6"/>
        <v>76935.966409711036</v>
      </c>
      <c r="P44" s="20">
        <f t="shared" si="7"/>
        <v>41061.354853206409</v>
      </c>
      <c r="Q44" s="20">
        <f t="shared" si="8"/>
        <v>45382.915109092552</v>
      </c>
      <c r="R44" s="20">
        <f t="shared" si="9"/>
        <v>163380.23637201</v>
      </c>
      <c r="S44" s="20">
        <f t="shared" si="10"/>
        <v>31048.425751906569</v>
      </c>
      <c r="T44" s="20">
        <f t="shared" si="11"/>
        <v>4182.369228690799</v>
      </c>
      <c r="U44" s="20">
        <f t="shared" si="12"/>
        <v>356881.77231222665</v>
      </c>
      <c r="V44" s="20">
        <f t="shared" si="13"/>
        <v>392112.56729282404</v>
      </c>
      <c r="W44" s="20">
        <f t="shared" si="14"/>
        <v>228732.33092081404</v>
      </c>
      <c r="X44" s="20">
        <f t="shared" si="15"/>
        <v>170393.6161484067</v>
      </c>
      <c r="Y44" s="20">
        <f t="shared" si="16"/>
        <v>71793.128847384505</v>
      </c>
      <c r="Z44" s="20">
        <f t="shared" si="17"/>
        <v>83007.646992806433</v>
      </c>
      <c r="AA44" s="20">
        <f t="shared" si="18"/>
        <v>325194.39198859764</v>
      </c>
      <c r="AB44" s="20">
        <f t="shared" si="19"/>
        <v>56805.158591038868</v>
      </c>
      <c r="AC44" s="20">
        <f t="shared" si="20"/>
        <v>7651.9224910291232</v>
      </c>
      <c r="AD44" s="20">
        <f t="shared" si="21"/>
        <v>652938.92310150969</v>
      </c>
      <c r="AE44" s="20">
        <f t="shared" si="22"/>
        <v>717396.00418357772</v>
      </c>
      <c r="AF44" s="20">
        <f t="shared" si="23"/>
        <v>1042590.3961721754</v>
      </c>
      <c r="AG44" s="148">
        <f t="shared" si="24"/>
        <v>93372492619.686218</v>
      </c>
    </row>
    <row r="45" spans="1:33" x14ac:dyDescent="0.25">
      <c r="A45">
        <f t="shared" si="28"/>
        <v>38</v>
      </c>
      <c r="B45">
        <f t="shared" si="28"/>
        <v>2055</v>
      </c>
      <c r="C45" s="18">
        <f>C44*(1+City!$B$8)</f>
        <v>5932936.0785985347</v>
      </c>
      <c r="D45" s="18">
        <f t="shared" si="27"/>
        <v>251039.52629648946</v>
      </c>
      <c r="E45" s="18">
        <f t="shared" si="27"/>
        <v>114547.30095609977</v>
      </c>
      <c r="F45" s="18">
        <f t="shared" si="27"/>
        <v>130316.42053342746</v>
      </c>
      <c r="G45" s="18">
        <f t="shared" si="2"/>
        <v>495903.24778601667</v>
      </c>
      <c r="H45" s="18">
        <f t="shared" si="27"/>
        <v>26143.083831719276</v>
      </c>
      <c r="I45" s="18">
        <f t="shared" si="27"/>
        <v>3521.5965612733994</v>
      </c>
      <c r="J45" s="18">
        <f t="shared" si="27"/>
        <v>300498.00805112225</v>
      </c>
      <c r="K45" s="18">
        <f t="shared" si="3"/>
        <v>330162.68844411493</v>
      </c>
      <c r="L45" s="18">
        <f t="shared" si="4"/>
        <v>826065.93623013166</v>
      </c>
      <c r="M45" s="148">
        <f t="shared" si="5"/>
        <v>65041354481.146767</v>
      </c>
      <c r="N45" s="14">
        <f>'Fleet Types'!F52</f>
        <v>0.87612910000253874</v>
      </c>
      <c r="O45" s="20">
        <f t="shared" si="6"/>
        <v>80552.559406010158</v>
      </c>
      <c r="P45" s="20">
        <f t="shared" si="7"/>
        <v>42991.560130538375</v>
      </c>
      <c r="Q45" s="20">
        <f t="shared" si="8"/>
        <v>47516.267565616246</v>
      </c>
      <c r="R45" s="20">
        <f t="shared" si="9"/>
        <v>171060.38710216479</v>
      </c>
      <c r="S45" s="20">
        <f t="shared" si="10"/>
        <v>32507.944938582896</v>
      </c>
      <c r="T45" s="20">
        <f t="shared" si="11"/>
        <v>4378.9733394375107</v>
      </c>
      <c r="U45" s="20">
        <f t="shared" si="12"/>
        <v>373658.01076717512</v>
      </c>
      <c r="V45" s="20">
        <f t="shared" si="13"/>
        <v>410544.92904519552</v>
      </c>
      <c r="W45" s="20">
        <f t="shared" si="14"/>
        <v>239484.54194303072</v>
      </c>
      <c r="X45" s="20">
        <f t="shared" si="15"/>
        <v>170486.96689047932</v>
      </c>
      <c r="Y45" s="20">
        <f t="shared" si="16"/>
        <v>71555.740825561399</v>
      </c>
      <c r="Z45" s="20">
        <f t="shared" si="17"/>
        <v>82800.152967811213</v>
      </c>
      <c r="AA45" s="20">
        <f t="shared" si="18"/>
        <v>324842.86068385193</v>
      </c>
      <c r="AB45" s="20">
        <f t="shared" si="19"/>
        <v>58651.028770302175</v>
      </c>
      <c r="AC45" s="20">
        <f t="shared" si="20"/>
        <v>7900.5699007109106</v>
      </c>
      <c r="AD45" s="20">
        <f t="shared" si="21"/>
        <v>674156.01881829742</v>
      </c>
      <c r="AE45" s="20">
        <f t="shared" si="22"/>
        <v>740707.61748931045</v>
      </c>
      <c r="AF45" s="20">
        <f t="shared" si="23"/>
        <v>1065550.4781731623</v>
      </c>
      <c r="AG45" s="148">
        <f t="shared" si="24"/>
        <v>95710664324.859772</v>
      </c>
    </row>
    <row r="46" spans="1:33" x14ac:dyDescent="0.25">
      <c r="A46">
        <f t="shared" si="28"/>
        <v>39</v>
      </c>
      <c r="B46">
        <f t="shared" si="28"/>
        <v>2056</v>
      </c>
      <c r="C46" s="18">
        <f>C45*(1+City!$B$8)</f>
        <v>6021930.1197775118</v>
      </c>
      <c r="D46" s="18">
        <f t="shared" si="27"/>
        <v>254805.11919093676</v>
      </c>
      <c r="E46" s="18">
        <f t="shared" si="27"/>
        <v>116265.51047044125</v>
      </c>
      <c r="F46" s="18">
        <f t="shared" si="27"/>
        <v>132271.16684142884</v>
      </c>
      <c r="G46" s="18">
        <f t="shared" si="2"/>
        <v>503341.79650280683</v>
      </c>
      <c r="H46" s="18">
        <f t="shared" si="27"/>
        <v>26535.230089195062</v>
      </c>
      <c r="I46" s="18">
        <f t="shared" si="27"/>
        <v>3574.4205096924998</v>
      </c>
      <c r="J46" s="18">
        <f t="shared" si="27"/>
        <v>305005.47817188903</v>
      </c>
      <c r="K46" s="18">
        <f t="shared" si="3"/>
        <v>335115.12877077662</v>
      </c>
      <c r="L46" s="18">
        <f t="shared" si="4"/>
        <v>838456.9252735835</v>
      </c>
      <c r="M46" s="148">
        <f t="shared" si="5"/>
        <v>66016974798.363953</v>
      </c>
      <c r="N46" s="14">
        <f>'Fleet Types'!F53</f>
        <v>0.90057662979279163</v>
      </c>
      <c r="O46" s="20">
        <f t="shared" si="6"/>
        <v>84042.304676217944</v>
      </c>
      <c r="P46" s="20">
        <f t="shared" si="7"/>
        <v>44854.065738438476</v>
      </c>
      <c r="Q46" s="20">
        <f t="shared" si="8"/>
        <v>49574.795205430317</v>
      </c>
      <c r="R46" s="20">
        <f t="shared" si="9"/>
        <v>178471.16562008671</v>
      </c>
      <c r="S46" s="20">
        <f t="shared" si="10"/>
        <v>33916.27321430904</v>
      </c>
      <c r="T46" s="20">
        <f t="shared" si="11"/>
        <v>4568.6817933010852</v>
      </c>
      <c r="U46" s="20">
        <f t="shared" si="12"/>
        <v>389845.84248059802</v>
      </c>
      <c r="V46" s="20">
        <f t="shared" si="13"/>
        <v>428330.79748820816</v>
      </c>
      <c r="W46" s="20">
        <f t="shared" si="14"/>
        <v>249859.63186812145</v>
      </c>
      <c r="X46" s="20">
        <f t="shared" si="15"/>
        <v>170762.81451471883</v>
      </c>
      <c r="Y46" s="20">
        <f t="shared" si="16"/>
        <v>71411.444732002768</v>
      </c>
      <c r="Z46" s="20">
        <f t="shared" si="17"/>
        <v>82696.371635998526</v>
      </c>
      <c r="AA46" s="20">
        <f t="shared" si="18"/>
        <v>324870.63088272011</v>
      </c>
      <c r="AB46" s="20">
        <f t="shared" si="19"/>
        <v>60451.503303504098</v>
      </c>
      <c r="AC46" s="20">
        <f t="shared" si="20"/>
        <v>8143.102302993585</v>
      </c>
      <c r="AD46" s="20">
        <f t="shared" si="21"/>
        <v>694851.32065248699</v>
      </c>
      <c r="AE46" s="20">
        <f t="shared" si="22"/>
        <v>763445.92625898472</v>
      </c>
      <c r="AF46" s="20">
        <f t="shared" si="23"/>
        <v>1088316.557141705</v>
      </c>
      <c r="AG46" s="148">
        <f t="shared" si="24"/>
        <v>98014958488.778427</v>
      </c>
    </row>
    <row r="47" spans="1:33" x14ac:dyDescent="0.25">
      <c r="A47">
        <f t="shared" si="28"/>
        <v>40</v>
      </c>
      <c r="B47">
        <f t="shared" si="28"/>
        <v>2057</v>
      </c>
      <c r="C47" s="18">
        <f>C46*(1+City!$B$8)</f>
        <v>6112259.0715741739</v>
      </c>
      <c r="D47" s="18">
        <f t="shared" si="27"/>
        <v>258627.1959788008</v>
      </c>
      <c r="E47" s="18">
        <f t="shared" si="27"/>
        <v>118009.49312749786</v>
      </c>
      <c r="F47" s="18">
        <f t="shared" si="27"/>
        <v>134255.23434405026</v>
      </c>
      <c r="G47" s="18">
        <f t="shared" si="2"/>
        <v>510891.9234503489</v>
      </c>
      <c r="H47" s="18">
        <f t="shared" si="27"/>
        <v>26933.258540532985</v>
      </c>
      <c r="I47" s="18">
        <f t="shared" si="27"/>
        <v>3628.036817337887</v>
      </c>
      <c r="J47" s="18">
        <f t="shared" si="27"/>
        <v>309580.56034446735</v>
      </c>
      <c r="K47" s="18">
        <f t="shared" si="3"/>
        <v>340141.85570233822</v>
      </c>
      <c r="L47" s="18">
        <f t="shared" si="4"/>
        <v>851033.77915268717</v>
      </c>
      <c r="M47" s="148">
        <f t="shared" si="5"/>
        <v>67007229420.339417</v>
      </c>
      <c r="N47" s="14">
        <f>'Fleet Types'!F54</f>
        <v>0.9228174956658447</v>
      </c>
      <c r="O47" s="20">
        <f t="shared" si="6"/>
        <v>87409.601986201596</v>
      </c>
      <c r="P47" s="20">
        <f t="shared" si="7"/>
        <v>46651.219867954082</v>
      </c>
      <c r="Q47" s="20">
        <f t="shared" si="8"/>
        <v>51561.093358263744</v>
      </c>
      <c r="R47" s="20">
        <f t="shared" si="9"/>
        <v>185621.91521241944</v>
      </c>
      <c r="S47" s="20">
        <f t="shared" si="10"/>
        <v>35275.186157013384</v>
      </c>
      <c r="T47" s="20">
        <f t="shared" si="11"/>
        <v>4751.7337689938404</v>
      </c>
      <c r="U47" s="20">
        <f t="shared" si="12"/>
        <v>405465.67658379942</v>
      </c>
      <c r="V47" s="20">
        <f t="shared" si="13"/>
        <v>445492.59650980664</v>
      </c>
      <c r="W47" s="20">
        <f t="shared" si="14"/>
        <v>259870.6812973872</v>
      </c>
      <c r="X47" s="20">
        <f t="shared" si="15"/>
        <v>171217.5939925992</v>
      </c>
      <c r="Y47" s="20">
        <f t="shared" si="16"/>
        <v>71358.273259543785</v>
      </c>
      <c r="Z47" s="20">
        <f t="shared" si="17"/>
        <v>82694.140985786507</v>
      </c>
      <c r="AA47" s="20">
        <f t="shared" si="18"/>
        <v>325270.00823792949</v>
      </c>
      <c r="AB47" s="20">
        <f t="shared" si="19"/>
        <v>62208.444697546365</v>
      </c>
      <c r="AC47" s="20">
        <f t="shared" si="20"/>
        <v>8379.7705863317278</v>
      </c>
      <c r="AD47" s="20">
        <f t="shared" si="21"/>
        <v>715046.23692826671</v>
      </c>
      <c r="AE47" s="20">
        <f t="shared" si="22"/>
        <v>785634.45221214485</v>
      </c>
      <c r="AF47" s="20">
        <f t="shared" si="23"/>
        <v>1110904.4604500744</v>
      </c>
      <c r="AG47" s="148">
        <f t="shared" si="24"/>
        <v>100287266533.97615</v>
      </c>
    </row>
    <row r="48" spans="1:33" x14ac:dyDescent="0.25">
      <c r="A48">
        <f t="shared" si="28"/>
        <v>41</v>
      </c>
      <c r="B48">
        <f t="shared" si="28"/>
        <v>2058</v>
      </c>
      <c r="C48" s="18">
        <f>C47*(1+City!$B$8)</f>
        <v>6203942.9576477855</v>
      </c>
      <c r="D48" s="18">
        <f t="shared" si="27"/>
        <v>262506.60391848278</v>
      </c>
      <c r="E48" s="18">
        <f t="shared" si="27"/>
        <v>119779.6355244103</v>
      </c>
      <c r="F48" s="18">
        <f t="shared" si="27"/>
        <v>136269.062859211</v>
      </c>
      <c r="G48" s="18">
        <f t="shared" si="2"/>
        <v>518555.30230210407</v>
      </c>
      <c r="H48" s="18">
        <f t="shared" si="27"/>
        <v>27337.257418640977</v>
      </c>
      <c r="I48" s="18">
        <f t="shared" si="27"/>
        <v>3682.4573695979548</v>
      </c>
      <c r="J48" s="18">
        <f t="shared" si="27"/>
        <v>314224.26874963433</v>
      </c>
      <c r="K48" s="18">
        <f t="shared" si="3"/>
        <v>345243.98353787325</v>
      </c>
      <c r="L48" s="18">
        <f t="shared" si="4"/>
        <v>863799.28583997732</v>
      </c>
      <c r="M48" s="148">
        <f t="shared" si="5"/>
        <v>68012337861.644493</v>
      </c>
      <c r="N48" s="14">
        <f>'Fleet Types'!F55</f>
        <v>0.94300215080444838</v>
      </c>
      <c r="O48" s="20">
        <f t="shared" si="6"/>
        <v>90661.322208343874</v>
      </c>
      <c r="P48" s="20">
        <f t="shared" si="7"/>
        <v>48386.689559901395</v>
      </c>
      <c r="Q48" s="20">
        <f t="shared" si="8"/>
        <v>53479.215007820036</v>
      </c>
      <c r="R48" s="20">
        <f t="shared" si="9"/>
        <v>192527.2267760653</v>
      </c>
      <c r="S48" s="20">
        <f t="shared" si="10"/>
        <v>36587.456589095891</v>
      </c>
      <c r="T48" s="20">
        <f t="shared" si="11"/>
        <v>4928.5027787567788</v>
      </c>
      <c r="U48" s="20">
        <f t="shared" si="12"/>
        <v>420549.3848947041</v>
      </c>
      <c r="V48" s="20">
        <f t="shared" si="13"/>
        <v>462065.34426255675</v>
      </c>
      <c r="W48" s="20">
        <f t="shared" si="14"/>
        <v>269538.11748649145</v>
      </c>
      <c r="X48" s="20">
        <f t="shared" si="15"/>
        <v>171845.28171013889</v>
      </c>
      <c r="Y48" s="20">
        <f t="shared" si="16"/>
        <v>71392.945964508908</v>
      </c>
      <c r="Z48" s="20">
        <f t="shared" si="17"/>
        <v>82789.847851390965</v>
      </c>
      <c r="AA48" s="20">
        <f t="shared" si="18"/>
        <v>326028.07552603877</v>
      </c>
      <c r="AB48" s="20">
        <f t="shared" si="19"/>
        <v>63924.714007736868</v>
      </c>
      <c r="AC48" s="20">
        <f t="shared" si="20"/>
        <v>8610.960148354734</v>
      </c>
      <c r="AD48" s="20">
        <f t="shared" si="21"/>
        <v>734773.65364433848</v>
      </c>
      <c r="AE48" s="20">
        <f t="shared" si="22"/>
        <v>807309.32780043012</v>
      </c>
      <c r="AF48" s="20">
        <f t="shared" si="23"/>
        <v>1133337.403326469</v>
      </c>
      <c r="AG48" s="148">
        <f t="shared" si="24"/>
        <v>102530423967.80658</v>
      </c>
    </row>
    <row r="49" spans="1:33" x14ac:dyDescent="0.25">
      <c r="A49">
        <f t="shared" si="28"/>
        <v>42</v>
      </c>
      <c r="B49">
        <f t="shared" si="28"/>
        <v>2059</v>
      </c>
      <c r="C49" s="18">
        <f>C48*(1+City!$B$8)</f>
        <v>6297002.102012502</v>
      </c>
      <c r="D49" s="18">
        <f t="shared" si="27"/>
        <v>266444.20297725999</v>
      </c>
      <c r="E49" s="18">
        <f t="shared" si="27"/>
        <v>121576.33005727646</v>
      </c>
      <c r="F49" s="18">
        <f t="shared" si="27"/>
        <v>138313.09880209915</v>
      </c>
      <c r="G49" s="18">
        <f t="shared" si="2"/>
        <v>526333.63183663564</v>
      </c>
      <c r="H49" s="18">
        <f t="shared" si="27"/>
        <v>27747.316279920589</v>
      </c>
      <c r="I49" s="18">
        <f t="shared" si="27"/>
        <v>3737.6942301419235</v>
      </c>
      <c r="J49" s="18">
        <f t="shared" si="27"/>
        <v>318937.6327808788</v>
      </c>
      <c r="K49" s="18">
        <f t="shared" si="3"/>
        <v>350422.64329094131</v>
      </c>
      <c r="L49" s="18">
        <f t="shared" si="4"/>
        <v>876756.2751275769</v>
      </c>
      <c r="M49" s="148">
        <f t="shared" si="5"/>
        <v>69032522929.569153</v>
      </c>
      <c r="N49" s="14">
        <f>'Fleet Types'!F56</f>
        <v>0.96129106996511682</v>
      </c>
      <c r="O49" s="20">
        <f t="shared" si="6"/>
        <v>93805.934743733829</v>
      </c>
      <c r="P49" s="20">
        <f t="shared" si="7"/>
        <v>50064.995002948264</v>
      </c>
      <c r="Q49" s="20">
        <f t="shared" si="8"/>
        <v>55334.156076404281</v>
      </c>
      <c r="R49" s="20">
        <f t="shared" si="9"/>
        <v>199205.08582308638</v>
      </c>
      <c r="S49" s="20">
        <f t="shared" si="10"/>
        <v>37856.502438258663</v>
      </c>
      <c r="T49" s="20">
        <f t="shared" si="11"/>
        <v>5099.4492335544182</v>
      </c>
      <c r="U49" s="20">
        <f t="shared" si="12"/>
        <v>435136.25430359424</v>
      </c>
      <c r="V49" s="20">
        <f t="shared" si="13"/>
        <v>478092.20597540733</v>
      </c>
      <c r="W49" s="20">
        <f t="shared" si="14"/>
        <v>278887.12015232095</v>
      </c>
      <c r="X49" s="20">
        <f t="shared" si="15"/>
        <v>172638.26823352615</v>
      </c>
      <c r="Y49" s="20">
        <f t="shared" si="16"/>
        <v>71511.335054328199</v>
      </c>
      <c r="Z49" s="20">
        <f t="shared" si="17"/>
        <v>82978.942725694869</v>
      </c>
      <c r="AA49" s="20">
        <f t="shared" si="18"/>
        <v>327128.5460135492</v>
      </c>
      <c r="AB49" s="20">
        <f t="shared" si="19"/>
        <v>65603.818718179245</v>
      </c>
      <c r="AC49" s="20">
        <f t="shared" si="20"/>
        <v>8837.1434636963422</v>
      </c>
      <c r="AD49" s="20">
        <f t="shared" si="21"/>
        <v>754073.88708447304</v>
      </c>
      <c r="AE49" s="20">
        <f t="shared" si="22"/>
        <v>828514.84926634864</v>
      </c>
      <c r="AF49" s="20">
        <f t="shared" si="23"/>
        <v>1155643.3952798978</v>
      </c>
      <c r="AG49" s="148">
        <f t="shared" si="24"/>
        <v>104747878208.77136</v>
      </c>
    </row>
    <row r="50" spans="1:33" x14ac:dyDescent="0.25">
      <c r="A50">
        <f t="shared" si="28"/>
        <v>43</v>
      </c>
      <c r="B50">
        <f t="shared" si="28"/>
        <v>2060</v>
      </c>
      <c r="C50" s="18">
        <f>C49*(1+City!$B$8)</f>
        <v>6391457.1335426886</v>
      </c>
      <c r="D50" s="18">
        <f t="shared" si="27"/>
        <v>270440.86602191883</v>
      </c>
      <c r="E50" s="18">
        <f t="shared" si="27"/>
        <v>123399.97500813559</v>
      </c>
      <c r="F50" s="18">
        <f t="shared" si="27"/>
        <v>140387.79528413061</v>
      </c>
      <c r="G50" s="18">
        <f t="shared" si="2"/>
        <v>534228.6363141851</v>
      </c>
      <c r="H50" s="18">
        <f t="shared" si="27"/>
        <v>28163.526024119394</v>
      </c>
      <c r="I50" s="18">
        <f t="shared" si="27"/>
        <v>3793.7596435940518</v>
      </c>
      <c r="J50" s="18">
        <f t="shared" si="27"/>
        <v>323721.69727259193</v>
      </c>
      <c r="K50" s="18">
        <f t="shared" si="3"/>
        <v>355678.98294030537</v>
      </c>
      <c r="L50" s="18">
        <f t="shared" si="4"/>
        <v>889907.61925449048</v>
      </c>
      <c r="M50" s="148">
        <f t="shared" si="5"/>
        <v>70068010773.51268</v>
      </c>
      <c r="N50" s="14">
        <f>'Fleet Types'!F57</f>
        <v>0.9778466812580221</v>
      </c>
      <c r="O50" s="20">
        <f t="shared" si="6"/>
        <v>96852.807864341477</v>
      </c>
      <c r="P50" s="20">
        <f t="shared" si="7"/>
        <v>51691.136120507239</v>
      </c>
      <c r="Q50" s="20">
        <f t="shared" si="8"/>
        <v>57131.442711426775</v>
      </c>
      <c r="R50" s="20">
        <f t="shared" si="9"/>
        <v>205675.3866962755</v>
      </c>
      <c r="S50" s="20">
        <f t="shared" si="10"/>
        <v>39086.104382255638</v>
      </c>
      <c r="T50" s="20">
        <f t="shared" si="11"/>
        <v>5265.0824084922988</v>
      </c>
      <c r="U50" s="20">
        <f t="shared" si="12"/>
        <v>449269.74128031329</v>
      </c>
      <c r="V50" s="20">
        <f t="shared" si="13"/>
        <v>493620.92807106121</v>
      </c>
      <c r="W50" s="20">
        <f t="shared" si="14"/>
        <v>287945.54137478571</v>
      </c>
      <c r="X50" s="20">
        <f t="shared" si="15"/>
        <v>173588.05815757735</v>
      </c>
      <c r="Y50" s="20">
        <f t="shared" si="16"/>
        <v>71708.838887628342</v>
      </c>
      <c r="Z50" s="20">
        <f t="shared" si="17"/>
        <v>83256.352572703836</v>
      </c>
      <c r="AA50" s="20">
        <f t="shared" si="18"/>
        <v>328553.24961790955</v>
      </c>
      <c r="AB50" s="20">
        <f t="shared" si="19"/>
        <v>67249.630406375029</v>
      </c>
      <c r="AC50" s="20">
        <f t="shared" si="20"/>
        <v>9058.842052086351</v>
      </c>
      <c r="AD50" s="20">
        <f t="shared" si="21"/>
        <v>772991.43855290522</v>
      </c>
      <c r="AE50" s="20">
        <f t="shared" si="22"/>
        <v>849299.91101136664</v>
      </c>
      <c r="AF50" s="20">
        <f t="shared" si="23"/>
        <v>1177853.1606292762</v>
      </c>
      <c r="AG50" s="148">
        <f t="shared" si="24"/>
        <v>106943422250.54967</v>
      </c>
    </row>
    <row r="51" spans="1:33" x14ac:dyDescent="0.25">
      <c r="A51">
        <f t="shared" si="28"/>
        <v>44</v>
      </c>
      <c r="B51">
        <f t="shared" si="28"/>
        <v>2061</v>
      </c>
      <c r="C51" s="18">
        <f>C50*(1+City!$B$8)</f>
        <v>6487328.9905458279</v>
      </c>
      <c r="D51" s="18">
        <f t="shared" si="27"/>
        <v>274497.47901224758</v>
      </c>
      <c r="E51" s="18">
        <f t="shared" si="27"/>
        <v>125250.9746332576</v>
      </c>
      <c r="F51" s="18">
        <f t="shared" si="27"/>
        <v>142493.61221339257</v>
      </c>
      <c r="G51" s="18">
        <f t="shared" si="2"/>
        <v>542242.06585889775</v>
      </c>
      <c r="H51" s="18">
        <f t="shared" si="27"/>
        <v>28585.97891448118</v>
      </c>
      <c r="I51" s="18">
        <f t="shared" si="27"/>
        <v>3850.6660382479622</v>
      </c>
      <c r="J51" s="18">
        <f t="shared" si="27"/>
        <v>328577.52273168077</v>
      </c>
      <c r="K51" s="18">
        <f t="shared" si="3"/>
        <v>361014.16768440988</v>
      </c>
      <c r="L51" s="18">
        <f t="shared" si="4"/>
        <v>903256.23354330764</v>
      </c>
      <c r="M51" s="148">
        <f t="shared" si="5"/>
        <v>71119030935.115356</v>
      </c>
      <c r="N51" s="14">
        <f>'Fleet Types'!F58</f>
        <v>0.99282762799085167</v>
      </c>
      <c r="O51" s="20">
        <f t="shared" si="6"/>
        <v>99811.675510403817</v>
      </c>
      <c r="P51" s="20">
        <f t="shared" si="7"/>
        <v>53270.30799613733</v>
      </c>
      <c r="Q51" s="20">
        <f t="shared" si="8"/>
        <v>58876.816760349335</v>
      </c>
      <c r="R51" s="20">
        <f t="shared" si="9"/>
        <v>211958.8002668905</v>
      </c>
      <c r="S51" s="20">
        <f t="shared" si="10"/>
        <v>40280.190668625975</v>
      </c>
      <c r="T51" s="20">
        <f t="shared" si="11"/>
        <v>5425.9314570212837</v>
      </c>
      <c r="U51" s="20">
        <f t="shared" si="12"/>
        <v>462994.99851488991</v>
      </c>
      <c r="V51" s="20">
        <f t="shared" si="13"/>
        <v>508701.12064053718</v>
      </c>
      <c r="W51" s="20">
        <f t="shared" si="14"/>
        <v>296742.32037364668</v>
      </c>
      <c r="X51" s="20">
        <f t="shared" si="15"/>
        <v>174685.80350184377</v>
      </c>
      <c r="Y51" s="20">
        <f t="shared" si="16"/>
        <v>71980.666637120274</v>
      </c>
      <c r="Z51" s="20">
        <f t="shared" si="17"/>
        <v>83616.795453043233</v>
      </c>
      <c r="AA51" s="20">
        <f t="shared" si="18"/>
        <v>330283.26559200726</v>
      </c>
      <c r="AB51" s="20">
        <f t="shared" si="19"/>
        <v>68866.169583107156</v>
      </c>
      <c r="AC51" s="20">
        <f t="shared" si="20"/>
        <v>9276.597495269245</v>
      </c>
      <c r="AD51" s="20">
        <f t="shared" si="21"/>
        <v>791572.52124657063</v>
      </c>
      <c r="AE51" s="20">
        <f t="shared" si="22"/>
        <v>869715.288324947</v>
      </c>
      <c r="AF51" s="20">
        <f t="shared" si="23"/>
        <v>1199998.5539169542</v>
      </c>
      <c r="AG51" s="148">
        <f t="shared" si="24"/>
        <v>109120991702.36462</v>
      </c>
    </row>
    <row r="52" spans="1:33" x14ac:dyDescent="0.25">
      <c r="A52">
        <f t="shared" si="28"/>
        <v>45</v>
      </c>
      <c r="B52">
        <f t="shared" si="28"/>
        <v>2062</v>
      </c>
      <c r="C52" s="18">
        <f>C51*(1+City!$B$8)</f>
        <v>6584638.925404015</v>
      </c>
      <c r="D52" s="18">
        <f t="shared" si="27"/>
        <v>278614.9411974313</v>
      </c>
      <c r="E52" s="18">
        <f t="shared" si="27"/>
        <v>127129.73925275645</v>
      </c>
      <c r="F52" s="18">
        <f t="shared" si="27"/>
        <v>144631.01639659345</v>
      </c>
      <c r="G52" s="18">
        <f t="shared" si="2"/>
        <v>550375.69684678118</v>
      </c>
      <c r="H52" s="18">
        <f t="shared" si="27"/>
        <v>29014.768598198396</v>
      </c>
      <c r="I52" s="18">
        <f t="shared" si="27"/>
        <v>3908.4260288216815</v>
      </c>
      <c r="J52" s="18">
        <f t="shared" si="27"/>
        <v>333506.18557265599</v>
      </c>
      <c r="K52" s="18">
        <f t="shared" si="3"/>
        <v>366429.38019967609</v>
      </c>
      <c r="L52" s="18">
        <f t="shared" si="4"/>
        <v>916805.07704645721</v>
      </c>
      <c r="M52" s="148">
        <f t="shared" si="5"/>
        <v>72185816399.14209</v>
      </c>
      <c r="N52" s="14">
        <f>'Fleet Types'!F59</f>
        <v>1</v>
      </c>
      <c r="O52" s="20">
        <f t="shared" si="6"/>
        <v>102040.72468055187</v>
      </c>
      <c r="P52" s="20">
        <f t="shared" si="7"/>
        <v>54459.969778940918</v>
      </c>
      <c r="Q52" s="20">
        <f t="shared" si="8"/>
        <v>60191.686176873016</v>
      </c>
      <c r="R52" s="20">
        <f t="shared" si="9"/>
        <v>216692.38063636579</v>
      </c>
      <c r="S52" s="20">
        <f t="shared" si="10"/>
        <v>41179.750015006714</v>
      </c>
      <c r="T52" s="20">
        <f t="shared" si="11"/>
        <v>5547.1063391150392</v>
      </c>
      <c r="U52" s="20">
        <f t="shared" si="12"/>
        <v>473334.85717315611</v>
      </c>
      <c r="V52" s="20">
        <f t="shared" si="13"/>
        <v>520061.71352727787</v>
      </c>
      <c r="W52" s="20">
        <f t="shared" si="14"/>
        <v>303369.33289091208</v>
      </c>
      <c r="X52" s="20">
        <f t="shared" si="15"/>
        <v>176574.21651687945</v>
      </c>
      <c r="Y52" s="20">
        <f t="shared" si="16"/>
        <v>72669.769473815541</v>
      </c>
      <c r="Z52" s="20">
        <f t="shared" si="17"/>
        <v>84439.330219720432</v>
      </c>
      <c r="AA52" s="20">
        <f t="shared" si="18"/>
        <v>333683.31621041545</v>
      </c>
      <c r="AB52" s="20">
        <f t="shared" si="19"/>
        <v>70194.518613205117</v>
      </c>
      <c r="AC52" s="20">
        <f t="shared" si="20"/>
        <v>9455.5323679367211</v>
      </c>
      <c r="AD52" s="20">
        <f t="shared" si="21"/>
        <v>806841.0427458121</v>
      </c>
      <c r="AE52" s="20">
        <f t="shared" si="22"/>
        <v>886491.09372695396</v>
      </c>
      <c r="AF52" s="20">
        <f t="shared" si="23"/>
        <v>1220174.4099373694</v>
      </c>
      <c r="AG52" s="148">
        <f t="shared" si="24"/>
        <v>111036457831.04373</v>
      </c>
    </row>
    <row r="53" spans="1:33" x14ac:dyDescent="0.25">
      <c r="A53">
        <f t="shared" si="28"/>
        <v>46</v>
      </c>
      <c r="B53">
        <f t="shared" si="28"/>
        <v>2063</v>
      </c>
      <c r="C53" s="18">
        <f>C52*(1+City!$B$8)</f>
        <v>6683408.5092850747</v>
      </c>
      <c r="D53" s="18">
        <f t="shared" si="27"/>
        <v>282794.16531539272</v>
      </c>
      <c r="E53" s="18">
        <f t="shared" si="27"/>
        <v>129036.6853415478</v>
      </c>
      <c r="F53" s="18">
        <f t="shared" si="27"/>
        <v>146800.48164254232</v>
      </c>
      <c r="G53" s="18">
        <f t="shared" si="2"/>
        <v>558631.33229948278</v>
      </c>
      <c r="H53" s="18">
        <f t="shared" si="27"/>
        <v>29449.990127171368</v>
      </c>
      <c r="I53" s="18">
        <f t="shared" si="27"/>
        <v>3967.0524192540065</v>
      </c>
      <c r="J53" s="18">
        <f t="shared" si="27"/>
        <v>338508.77835624578</v>
      </c>
      <c r="K53" s="18">
        <f t="shared" si="3"/>
        <v>371925.82090267114</v>
      </c>
      <c r="L53" s="18">
        <f t="shared" si="4"/>
        <v>930557.15320215398</v>
      </c>
      <c r="M53" s="148">
        <f t="shared" si="5"/>
        <v>73268603645.129211</v>
      </c>
      <c r="N53" s="14">
        <f>'Fleet Types'!F60</f>
        <v>1</v>
      </c>
      <c r="O53" s="20">
        <f t="shared" si="6"/>
        <v>103571.33555076012</v>
      </c>
      <c r="P53" s="20">
        <f t="shared" si="7"/>
        <v>55276.869325625034</v>
      </c>
      <c r="Q53" s="20">
        <f t="shared" si="8"/>
        <v>61094.561469526096</v>
      </c>
      <c r="R53" s="20">
        <f t="shared" si="9"/>
        <v>219942.76634591125</v>
      </c>
      <c r="S53" s="20">
        <f t="shared" si="10"/>
        <v>41797.446265231811</v>
      </c>
      <c r="T53" s="20">
        <f t="shared" si="11"/>
        <v>5630.3129342017637</v>
      </c>
      <c r="U53" s="20">
        <f t="shared" si="12"/>
        <v>480434.88003075344</v>
      </c>
      <c r="V53" s="20">
        <f t="shared" si="13"/>
        <v>527862.63923018705</v>
      </c>
      <c r="W53" s="20">
        <f t="shared" si="14"/>
        <v>307919.8728842758</v>
      </c>
      <c r="X53" s="20">
        <f t="shared" si="15"/>
        <v>179222.8297646326</v>
      </c>
      <c r="Y53" s="20">
        <f t="shared" si="16"/>
        <v>73759.816015922755</v>
      </c>
      <c r="Z53" s="20">
        <f t="shared" si="17"/>
        <v>85705.920173016231</v>
      </c>
      <c r="AA53" s="20">
        <f t="shared" si="18"/>
        <v>338688.56595357158</v>
      </c>
      <c r="AB53" s="20">
        <f t="shared" si="19"/>
        <v>71247.436392403179</v>
      </c>
      <c r="AC53" s="20">
        <f t="shared" si="20"/>
        <v>9597.3653534557707</v>
      </c>
      <c r="AD53" s="20">
        <f t="shared" si="21"/>
        <v>818943.65838699928</v>
      </c>
      <c r="AE53" s="20">
        <f t="shared" si="22"/>
        <v>899788.46013285825</v>
      </c>
      <c r="AF53" s="20">
        <f t="shared" si="23"/>
        <v>1238477.0260864298</v>
      </c>
      <c r="AG53" s="148">
        <f t="shared" si="24"/>
        <v>112702004698.50937</v>
      </c>
    </row>
    <row r="54" spans="1:33" x14ac:dyDescent="0.25">
      <c r="A54">
        <f t="shared" si="28"/>
        <v>47</v>
      </c>
      <c r="B54">
        <f t="shared" si="28"/>
        <v>2064</v>
      </c>
      <c r="C54" s="18">
        <f>C53*(1+City!$B$8)</f>
        <v>6783659.6369243497</v>
      </c>
      <c r="D54" s="18">
        <f t="shared" si="27"/>
        <v>287036.07779512357</v>
      </c>
      <c r="E54" s="18">
        <f t="shared" si="27"/>
        <v>130972.23562167099</v>
      </c>
      <c r="F54" s="18">
        <f t="shared" si="27"/>
        <v>149002.48886718045</v>
      </c>
      <c r="G54" s="18">
        <f t="shared" si="2"/>
        <v>567010.80228397495</v>
      </c>
      <c r="H54" s="18">
        <f t="shared" si="27"/>
        <v>29891.739979078935</v>
      </c>
      <c r="I54" s="18">
        <f t="shared" si="27"/>
        <v>4026.5582055428158</v>
      </c>
      <c r="J54" s="18">
        <f t="shared" si="27"/>
        <v>343586.41003158939</v>
      </c>
      <c r="K54" s="18">
        <f t="shared" si="3"/>
        <v>377504.70821621112</v>
      </c>
      <c r="L54" s="18">
        <f t="shared" si="4"/>
        <v>944515.51050018612</v>
      </c>
      <c r="M54" s="148">
        <f t="shared" si="5"/>
        <v>74367632699.806137</v>
      </c>
      <c r="N54" s="14">
        <f>'Fleet Types'!F61</f>
        <v>1</v>
      </c>
      <c r="O54" s="20">
        <f t="shared" si="6"/>
        <v>105124.90558402152</v>
      </c>
      <c r="P54" s="20">
        <f t="shared" si="7"/>
        <v>56106.022365509401</v>
      </c>
      <c r="Q54" s="20">
        <f t="shared" si="8"/>
        <v>62010.979891568983</v>
      </c>
      <c r="R54" s="20">
        <f t="shared" si="9"/>
        <v>223241.90784109989</v>
      </c>
      <c r="S54" s="20">
        <f t="shared" si="10"/>
        <v>42424.407959210286</v>
      </c>
      <c r="T54" s="20">
        <f t="shared" si="11"/>
        <v>5714.7676282147895</v>
      </c>
      <c r="U54" s="20">
        <f t="shared" si="12"/>
        <v>487641.40323121467</v>
      </c>
      <c r="V54" s="20">
        <f t="shared" si="13"/>
        <v>535780.57881863974</v>
      </c>
      <c r="W54" s="20">
        <f t="shared" si="14"/>
        <v>312538.67097753985</v>
      </c>
      <c r="X54" s="20">
        <f t="shared" si="15"/>
        <v>181911.17221110204</v>
      </c>
      <c r="Y54" s="20">
        <f t="shared" si="16"/>
        <v>74866.213256161587</v>
      </c>
      <c r="Z54" s="20">
        <f t="shared" si="17"/>
        <v>86991.508975611476</v>
      </c>
      <c r="AA54" s="20">
        <f t="shared" si="18"/>
        <v>343768.89444287511</v>
      </c>
      <c r="AB54" s="20">
        <f t="shared" si="19"/>
        <v>72316.147938289214</v>
      </c>
      <c r="AC54" s="20">
        <f t="shared" si="20"/>
        <v>9741.3258337576044</v>
      </c>
      <c r="AD54" s="20">
        <f t="shared" si="21"/>
        <v>831227.81326280406</v>
      </c>
      <c r="AE54" s="20">
        <f t="shared" si="22"/>
        <v>913285.28703485092</v>
      </c>
      <c r="AF54" s="20">
        <f t="shared" si="23"/>
        <v>1257054.181477726</v>
      </c>
      <c r="AG54" s="148">
        <f t="shared" si="24"/>
        <v>114392534768.987</v>
      </c>
    </row>
    <row r="55" spans="1:33" x14ac:dyDescent="0.25">
      <c r="A55">
        <f t="shared" si="28"/>
        <v>48</v>
      </c>
      <c r="B55">
        <f t="shared" si="28"/>
        <v>2065</v>
      </c>
      <c r="C55" s="18">
        <f>C54*(1+City!$B$8)</f>
        <v>6885414.5314782141</v>
      </c>
      <c r="D55" s="18">
        <f t="shared" si="27"/>
        <v>291341.61896205042</v>
      </c>
      <c r="E55" s="18">
        <f t="shared" si="27"/>
        <v>132936.81915599603</v>
      </c>
      <c r="F55" s="18">
        <f t="shared" si="27"/>
        <v>151237.52620018812</v>
      </c>
      <c r="G55" s="18">
        <f t="shared" si="2"/>
        <v>575515.96431823459</v>
      </c>
      <c r="H55" s="18">
        <f t="shared" si="27"/>
        <v>30340.116078765113</v>
      </c>
      <c r="I55" s="18">
        <f t="shared" si="27"/>
        <v>4086.9565786259577</v>
      </c>
      <c r="J55" s="18">
        <f t="shared" si="27"/>
        <v>348740.20618206321</v>
      </c>
      <c r="K55" s="18">
        <f t="shared" si="3"/>
        <v>383167.27883945429</v>
      </c>
      <c r="L55" s="18">
        <f t="shared" si="4"/>
        <v>958683.24315768888</v>
      </c>
      <c r="M55" s="148">
        <f t="shared" si="5"/>
        <v>75483147190.303223</v>
      </c>
      <c r="N55" s="14">
        <f>'Fleet Types'!F62</f>
        <v>1</v>
      </c>
      <c r="O55" s="20">
        <f t="shared" si="6"/>
        <v>106701.77916778183</v>
      </c>
      <c r="P55" s="20">
        <f t="shared" si="7"/>
        <v>56947.612700992031</v>
      </c>
      <c r="Q55" s="20">
        <f t="shared" si="8"/>
        <v>62941.144589942502</v>
      </c>
      <c r="R55" s="20">
        <f t="shared" si="9"/>
        <v>226590.53645871635</v>
      </c>
      <c r="S55" s="20">
        <f t="shared" si="10"/>
        <v>43060.774078598428</v>
      </c>
      <c r="T55" s="20">
        <f t="shared" si="11"/>
        <v>5800.4891426380109</v>
      </c>
      <c r="U55" s="20">
        <f t="shared" si="12"/>
        <v>494956.02427968284</v>
      </c>
      <c r="V55" s="20">
        <f t="shared" si="13"/>
        <v>543817.28750091931</v>
      </c>
      <c r="W55" s="20">
        <f t="shared" si="14"/>
        <v>317226.75104220293</v>
      </c>
      <c r="X55" s="20">
        <f t="shared" si="15"/>
        <v>184639.8397942686</v>
      </c>
      <c r="Y55" s="20">
        <f t="shared" si="16"/>
        <v>75989.206455003994</v>
      </c>
      <c r="Z55" s="20">
        <f t="shared" si="17"/>
        <v>88296.381610245619</v>
      </c>
      <c r="AA55" s="20">
        <f t="shared" si="18"/>
        <v>348925.42785951821</v>
      </c>
      <c r="AB55" s="20">
        <f t="shared" si="19"/>
        <v>73400.890157363538</v>
      </c>
      <c r="AC55" s="20">
        <f t="shared" si="20"/>
        <v>9887.4457212639682</v>
      </c>
      <c r="AD55" s="20">
        <f t="shared" si="21"/>
        <v>843696.23046174599</v>
      </c>
      <c r="AE55" s="20">
        <f t="shared" si="22"/>
        <v>926984.56634037348</v>
      </c>
      <c r="AF55" s="20">
        <f t="shared" si="23"/>
        <v>1275909.9941998916</v>
      </c>
      <c r="AG55" s="148">
        <f t="shared" si="24"/>
        <v>116108422790.52177</v>
      </c>
    </row>
    <row r="56" spans="1:33" x14ac:dyDescent="0.25">
      <c r="A56">
        <f t="shared" si="28"/>
        <v>49</v>
      </c>
      <c r="B56">
        <f t="shared" si="28"/>
        <v>2066</v>
      </c>
      <c r="C56" s="18">
        <f>C55*(1+City!$B$8)</f>
        <v>6988695.7494503865</v>
      </c>
      <c r="D56" s="18">
        <f t="shared" si="27"/>
        <v>295711.74324648111</v>
      </c>
      <c r="E56" s="18">
        <f t="shared" si="27"/>
        <v>134930.87144333596</v>
      </c>
      <c r="F56" s="18">
        <f t="shared" si="27"/>
        <v>153506.08909319094</v>
      </c>
      <c r="G56" s="18">
        <f t="shared" si="2"/>
        <v>584148.70378300804</v>
      </c>
      <c r="H56" s="18">
        <f t="shared" si="27"/>
        <v>30795.217819946589</v>
      </c>
      <c r="I56" s="18">
        <f t="shared" si="27"/>
        <v>4148.2609273053467</v>
      </c>
      <c r="J56" s="18">
        <f t="shared" si="27"/>
        <v>353971.30927479413</v>
      </c>
      <c r="K56" s="18">
        <f t="shared" si="3"/>
        <v>388914.78802204609</v>
      </c>
      <c r="L56" s="18">
        <f t="shared" si="4"/>
        <v>973063.49180505413</v>
      </c>
      <c r="M56" s="148">
        <f t="shared" si="5"/>
        <v>76615394398.157761</v>
      </c>
      <c r="N56" s="14">
        <f>'Fleet Types'!F63</f>
        <v>1</v>
      </c>
      <c r="O56" s="20">
        <f t="shared" si="6"/>
        <v>108302.30585529855</v>
      </c>
      <c r="P56" s="20">
        <f t="shared" si="7"/>
        <v>57801.826891506906</v>
      </c>
      <c r="Q56" s="20">
        <f t="shared" si="8"/>
        <v>63885.261758791639</v>
      </c>
      <c r="R56" s="20">
        <f t="shared" si="9"/>
        <v>229989.39450559707</v>
      </c>
      <c r="S56" s="20">
        <f t="shared" si="10"/>
        <v>43706.685689777398</v>
      </c>
      <c r="T56" s="20">
        <f t="shared" si="11"/>
        <v>5887.4964797775801</v>
      </c>
      <c r="U56" s="20">
        <f t="shared" si="12"/>
        <v>502380.36464387801</v>
      </c>
      <c r="V56" s="20">
        <f t="shared" si="13"/>
        <v>551974.54681343294</v>
      </c>
      <c r="W56" s="20">
        <f t="shared" si="14"/>
        <v>321985.15230783587</v>
      </c>
      <c r="X56" s="20">
        <f t="shared" si="15"/>
        <v>187409.43739118258</v>
      </c>
      <c r="Y56" s="20">
        <f t="shared" si="16"/>
        <v>77129.044551829051</v>
      </c>
      <c r="Z56" s="20">
        <f t="shared" si="17"/>
        <v>89620.827334399306</v>
      </c>
      <c r="AA56" s="20">
        <f t="shared" si="18"/>
        <v>354159.30927741097</v>
      </c>
      <c r="AB56" s="20">
        <f t="shared" si="19"/>
        <v>74501.903509723983</v>
      </c>
      <c r="AC56" s="20">
        <f t="shared" si="20"/>
        <v>10035.757407082927</v>
      </c>
      <c r="AD56" s="20">
        <f t="shared" si="21"/>
        <v>856351.67391867214</v>
      </c>
      <c r="AE56" s="20">
        <f t="shared" si="22"/>
        <v>940889.33483547904</v>
      </c>
      <c r="AF56" s="20">
        <f t="shared" si="23"/>
        <v>1295048.6441128901</v>
      </c>
      <c r="AG56" s="148">
        <f t="shared" si="24"/>
        <v>117850049132.37961</v>
      </c>
    </row>
    <row r="57" spans="1:33" x14ac:dyDescent="0.25">
      <c r="A57">
        <f t="shared" si="28"/>
        <v>50</v>
      </c>
      <c r="B57">
        <f t="shared" si="28"/>
        <v>2067</v>
      </c>
      <c r="C57" s="18">
        <f>C56*(1+City!$B$8)</f>
        <v>7093526.1856921418</v>
      </c>
      <c r="D57" s="18">
        <f t="shared" si="27"/>
        <v>300147.41939517832</v>
      </c>
      <c r="E57" s="18">
        <f t="shared" si="27"/>
        <v>136954.834514986</v>
      </c>
      <c r="F57" s="18">
        <f t="shared" si="27"/>
        <v>155808.6804295888</v>
      </c>
      <c r="G57" s="18">
        <f t="shared" si="2"/>
        <v>592910.93433975312</v>
      </c>
      <c r="H57" s="18">
        <f t="shared" si="27"/>
        <v>31257.146087245786</v>
      </c>
      <c r="I57" s="18">
        <f t="shared" si="27"/>
        <v>4210.4848412149258</v>
      </c>
      <c r="J57" s="18">
        <f t="shared" si="27"/>
        <v>359280.87891391601</v>
      </c>
      <c r="K57" s="18">
        <f t="shared" si="3"/>
        <v>394748.50984237669</v>
      </c>
      <c r="L57" s="18">
        <f t="shared" si="4"/>
        <v>987659.44418212981</v>
      </c>
      <c r="M57" s="148">
        <f t="shared" si="5"/>
        <v>77764625314.130127</v>
      </c>
      <c r="N57" s="14">
        <f>'Fleet Types'!F64</f>
        <v>1</v>
      </c>
      <c r="O57" s="20">
        <f t="shared" si="6"/>
        <v>109926.84044312802</v>
      </c>
      <c r="P57" s="20">
        <f t="shared" si="7"/>
        <v>58668.854294879508</v>
      </c>
      <c r="Q57" s="20">
        <f t="shared" si="8"/>
        <v>64843.540685173517</v>
      </c>
      <c r="R57" s="20">
        <f t="shared" si="9"/>
        <v>233439.23542318103</v>
      </c>
      <c r="S57" s="20">
        <f t="shared" si="10"/>
        <v>44362.285975124069</v>
      </c>
      <c r="T57" s="20">
        <f t="shared" si="11"/>
        <v>5975.8089269742441</v>
      </c>
      <c r="U57" s="20">
        <f t="shared" si="12"/>
        <v>509916.07011353615</v>
      </c>
      <c r="V57" s="20">
        <f t="shared" si="13"/>
        <v>560254.1650156345</v>
      </c>
      <c r="W57" s="20">
        <f t="shared" si="14"/>
        <v>326814.92959245347</v>
      </c>
      <c r="X57" s="20">
        <f t="shared" si="15"/>
        <v>190220.5789520503</v>
      </c>
      <c r="Y57" s="20">
        <f t="shared" si="16"/>
        <v>78285.980220106489</v>
      </c>
      <c r="Z57" s="20">
        <f t="shared" si="17"/>
        <v>90965.139744415283</v>
      </c>
      <c r="AA57" s="20">
        <f t="shared" si="18"/>
        <v>359471.69891657209</v>
      </c>
      <c r="AB57" s="20">
        <f t="shared" si="19"/>
        <v>75619.432062369859</v>
      </c>
      <c r="AC57" s="20">
        <f t="shared" si="20"/>
        <v>10186.293768189171</v>
      </c>
      <c r="AD57" s="20">
        <f t="shared" si="21"/>
        <v>869196.94902745215</v>
      </c>
      <c r="AE57" s="20">
        <f t="shared" si="22"/>
        <v>955002.67485801119</v>
      </c>
      <c r="AF57" s="20">
        <f t="shared" si="23"/>
        <v>1314474.3737745832</v>
      </c>
      <c r="AG57" s="148">
        <f t="shared" si="24"/>
        <v>119617799869.3653</v>
      </c>
    </row>
    <row r="58" spans="1:33" x14ac:dyDescent="0.25">
      <c r="A58">
        <f t="shared" ref="A58:B60" si="29">A57+1</f>
        <v>51</v>
      </c>
      <c r="B58">
        <f t="shared" si="29"/>
        <v>2068</v>
      </c>
      <c r="C58" s="18">
        <f>C57*(1+City!$B$8)</f>
        <v>7199929.0784775233</v>
      </c>
      <c r="D58" s="18">
        <f t="shared" si="27"/>
        <v>304649.63068610599</v>
      </c>
      <c r="E58" s="18">
        <f t="shared" si="27"/>
        <v>139009.15703271076</v>
      </c>
      <c r="F58" s="18">
        <f t="shared" si="27"/>
        <v>158145.81063603261</v>
      </c>
      <c r="G58" s="18">
        <f t="shared" si="2"/>
        <v>601804.59835484938</v>
      </c>
      <c r="H58" s="18">
        <f t="shared" si="27"/>
        <v>31726.003278554468</v>
      </c>
      <c r="I58" s="18">
        <f t="shared" si="27"/>
        <v>4273.6421138331498</v>
      </c>
      <c r="J58" s="18">
        <f t="shared" si="27"/>
        <v>364670.09209762473</v>
      </c>
      <c r="K58" s="18">
        <f t="shared" si="3"/>
        <v>400669.73749001237</v>
      </c>
      <c r="L58" s="18">
        <f t="shared" si="4"/>
        <v>1002474.3358448618</v>
      </c>
      <c r="M58" s="148">
        <f t="shared" si="5"/>
        <v>78931094693.842056</v>
      </c>
      <c r="N58" s="14">
        <f>'Fleet Types'!F65</f>
        <v>1</v>
      </c>
      <c r="O58" s="20">
        <f t="shared" si="6"/>
        <v>111575.74304977493</v>
      </c>
      <c r="P58" s="20">
        <f t="shared" si="7"/>
        <v>59548.88710930269</v>
      </c>
      <c r="Q58" s="20">
        <f t="shared" si="8"/>
        <v>65816.193795451109</v>
      </c>
      <c r="R58" s="20">
        <f t="shared" si="9"/>
        <v>236940.82395452872</v>
      </c>
      <c r="S58" s="20">
        <f t="shared" si="10"/>
        <v>45027.720264750918</v>
      </c>
      <c r="T58" s="20">
        <f t="shared" si="11"/>
        <v>6065.4460608788568</v>
      </c>
      <c r="U58" s="20">
        <f t="shared" si="12"/>
        <v>517564.8111652392</v>
      </c>
      <c r="V58" s="20">
        <f t="shared" si="13"/>
        <v>568657.977490869</v>
      </c>
      <c r="W58" s="20">
        <f t="shared" si="14"/>
        <v>331717.15353634028</v>
      </c>
      <c r="X58" s="20">
        <f t="shared" si="15"/>
        <v>193073.88763633106</v>
      </c>
      <c r="Y58" s="20">
        <f t="shared" si="16"/>
        <v>79460.269923408079</v>
      </c>
      <c r="Z58" s="20">
        <f t="shared" si="17"/>
        <v>92329.616840581497</v>
      </c>
      <c r="AA58" s="20">
        <f t="shared" si="18"/>
        <v>364863.7744003206</v>
      </c>
      <c r="AB58" s="20">
        <f t="shared" si="19"/>
        <v>76753.723543305387</v>
      </c>
      <c r="AC58" s="20">
        <f t="shared" si="20"/>
        <v>10339.088174712007</v>
      </c>
      <c r="AD58" s="20">
        <f t="shared" si="21"/>
        <v>882234.90326286387</v>
      </c>
      <c r="AE58" s="20">
        <f t="shared" si="22"/>
        <v>969327.7149808812</v>
      </c>
      <c r="AF58" s="20">
        <f t="shared" si="23"/>
        <v>1334191.4893812018</v>
      </c>
      <c r="AG58" s="148">
        <f t="shared" si="24"/>
        <v>121412066867.40576</v>
      </c>
    </row>
    <row r="59" spans="1:33" x14ac:dyDescent="0.25">
      <c r="A59">
        <f t="shared" si="29"/>
        <v>52</v>
      </c>
      <c r="B59">
        <f t="shared" si="29"/>
        <v>2069</v>
      </c>
      <c r="C59" s="18">
        <f>C58*(1+City!$B$8)</f>
        <v>7307928.0146546857</v>
      </c>
      <c r="D59" s="18">
        <f t="shared" si="27"/>
        <v>309219.37514639756</v>
      </c>
      <c r="E59" s="18">
        <f t="shared" si="27"/>
        <v>141094.29438820141</v>
      </c>
      <c r="F59" s="18">
        <f t="shared" si="27"/>
        <v>160517.99779557309</v>
      </c>
      <c r="G59" s="18">
        <f t="shared" si="2"/>
        <v>610831.66733017203</v>
      </c>
      <c r="H59" s="18">
        <f t="shared" si="27"/>
        <v>32201.893327732785</v>
      </c>
      <c r="I59" s="18">
        <f t="shared" si="27"/>
        <v>4337.7467455406468</v>
      </c>
      <c r="J59" s="18">
        <f t="shared" si="27"/>
        <v>370140.14347908908</v>
      </c>
      <c r="K59" s="18">
        <f t="shared" si="3"/>
        <v>406679.78355236253</v>
      </c>
      <c r="L59" s="18">
        <f t="shared" si="4"/>
        <v>1017511.4508825345</v>
      </c>
      <c r="M59" s="148">
        <f t="shared" si="5"/>
        <v>80115061114.249695</v>
      </c>
      <c r="N59" s="14">
        <f>'Fleet Types'!F66</f>
        <v>1</v>
      </c>
      <c r="O59" s="20">
        <f t="shared" si="6"/>
        <v>113249.37919552156</v>
      </c>
      <c r="P59" s="20">
        <f t="shared" si="7"/>
        <v>60442.120415942227</v>
      </c>
      <c r="Q59" s="20">
        <f t="shared" si="8"/>
        <v>66803.436702382867</v>
      </c>
      <c r="R59" s="20">
        <f t="shared" si="9"/>
        <v>240494.93631384664</v>
      </c>
      <c r="S59" s="20">
        <f t="shared" si="10"/>
        <v>45703.136068722182</v>
      </c>
      <c r="T59" s="20">
        <f t="shared" si="11"/>
        <v>6156.42775179204</v>
      </c>
      <c r="U59" s="20">
        <f t="shared" si="12"/>
        <v>525328.28333271772</v>
      </c>
      <c r="V59" s="20">
        <f t="shared" si="13"/>
        <v>577187.84715323197</v>
      </c>
      <c r="W59" s="20">
        <f t="shared" si="14"/>
        <v>336692.91083938535</v>
      </c>
      <c r="X59" s="20">
        <f t="shared" si="15"/>
        <v>195969.99595087601</v>
      </c>
      <c r="Y59" s="20">
        <f t="shared" si="16"/>
        <v>80652.173972259188</v>
      </c>
      <c r="Z59" s="20">
        <f t="shared" si="17"/>
        <v>93714.561093190219</v>
      </c>
      <c r="AA59" s="20">
        <f t="shared" si="18"/>
        <v>370336.73101632542</v>
      </c>
      <c r="AB59" s="20">
        <f t="shared" si="19"/>
        <v>77905.029396454964</v>
      </c>
      <c r="AC59" s="20">
        <f t="shared" si="20"/>
        <v>10494.174497332686</v>
      </c>
      <c r="AD59" s="20">
        <f t="shared" si="21"/>
        <v>895468.42681180686</v>
      </c>
      <c r="AE59" s="20">
        <f t="shared" si="22"/>
        <v>983867.63070559455</v>
      </c>
      <c r="AF59" s="20">
        <f t="shared" si="23"/>
        <v>1354204.3617219198</v>
      </c>
      <c r="AG59" s="148">
        <f t="shared" si="24"/>
        <v>123233247870.41684</v>
      </c>
    </row>
    <row r="60" spans="1:33" x14ac:dyDescent="0.25">
      <c r="A60">
        <f t="shared" si="29"/>
        <v>53</v>
      </c>
      <c r="B60">
        <f t="shared" si="29"/>
        <v>2070</v>
      </c>
      <c r="C60" s="18">
        <f>C59*(1+City!$B$8)</f>
        <v>7417546.9348745057</v>
      </c>
      <c r="D60" s="18">
        <f t="shared" si="27"/>
        <v>313857.66577359347</v>
      </c>
      <c r="E60" s="18">
        <f t="shared" si="27"/>
        <v>143210.70880402444</v>
      </c>
      <c r="F60" s="18">
        <f t="shared" si="27"/>
        <v>162925.76776250667</v>
      </c>
      <c r="G60" s="18">
        <f t="shared" si="2"/>
        <v>619994.14234012458</v>
      </c>
      <c r="H60" s="18">
        <f t="shared" si="27"/>
        <v>32684.921727648776</v>
      </c>
      <c r="I60" s="18">
        <f t="shared" si="27"/>
        <v>4402.8129467237568</v>
      </c>
      <c r="J60" s="18">
        <f t="shared" si="27"/>
        <v>375692.24563127541</v>
      </c>
      <c r="K60" s="18">
        <f t="shared" si="3"/>
        <v>412779.98030564794</v>
      </c>
      <c r="L60" s="18">
        <f t="shared" si="4"/>
        <v>1032774.1226457725</v>
      </c>
      <c r="M60" s="148">
        <f t="shared" si="5"/>
        <v>81316787030.96344</v>
      </c>
      <c r="N60" s="14">
        <f>'Fleet Types'!F67</f>
        <v>1</v>
      </c>
      <c r="O60" s="20">
        <f t="shared" si="6"/>
        <v>114948.11988345436</v>
      </c>
      <c r="P60" s="20">
        <f t="shared" si="7"/>
        <v>61348.752222181363</v>
      </c>
      <c r="Q60" s="20">
        <f t="shared" si="8"/>
        <v>67805.488252918614</v>
      </c>
      <c r="R60" s="20">
        <f t="shared" si="9"/>
        <v>244102.36035855435</v>
      </c>
      <c r="S60" s="20">
        <f t="shared" si="10"/>
        <v>46388.683109753016</v>
      </c>
      <c r="T60" s="20">
        <f t="shared" si="11"/>
        <v>6248.7741680689205</v>
      </c>
      <c r="U60" s="20">
        <f t="shared" si="12"/>
        <v>533208.20758270856</v>
      </c>
      <c r="V60" s="20">
        <f t="shared" si="13"/>
        <v>585845.66486053052</v>
      </c>
      <c r="W60" s="20">
        <f t="shared" si="14"/>
        <v>341743.30450197618</v>
      </c>
      <c r="X60" s="20">
        <f t="shared" si="15"/>
        <v>198909.54589013912</v>
      </c>
      <c r="Y60" s="20">
        <f t="shared" si="16"/>
        <v>81861.956581843086</v>
      </c>
      <c r="Z60" s="20">
        <f t="shared" si="17"/>
        <v>95120.279509588057</v>
      </c>
      <c r="AA60" s="20">
        <f t="shared" si="18"/>
        <v>375891.7819815703</v>
      </c>
      <c r="AB60" s="20">
        <f t="shared" si="19"/>
        <v>79073.604837401799</v>
      </c>
      <c r="AC60" s="20">
        <f t="shared" si="20"/>
        <v>10651.587114792677</v>
      </c>
      <c r="AD60" s="20">
        <f t="shared" si="21"/>
        <v>908900.45321398391</v>
      </c>
      <c r="AE60" s="20">
        <f t="shared" si="22"/>
        <v>998625.64516617835</v>
      </c>
      <c r="AF60" s="20">
        <f t="shared" si="23"/>
        <v>1374517.4271477486</v>
      </c>
      <c r="AG60" s="148">
        <f t="shared" si="24"/>
        <v>125081746588.47308</v>
      </c>
    </row>
    <row r="61" spans="1:33" x14ac:dyDescent="0.25">
      <c r="C61" s="19"/>
      <c r="D61" s="52"/>
      <c r="O61" s="20"/>
      <c r="P61" s="20"/>
      <c r="Q61" s="20"/>
      <c r="R61" s="20"/>
      <c r="S61" s="20"/>
      <c r="T61" s="20"/>
      <c r="U61" s="20"/>
      <c r="V61" s="168"/>
      <c r="W61" s="53"/>
    </row>
    <row r="62" spans="1:33" x14ac:dyDescent="0.25">
      <c r="C62" s="53"/>
      <c r="O62" s="20"/>
      <c r="P62" s="20"/>
      <c r="Q62" s="20"/>
      <c r="R62" s="20"/>
      <c r="S62" s="20"/>
      <c r="T62" s="20"/>
      <c r="U62" s="20"/>
      <c r="V62" s="20"/>
    </row>
  </sheetData>
  <mergeCells count="4">
    <mergeCell ref="D6:F6"/>
    <mergeCell ref="H6:J6"/>
    <mergeCell ref="O6:Q6"/>
    <mergeCell ref="S6:U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43"/>
  <sheetViews>
    <sheetView workbookViewId="0">
      <selection activeCell="C33" sqref="C33"/>
    </sheetView>
  </sheetViews>
  <sheetFormatPr defaultRowHeight="15" x14ac:dyDescent="0.25"/>
  <cols>
    <col min="3" max="3" width="13.28515625" bestFit="1" customWidth="1"/>
    <col min="4" max="5" width="16.28515625" bestFit="1" customWidth="1"/>
    <col min="6" max="6" width="12.85546875" customWidth="1"/>
    <col min="7" max="7" width="16.42578125" customWidth="1"/>
    <col min="8" max="8" width="15.28515625" bestFit="1" customWidth="1"/>
    <col min="9" max="9" width="13.5703125" customWidth="1"/>
    <col min="10" max="10" width="15.28515625" bestFit="1" customWidth="1"/>
    <col min="11" max="11" width="18" customWidth="1"/>
    <col min="12" max="12" width="11.5703125" customWidth="1"/>
    <col min="13" max="13" width="17.140625" customWidth="1"/>
    <col min="14" max="14" width="10.7109375" bestFit="1" customWidth="1"/>
    <col min="15" max="15" width="11" bestFit="1" customWidth="1"/>
    <col min="16" max="16" width="10.85546875" bestFit="1" customWidth="1"/>
    <col min="17" max="17" width="12.85546875" customWidth="1"/>
    <col min="18" max="18" width="13.5703125" customWidth="1"/>
    <col min="19" max="20" width="15.5703125" bestFit="1" customWidth="1"/>
    <col min="21" max="21" width="15.42578125" bestFit="1" customWidth="1"/>
    <col min="22" max="22" width="14.42578125" bestFit="1" customWidth="1"/>
    <col min="23" max="23" width="16.42578125" bestFit="1" customWidth="1"/>
    <col min="24" max="24" width="15.42578125" bestFit="1" customWidth="1"/>
    <col min="25" max="28" width="16.42578125" bestFit="1" customWidth="1"/>
    <col min="29" max="29" width="19.140625" bestFit="1" customWidth="1"/>
    <col min="30" max="31" width="18.140625" bestFit="1" customWidth="1"/>
    <col min="32" max="32" width="11.5703125" bestFit="1" customWidth="1"/>
    <col min="33" max="33" width="16.28515625" bestFit="1" customWidth="1"/>
  </cols>
  <sheetData>
    <row r="1" spans="1:8" ht="15.75" x14ac:dyDescent="0.25">
      <c r="A1" s="26" t="s">
        <v>321</v>
      </c>
    </row>
    <row r="8" spans="1:8" x14ac:dyDescent="0.25">
      <c r="F8" s="160"/>
    </row>
    <row r="9" spans="1:8" x14ac:dyDescent="0.25">
      <c r="F9" s="46"/>
    </row>
    <row r="10" spans="1:8" x14ac:dyDescent="0.25">
      <c r="F10" s="46"/>
    </row>
    <row r="11" spans="1:8" x14ac:dyDescent="0.25">
      <c r="F11" s="46"/>
    </row>
    <row r="12" spans="1:8" x14ac:dyDescent="0.25">
      <c r="F12" s="45"/>
    </row>
    <row r="13" spans="1:8" x14ac:dyDescent="0.25">
      <c r="F13" s="46"/>
      <c r="G13" s="16"/>
      <c r="H13" s="2"/>
    </row>
    <row r="24" spans="2:20" ht="14.25" customHeight="1" x14ac:dyDescent="0.25"/>
    <row r="26" spans="2:20" x14ac:dyDescent="0.25">
      <c r="T26" s="41" t="s">
        <v>152</v>
      </c>
    </row>
    <row r="27" spans="2:20" x14ac:dyDescent="0.25">
      <c r="T27" s="41" t="s">
        <v>153</v>
      </c>
    </row>
    <row r="32" spans="2:20" ht="18.75" x14ac:dyDescent="0.3">
      <c r="B32" s="12" t="s">
        <v>118</v>
      </c>
      <c r="C32" s="10">
        <v>2049</v>
      </c>
      <c r="E32" s="12" t="s">
        <v>322</v>
      </c>
      <c r="F32" s="54">
        <f>(AF41-L41)/L41</f>
        <v>0.2241721943298719</v>
      </c>
      <c r="G32" s="18">
        <f>AF41-L41</f>
        <v>169355.85017750214</v>
      </c>
      <c r="H32" s="42" t="str">
        <f>IF(F32&gt;=0,T$26,T$27)</f>
        <v>↑↑</v>
      </c>
    </row>
    <row r="33" spans="2:33" ht="18.75" x14ac:dyDescent="0.3">
      <c r="E33" s="12" t="s">
        <v>324</v>
      </c>
      <c r="F33" s="54">
        <f>-R41/L41</f>
        <v>-0.16012299594990861</v>
      </c>
      <c r="G33" s="18">
        <f>-R41</f>
        <v>-120968.46441250162</v>
      </c>
      <c r="H33" s="42" t="str">
        <f>IF(F33&gt;=0,T$26,T$27)</f>
        <v>↓↓</v>
      </c>
    </row>
    <row r="34" spans="2:33" ht="18.75" x14ac:dyDescent="0.3">
      <c r="E34" s="12" t="s">
        <v>325</v>
      </c>
      <c r="F34" s="28">
        <f>V41/L41</f>
        <v>0.38429519027978065</v>
      </c>
      <c r="G34" s="20">
        <f>V41</f>
        <v>290324.31459000387</v>
      </c>
      <c r="H34" s="42" t="str">
        <f>IF(F34&gt;=0,T$26,T$27)</f>
        <v>↑↑</v>
      </c>
    </row>
    <row r="35" spans="2:33" ht="18.75" x14ac:dyDescent="0.3">
      <c r="E35" s="12" t="s">
        <v>323</v>
      </c>
      <c r="F35" s="54">
        <f>(AG41-M41)/M41</f>
        <v>0.3646140477146208</v>
      </c>
      <c r="G35" s="149">
        <f>AG41-M41</f>
        <v>21688360345.925056</v>
      </c>
      <c r="H35" s="42" t="str">
        <f>IF(F35&gt;=0,T$26,T$27)</f>
        <v>↑↑</v>
      </c>
    </row>
    <row r="38" spans="2:33" x14ac:dyDescent="0.25">
      <c r="D38" s="172" t="s">
        <v>301</v>
      </c>
      <c r="E38" s="172"/>
      <c r="F38" s="172"/>
      <c r="G38" s="172"/>
      <c r="H38" s="172"/>
      <c r="I38" s="172"/>
      <c r="J38" s="172"/>
      <c r="K38" s="172"/>
      <c r="L38" s="172"/>
      <c r="R38" s="172" t="s">
        <v>302</v>
      </c>
      <c r="S38" s="172"/>
      <c r="T38" s="172"/>
      <c r="U38" s="172"/>
      <c r="V38" s="172"/>
      <c r="W38" s="172"/>
      <c r="X38" s="172"/>
      <c r="Y38" s="172"/>
      <c r="Z38" s="172"/>
      <c r="AA38" s="172" t="s">
        <v>303</v>
      </c>
      <c r="AB38" s="172"/>
      <c r="AC38" s="172"/>
      <c r="AD38" s="172"/>
    </row>
    <row r="39" spans="2:33" x14ac:dyDescent="0.25">
      <c r="B39" s="158">
        <v>1</v>
      </c>
      <c r="C39" s="158">
        <v>2</v>
      </c>
      <c r="D39" s="158">
        <v>3</v>
      </c>
      <c r="E39" s="158">
        <v>4</v>
      </c>
      <c r="F39" s="158">
        <v>5</v>
      </c>
      <c r="G39" s="158">
        <v>6</v>
      </c>
      <c r="H39" s="158">
        <v>7</v>
      </c>
      <c r="I39" s="158">
        <v>8</v>
      </c>
      <c r="J39">
        <f>I39+1</f>
        <v>9</v>
      </c>
      <c r="K39">
        <f t="shared" ref="K39:AC39" si="0">J39+1</f>
        <v>10</v>
      </c>
      <c r="L39">
        <f t="shared" si="0"/>
        <v>11</v>
      </c>
      <c r="M39">
        <f t="shared" si="0"/>
        <v>12</v>
      </c>
      <c r="N39">
        <f t="shared" si="0"/>
        <v>13</v>
      </c>
      <c r="O39">
        <f t="shared" si="0"/>
        <v>14</v>
      </c>
      <c r="P39">
        <f t="shared" si="0"/>
        <v>15</v>
      </c>
      <c r="Q39">
        <f t="shared" si="0"/>
        <v>16</v>
      </c>
      <c r="R39">
        <f t="shared" si="0"/>
        <v>17</v>
      </c>
      <c r="S39">
        <f t="shared" si="0"/>
        <v>18</v>
      </c>
      <c r="T39">
        <f t="shared" si="0"/>
        <v>19</v>
      </c>
      <c r="U39">
        <f t="shared" si="0"/>
        <v>20</v>
      </c>
      <c r="V39">
        <f t="shared" si="0"/>
        <v>21</v>
      </c>
      <c r="W39">
        <f t="shared" si="0"/>
        <v>22</v>
      </c>
      <c r="X39">
        <f t="shared" si="0"/>
        <v>23</v>
      </c>
      <c r="Y39">
        <f t="shared" si="0"/>
        <v>24</v>
      </c>
      <c r="Z39">
        <f t="shared" si="0"/>
        <v>25</v>
      </c>
      <c r="AA39">
        <f t="shared" si="0"/>
        <v>26</v>
      </c>
      <c r="AB39">
        <f t="shared" si="0"/>
        <v>27</v>
      </c>
      <c r="AC39">
        <f t="shared" si="0"/>
        <v>28</v>
      </c>
      <c r="AD39">
        <v>29</v>
      </c>
      <c r="AE39">
        <v>30</v>
      </c>
      <c r="AF39">
        <v>31</v>
      </c>
      <c r="AG39">
        <v>32</v>
      </c>
    </row>
    <row r="40" spans="2:33" ht="17.25" customHeight="1" x14ac:dyDescent="0.25">
      <c r="B40" t="s">
        <v>97</v>
      </c>
      <c r="C40" t="s">
        <v>314</v>
      </c>
      <c r="D40" s="159" t="s">
        <v>255</v>
      </c>
      <c r="E40" s="159" t="s">
        <v>312</v>
      </c>
      <c r="F40" s="159" t="s">
        <v>254</v>
      </c>
      <c r="G40" s="159" t="s">
        <v>308</v>
      </c>
      <c r="H40" s="159" t="s">
        <v>255</v>
      </c>
      <c r="I40" s="159" t="s">
        <v>312</v>
      </c>
      <c r="J40" s="159" t="s">
        <v>254</v>
      </c>
      <c r="K40" s="159" t="s">
        <v>307</v>
      </c>
      <c r="L40" s="158" t="s">
        <v>115</v>
      </c>
      <c r="M40" s="159" t="s">
        <v>319</v>
      </c>
      <c r="N40" s="159" t="s">
        <v>180</v>
      </c>
      <c r="O40" s="159" t="s">
        <v>255</v>
      </c>
      <c r="P40" s="159" t="s">
        <v>312</v>
      </c>
      <c r="Q40" s="159" t="s">
        <v>254</v>
      </c>
      <c r="R40" s="159" t="s">
        <v>318</v>
      </c>
      <c r="S40" s="159" t="s">
        <v>255</v>
      </c>
      <c r="T40" s="159" t="s">
        <v>312</v>
      </c>
      <c r="U40" s="159" t="s">
        <v>254</v>
      </c>
      <c r="V40" s="159" t="s">
        <v>315</v>
      </c>
      <c r="W40" s="159" t="s">
        <v>320</v>
      </c>
      <c r="X40" s="159" t="s">
        <v>255</v>
      </c>
      <c r="Y40" s="159" t="s">
        <v>312</v>
      </c>
      <c r="Z40" s="158" t="s">
        <v>254</v>
      </c>
      <c r="AA40" s="159" t="s">
        <v>308</v>
      </c>
      <c r="AB40" s="159" t="s">
        <v>255</v>
      </c>
      <c r="AC40" s="159" t="s">
        <v>312</v>
      </c>
      <c r="AD40" s="159" t="s">
        <v>254</v>
      </c>
      <c r="AE40" s="159" t="s">
        <v>307</v>
      </c>
      <c r="AF40" t="s">
        <v>115</v>
      </c>
      <c r="AG40" t="s">
        <v>319</v>
      </c>
    </row>
    <row r="41" spans="2:33" x14ac:dyDescent="0.25">
      <c r="B41">
        <f>VLOOKUP($C32,Jobs!$B$8:$AG$60,B39)</f>
        <v>2049</v>
      </c>
      <c r="C41" s="18">
        <f>VLOOKUP($C32,Jobs!$B$8:$AG$60,C39)</f>
        <v>5425920.3693898898</v>
      </c>
      <c r="D41" s="18">
        <f>VLOOKUP($C32,Jobs!$B$8:$AG$60,D39)</f>
        <v>229586.23878783945</v>
      </c>
      <c r="E41" s="18">
        <f>VLOOKUP($C32,Jobs!$B$8:$AG$60,E39)</f>
        <v>104758.33976339603</v>
      </c>
      <c r="F41" s="18">
        <f>VLOOKUP($C32,Jobs!$B$8:$AG$60,F39)</f>
        <v>119179.86495572179</v>
      </c>
      <c r="G41" s="18">
        <f>VLOOKUP($C32,Jobs!$B$8:$AG$60,G39)</f>
        <v>453524.44350695726</v>
      </c>
      <c r="H41" s="18">
        <f>VLOOKUP($C32,Jobs!$B$8:$AG$60,H39)</f>
        <v>23908.953206639078</v>
      </c>
      <c r="I41" s="18">
        <f>VLOOKUP($C32,Jobs!$B$8:$AG$60,I39)</f>
        <v>3220.6486403103731</v>
      </c>
      <c r="J41" s="18">
        <f>VLOOKUP($C32,Jobs!$B$8:$AG$60,J39)</f>
        <v>274818.10713032651</v>
      </c>
      <c r="K41" s="18">
        <f>VLOOKUP($C32,Jobs!$B$8:$AG$60,K39)</f>
        <v>301947.70897727594</v>
      </c>
      <c r="L41" s="18">
        <f>VLOOKUP($C32,Jobs!$B$8:$AG$60,L39)</f>
        <v>755472.15248423326</v>
      </c>
      <c r="M41" s="148">
        <f>VLOOKUP($C32,Jobs!$B$8:$AG$60,M39)</f>
        <v>59483062931.520088</v>
      </c>
      <c r="N41" s="16">
        <f>VLOOKUP($C32,Jobs!$B$8:$AG$60,N39)</f>
        <v>0.6774653322264943</v>
      </c>
      <c r="O41" s="18">
        <f>VLOOKUP($C32,Jobs!$B$8:$AG$60,O39)</f>
        <v>56964.207674931342</v>
      </c>
      <c r="P41" s="18">
        <f>VLOOKUP($C32,Jobs!$B$8:$AG$60,P39)</f>
        <v>30402.263784092305</v>
      </c>
      <c r="Q41" s="18">
        <f>VLOOKUP($C32,Jobs!$B$8:$AG$60,Q39)</f>
        <v>33601.992953477966</v>
      </c>
      <c r="R41" s="18">
        <f>VLOOKUP($C32,Jobs!$B$8:$AG$60,R39)</f>
        <v>120968.46441250162</v>
      </c>
      <c r="S41" s="18">
        <f>VLOOKUP($C32,Jobs!$B$8:$AG$60,S39)</f>
        <v>22988.58459894577</v>
      </c>
      <c r="T41" s="18">
        <f>VLOOKUP($C32,Jobs!$B$8:$AG$60,T39)</f>
        <v>3096.6706526781627</v>
      </c>
      <c r="U41" s="18">
        <f>VLOOKUP($C32,Jobs!$B$8:$AG$60,U39)</f>
        <v>264239.05933837994</v>
      </c>
      <c r="V41" s="18">
        <f>VLOOKUP($C32,Jobs!$B$8:$AG$60,V39)</f>
        <v>290324.31459000387</v>
      </c>
      <c r="W41" s="18">
        <f>VLOOKUP($C32,Jobs!$B$8:$AG$60,W39)</f>
        <v>169355.85017750226</v>
      </c>
      <c r="X41" s="18">
        <f>VLOOKUP($C32,Jobs!$B$8:$AG$60,X39)</f>
        <v>172622.03111290809</v>
      </c>
      <c r="Y41" s="18">
        <f>VLOOKUP($C32,Jobs!$B$8:$AG$60,Y39)</f>
        <v>74356.075979303714</v>
      </c>
      <c r="Z41" s="18">
        <f>VLOOKUP($C32,Jobs!$B$8:$AG$60,Z39)</f>
        <v>85577.872002243821</v>
      </c>
      <c r="AA41" s="18">
        <f>VLOOKUP($C32,Jobs!$B$8:$AG$60,AA39)</f>
        <v>332555.9790944556</v>
      </c>
      <c r="AB41" s="18">
        <f>VLOOKUP($C32,Jobs!$B$8:$AG$60,AB39)</f>
        <v>46897.537805584849</v>
      </c>
      <c r="AC41" s="18">
        <f>VLOOKUP($C32,Jobs!$B$8:$AG$60,AC39)</f>
        <v>6317.3192929885354</v>
      </c>
      <c r="AD41" s="18">
        <f>VLOOKUP($C32,Jobs!$B$8:$AG$60,AD39)</f>
        <v>539057.16646870645</v>
      </c>
      <c r="AE41" s="18">
        <f>VLOOKUP($C32,Jobs!$B$8:$AG$60,AE39)</f>
        <v>592272.0235672798</v>
      </c>
      <c r="AF41" s="18">
        <f>VLOOKUP($C32,Jobs!$B$8:$AG$60,AF39)</f>
        <v>924828.0026617354</v>
      </c>
      <c r="AG41" s="148">
        <f>VLOOKUP($C32,Jobs!$B$8:$AG$60,AG39)</f>
        <v>81171423277.445145</v>
      </c>
    </row>
    <row r="43" spans="2:33" x14ac:dyDescent="0.25">
      <c r="D43" s="20">
        <f>D41+H41</f>
        <v>253495.19199447852</v>
      </c>
      <c r="E43" s="20">
        <f>E41+I41</f>
        <v>107978.9884037064</v>
      </c>
      <c r="F43" s="20">
        <f>F41+J41</f>
        <v>393997.97208604828</v>
      </c>
      <c r="X43" s="20">
        <f>X41+AB41</f>
        <v>219519.56891849294</v>
      </c>
      <c r="Y43" s="20">
        <f>Y41+AC41</f>
        <v>80673.395272292255</v>
      </c>
      <c r="Z43" s="20">
        <f>Z41+AD41</f>
        <v>624635.03847095021</v>
      </c>
    </row>
  </sheetData>
  <mergeCells count="3">
    <mergeCell ref="D38:L38"/>
    <mergeCell ref="R38:Z38"/>
    <mergeCell ref="AA38:AD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Q124"/>
  <sheetViews>
    <sheetView topLeftCell="A7" workbookViewId="0">
      <selection activeCell="L119" sqref="L119"/>
    </sheetView>
  </sheetViews>
  <sheetFormatPr defaultRowHeight="15" x14ac:dyDescent="0.25"/>
  <cols>
    <col min="1" max="1" width="5.85546875" style="3" customWidth="1"/>
    <col min="3" max="3" width="17.140625" customWidth="1"/>
    <col min="4" max="5" width="10.7109375" customWidth="1"/>
    <col min="6" max="9" width="13.7109375" customWidth="1"/>
  </cols>
  <sheetData>
    <row r="1" spans="1:16" x14ac:dyDescent="0.25">
      <c r="A1" s="4"/>
      <c r="D1" s="172" t="s">
        <v>89</v>
      </c>
      <c r="E1" s="172"/>
      <c r="G1" s="10" t="s">
        <v>88</v>
      </c>
    </row>
    <row r="2" spans="1:16" x14ac:dyDescent="0.25">
      <c r="D2" s="175" t="s">
        <v>85</v>
      </c>
      <c r="E2" s="175"/>
      <c r="F2" s="175" t="s">
        <v>7</v>
      </c>
      <c r="G2" s="175"/>
      <c r="H2" s="175"/>
    </row>
    <row r="3" spans="1:16" x14ac:dyDescent="0.25">
      <c r="A3" s="1">
        <v>1</v>
      </c>
      <c r="B3" s="6" t="s">
        <v>15</v>
      </c>
    </row>
    <row r="4" spans="1:16" x14ac:dyDescent="0.25">
      <c r="A4" s="1"/>
      <c r="B4" s="2"/>
      <c r="C4" s="5" t="s">
        <v>6</v>
      </c>
      <c r="D4" s="5" t="s">
        <v>86</v>
      </c>
      <c r="E4" s="5" t="s">
        <v>87</v>
      </c>
      <c r="F4" s="9" t="s">
        <v>8</v>
      </c>
      <c r="G4" s="5" t="s">
        <v>9</v>
      </c>
      <c r="H4" s="5" t="s">
        <v>10</v>
      </c>
      <c r="I4" s="5" t="s">
        <v>105</v>
      </c>
      <c r="J4" s="6" t="s">
        <v>26</v>
      </c>
    </row>
    <row r="5" spans="1:16" x14ac:dyDescent="0.25">
      <c r="C5" s="1" t="s">
        <v>0</v>
      </c>
      <c r="D5" s="1">
        <v>0</v>
      </c>
      <c r="E5" s="1">
        <v>10</v>
      </c>
      <c r="F5" s="1">
        <v>1</v>
      </c>
      <c r="G5" s="1">
        <v>1</v>
      </c>
      <c r="H5" s="1">
        <v>2</v>
      </c>
      <c r="I5" s="1">
        <v>1</v>
      </c>
      <c r="J5" t="s">
        <v>24</v>
      </c>
      <c r="P5" s="1"/>
    </row>
    <row r="6" spans="1:16" x14ac:dyDescent="0.25">
      <c r="C6" s="1" t="s">
        <v>1</v>
      </c>
      <c r="D6" s="1">
        <v>3</v>
      </c>
      <c r="E6" s="1">
        <v>15</v>
      </c>
      <c r="F6" s="1">
        <v>5</v>
      </c>
      <c r="G6" s="1">
        <v>4</v>
      </c>
      <c r="H6" s="1">
        <v>10</v>
      </c>
      <c r="I6" s="1">
        <v>5</v>
      </c>
      <c r="J6" t="s">
        <v>25</v>
      </c>
      <c r="P6" s="1"/>
    </row>
    <row r="7" spans="1:16" x14ac:dyDescent="0.25">
      <c r="C7" s="1" t="s">
        <v>2</v>
      </c>
      <c r="D7" s="1">
        <v>5</v>
      </c>
      <c r="E7" s="1">
        <v>25</v>
      </c>
      <c r="F7" s="1">
        <v>15</v>
      </c>
      <c r="G7" s="1">
        <v>10</v>
      </c>
      <c r="H7" s="1">
        <v>20</v>
      </c>
      <c r="I7" s="1">
        <v>15</v>
      </c>
      <c r="J7" t="s">
        <v>14</v>
      </c>
      <c r="P7" s="1"/>
    </row>
    <row r="8" spans="1:16" x14ac:dyDescent="0.25">
      <c r="C8" s="1" t="s">
        <v>3</v>
      </c>
      <c r="D8" s="1">
        <v>0</v>
      </c>
      <c r="E8" s="1">
        <v>10</v>
      </c>
      <c r="F8" s="1">
        <v>1</v>
      </c>
      <c r="G8" s="1">
        <v>1</v>
      </c>
      <c r="H8" s="1">
        <v>2</v>
      </c>
      <c r="I8" s="1">
        <v>1</v>
      </c>
      <c r="P8" s="1"/>
    </row>
    <row r="9" spans="1:16" x14ac:dyDescent="0.25">
      <c r="C9" s="1" t="s">
        <v>4</v>
      </c>
      <c r="D9" s="1">
        <v>2</v>
      </c>
      <c r="E9" s="1">
        <v>15</v>
      </c>
      <c r="F9" s="1">
        <v>5</v>
      </c>
      <c r="G9" s="1">
        <v>4</v>
      </c>
      <c r="H9" s="1">
        <v>8</v>
      </c>
      <c r="I9" s="1">
        <v>5</v>
      </c>
      <c r="P9" s="1"/>
    </row>
    <row r="10" spans="1:16" x14ac:dyDescent="0.25">
      <c r="C10" s="1" t="s">
        <v>5</v>
      </c>
      <c r="D10" s="1">
        <v>5</v>
      </c>
      <c r="E10" s="1">
        <v>25</v>
      </c>
      <c r="F10" s="1">
        <v>17</v>
      </c>
      <c r="G10" s="1">
        <v>10</v>
      </c>
      <c r="H10" s="1">
        <v>20</v>
      </c>
      <c r="I10" s="1">
        <v>17</v>
      </c>
      <c r="P10" s="1"/>
    </row>
    <row r="12" spans="1:16" x14ac:dyDescent="0.25">
      <c r="A12" s="3">
        <v>2</v>
      </c>
      <c r="B12" s="7" t="s">
        <v>16</v>
      </c>
    </row>
    <row r="13" spans="1:16" ht="30" x14ac:dyDescent="0.25">
      <c r="C13" s="5" t="s">
        <v>6</v>
      </c>
      <c r="D13" s="5" t="s">
        <v>86</v>
      </c>
      <c r="E13" s="5" t="s">
        <v>87</v>
      </c>
      <c r="F13" s="9" t="s">
        <v>13</v>
      </c>
      <c r="G13" s="5" t="s">
        <v>11</v>
      </c>
      <c r="H13" s="5" t="s">
        <v>12</v>
      </c>
      <c r="I13" s="5" t="s">
        <v>105</v>
      </c>
    </row>
    <row r="14" spans="1:16" x14ac:dyDescent="0.25">
      <c r="C14" s="1" t="s">
        <v>0</v>
      </c>
      <c r="D14" s="1">
        <v>0</v>
      </c>
      <c r="E14" s="1">
        <v>5</v>
      </c>
      <c r="F14" s="1">
        <v>1</v>
      </c>
      <c r="G14" s="1">
        <v>1</v>
      </c>
      <c r="H14" s="1">
        <v>3</v>
      </c>
      <c r="I14" s="1">
        <v>1</v>
      </c>
    </row>
    <row r="15" spans="1:16" x14ac:dyDescent="0.25">
      <c r="C15" s="1" t="s">
        <v>1</v>
      </c>
      <c r="D15" s="1">
        <v>2</v>
      </c>
      <c r="E15" s="1">
        <v>10</v>
      </c>
      <c r="F15" s="1">
        <v>4</v>
      </c>
      <c r="G15" s="1">
        <v>3</v>
      </c>
      <c r="H15" s="1">
        <v>8</v>
      </c>
      <c r="I15" s="1">
        <v>4</v>
      </c>
    </row>
    <row r="16" spans="1:16" x14ac:dyDescent="0.25">
      <c r="C16" s="1" t="s">
        <v>2</v>
      </c>
      <c r="D16" s="1">
        <v>4</v>
      </c>
      <c r="E16" s="1">
        <v>15</v>
      </c>
      <c r="F16" s="1">
        <v>8</v>
      </c>
      <c r="G16" s="1">
        <v>5</v>
      </c>
      <c r="H16" s="1">
        <v>12</v>
      </c>
      <c r="I16" s="1">
        <v>8</v>
      </c>
    </row>
    <row r="17" spans="1:17" x14ac:dyDescent="0.25">
      <c r="C17" s="1" t="s">
        <v>3</v>
      </c>
      <c r="D17" s="1">
        <v>0</v>
      </c>
      <c r="E17" s="1">
        <v>5</v>
      </c>
      <c r="F17" s="1">
        <v>1</v>
      </c>
      <c r="G17" s="1">
        <v>1</v>
      </c>
      <c r="H17" s="1">
        <v>3</v>
      </c>
      <c r="I17" s="1">
        <v>1</v>
      </c>
    </row>
    <row r="18" spans="1:17" x14ac:dyDescent="0.25">
      <c r="C18" s="1" t="s">
        <v>4</v>
      </c>
      <c r="D18" s="1">
        <v>3</v>
      </c>
      <c r="E18" s="1">
        <v>10</v>
      </c>
      <c r="F18" s="1">
        <v>3</v>
      </c>
      <c r="G18" s="1">
        <v>3</v>
      </c>
      <c r="H18" s="1">
        <v>8</v>
      </c>
      <c r="I18" s="1">
        <v>3</v>
      </c>
    </row>
    <row r="19" spans="1:17" x14ac:dyDescent="0.25">
      <c r="C19" s="1" t="s">
        <v>5</v>
      </c>
      <c r="D19" s="1">
        <v>5</v>
      </c>
      <c r="E19" s="1">
        <v>20</v>
      </c>
      <c r="F19" s="1">
        <v>8</v>
      </c>
      <c r="G19" s="1">
        <v>5</v>
      </c>
      <c r="H19" s="1">
        <v>12</v>
      </c>
      <c r="I19" s="1">
        <v>8</v>
      </c>
    </row>
    <row r="21" spans="1:17" x14ac:dyDescent="0.25">
      <c r="A21" s="3">
        <v>3</v>
      </c>
      <c r="B21" s="7" t="s">
        <v>17</v>
      </c>
    </row>
    <row r="22" spans="1:17" ht="45" x14ac:dyDescent="0.25">
      <c r="C22" s="5" t="s">
        <v>92</v>
      </c>
      <c r="D22" s="5" t="s">
        <v>86</v>
      </c>
      <c r="E22" s="5" t="s">
        <v>87</v>
      </c>
      <c r="F22" s="9" t="s">
        <v>21</v>
      </c>
      <c r="G22" s="5" t="s">
        <v>23</v>
      </c>
      <c r="H22" s="5" t="s">
        <v>22</v>
      </c>
      <c r="I22" s="5" t="s">
        <v>105</v>
      </c>
    </row>
    <row r="23" spans="1:17" ht="30" x14ac:dyDescent="0.25">
      <c r="C23" s="5" t="s">
        <v>90</v>
      </c>
      <c r="D23" s="29">
        <v>-5</v>
      </c>
      <c r="E23" s="29">
        <v>20</v>
      </c>
      <c r="F23" s="29">
        <v>0</v>
      </c>
      <c r="G23" s="29">
        <v>2</v>
      </c>
      <c r="H23" s="29">
        <v>2</v>
      </c>
      <c r="I23" s="29">
        <v>0</v>
      </c>
      <c r="K23" s="16"/>
      <c r="L23" s="16"/>
      <c r="M23" s="16"/>
      <c r="N23" s="16"/>
      <c r="O23" s="16"/>
      <c r="P23" s="16"/>
    </row>
    <row r="24" spans="1:17" ht="30" x14ac:dyDescent="0.25">
      <c r="C24" s="5" t="s">
        <v>93</v>
      </c>
      <c r="D24" s="28">
        <v>0</v>
      </c>
      <c r="E24" s="28">
        <v>0.1</v>
      </c>
      <c r="F24" s="28">
        <v>0.05</v>
      </c>
      <c r="G24" s="28">
        <v>0.02</v>
      </c>
      <c r="H24" s="28">
        <v>0.02</v>
      </c>
      <c r="I24" s="28">
        <v>0.05</v>
      </c>
      <c r="K24" s="16"/>
      <c r="L24" s="16"/>
      <c r="M24" s="16"/>
      <c r="N24" s="16"/>
      <c r="O24" s="16"/>
      <c r="P24" s="16"/>
    </row>
    <row r="25" spans="1:17" ht="45" x14ac:dyDescent="0.25">
      <c r="A25" s="11"/>
      <c r="C25" s="5" t="s">
        <v>130</v>
      </c>
      <c r="D25" s="28">
        <v>0</v>
      </c>
      <c r="E25" s="28">
        <v>1</v>
      </c>
      <c r="F25" s="28">
        <v>0.25</v>
      </c>
      <c r="G25" s="28">
        <v>1</v>
      </c>
      <c r="H25" s="28">
        <v>1</v>
      </c>
      <c r="I25" s="28">
        <v>0.25</v>
      </c>
      <c r="K25" s="16"/>
      <c r="L25" s="16"/>
      <c r="M25" s="16"/>
      <c r="N25" s="16"/>
      <c r="O25" s="16"/>
      <c r="P25" s="16"/>
    </row>
    <row r="26" spans="1:17" ht="30" x14ac:dyDescent="0.25">
      <c r="C26" s="5" t="s">
        <v>91</v>
      </c>
      <c r="D26" s="29">
        <v>-5</v>
      </c>
      <c r="E26" s="29">
        <v>20</v>
      </c>
      <c r="F26" s="29">
        <v>0</v>
      </c>
      <c r="G26" s="29">
        <v>0</v>
      </c>
      <c r="H26" s="29">
        <v>4</v>
      </c>
      <c r="I26" s="29">
        <v>0</v>
      </c>
      <c r="K26" s="16"/>
      <c r="L26" s="16"/>
      <c r="M26" s="16"/>
      <c r="N26" s="16"/>
      <c r="O26" s="16"/>
      <c r="P26" s="16"/>
      <c r="Q26" s="16"/>
    </row>
    <row r="27" spans="1:17" ht="30" x14ac:dyDescent="0.25">
      <c r="C27" s="5" t="s">
        <v>94</v>
      </c>
      <c r="D27" s="28">
        <v>0</v>
      </c>
      <c r="E27" s="28">
        <v>0.1</v>
      </c>
      <c r="F27" s="28">
        <v>0</v>
      </c>
      <c r="G27" s="28">
        <v>0</v>
      </c>
      <c r="H27" s="28">
        <v>0.02</v>
      </c>
      <c r="I27" s="28">
        <v>0</v>
      </c>
      <c r="K27" s="16"/>
      <c r="L27" s="16"/>
      <c r="M27" s="16"/>
      <c r="N27" s="16"/>
      <c r="O27" s="16"/>
      <c r="P27" s="16"/>
    </row>
    <row r="28" spans="1:17" ht="45" x14ac:dyDescent="0.25">
      <c r="A28" s="11"/>
      <c r="C28" s="5" t="s">
        <v>131</v>
      </c>
      <c r="D28" s="28">
        <v>0</v>
      </c>
      <c r="E28" s="28">
        <v>1</v>
      </c>
      <c r="F28" s="28">
        <v>0</v>
      </c>
      <c r="G28" s="28">
        <v>0</v>
      </c>
      <c r="H28" s="28">
        <v>0.5</v>
      </c>
      <c r="I28" s="28">
        <v>0</v>
      </c>
      <c r="K28" s="16"/>
      <c r="L28" s="16"/>
      <c r="M28" s="16"/>
      <c r="N28" s="16"/>
      <c r="O28" s="16"/>
      <c r="P28" s="16"/>
    </row>
    <row r="30" spans="1:17" x14ac:dyDescent="0.25">
      <c r="A30" s="3">
        <v>4</v>
      </c>
      <c r="B30" s="7" t="s">
        <v>83</v>
      </c>
    </row>
    <row r="31" spans="1:17" ht="45" x14ac:dyDescent="0.25">
      <c r="C31" s="5" t="s">
        <v>18</v>
      </c>
      <c r="D31" s="5" t="s">
        <v>86</v>
      </c>
      <c r="E31" s="5" t="s">
        <v>87</v>
      </c>
      <c r="F31" s="5" t="s">
        <v>27</v>
      </c>
      <c r="G31" s="9" t="s">
        <v>28</v>
      </c>
      <c r="H31" s="5" t="s">
        <v>29</v>
      </c>
      <c r="I31" s="5" t="s">
        <v>105</v>
      </c>
    </row>
    <row r="32" spans="1:17" ht="30" x14ac:dyDescent="0.25">
      <c r="A32" s="11"/>
      <c r="C32" s="5" t="s">
        <v>200</v>
      </c>
      <c r="D32" s="5">
        <v>-10</v>
      </c>
      <c r="E32" s="5">
        <v>10</v>
      </c>
      <c r="F32" s="5">
        <v>-1</v>
      </c>
      <c r="G32" s="31">
        <v>-5</v>
      </c>
      <c r="H32" s="5">
        <v>-3</v>
      </c>
      <c r="I32" s="31">
        <v>-5</v>
      </c>
    </row>
    <row r="33" spans="1:16" x14ac:dyDescent="0.25">
      <c r="C33" s="5" t="s">
        <v>213</v>
      </c>
      <c r="D33" s="27">
        <v>0</v>
      </c>
      <c r="E33" s="27">
        <v>1</v>
      </c>
      <c r="F33" s="27">
        <v>0.5</v>
      </c>
      <c r="G33" s="27">
        <v>1</v>
      </c>
      <c r="H33" s="27">
        <v>1</v>
      </c>
      <c r="I33" s="27">
        <v>1</v>
      </c>
      <c r="K33" s="16"/>
      <c r="L33" s="16"/>
      <c r="M33" s="16"/>
      <c r="N33" s="16"/>
      <c r="O33" s="16"/>
      <c r="P33" s="16"/>
    </row>
    <row r="34" spans="1:16" x14ac:dyDescent="0.25">
      <c r="C34" s="5" t="s">
        <v>41</v>
      </c>
      <c r="D34" s="27">
        <v>0</v>
      </c>
      <c r="E34" s="27">
        <v>1</v>
      </c>
      <c r="F34" s="27">
        <v>0.1</v>
      </c>
      <c r="G34" s="27">
        <v>0.8</v>
      </c>
      <c r="H34" s="27">
        <v>0.8</v>
      </c>
      <c r="I34" s="27">
        <v>0.8</v>
      </c>
      <c r="K34" s="16"/>
      <c r="L34" s="16"/>
      <c r="M34" s="16"/>
      <c r="N34" s="16"/>
      <c r="O34" s="16"/>
      <c r="P34" s="16"/>
    </row>
    <row r="35" spans="1:16" ht="30" x14ac:dyDescent="0.25">
      <c r="C35" s="5" t="s">
        <v>19</v>
      </c>
      <c r="D35" s="27">
        <v>0</v>
      </c>
      <c r="E35" s="27">
        <v>1</v>
      </c>
      <c r="F35" s="27">
        <v>0</v>
      </c>
      <c r="G35" s="27">
        <v>0.4</v>
      </c>
      <c r="H35" s="27">
        <v>0.7</v>
      </c>
      <c r="I35" s="27">
        <v>0.4</v>
      </c>
      <c r="K35" s="16"/>
      <c r="L35" s="16"/>
      <c r="M35" s="16"/>
      <c r="N35" s="16"/>
      <c r="O35" s="16"/>
      <c r="P35" s="16"/>
    </row>
    <row r="36" spans="1:16" ht="30" x14ac:dyDescent="0.25">
      <c r="C36" s="5" t="s">
        <v>20</v>
      </c>
      <c r="D36" s="27">
        <v>0</v>
      </c>
      <c r="E36" s="27">
        <v>0.8</v>
      </c>
      <c r="F36" s="27">
        <v>0</v>
      </c>
      <c r="G36" s="27">
        <v>0</v>
      </c>
      <c r="H36" s="27">
        <v>0.4</v>
      </c>
      <c r="I36" s="27">
        <v>0</v>
      </c>
      <c r="K36" s="16"/>
      <c r="L36" s="16"/>
      <c r="M36" s="16"/>
      <c r="N36" s="16"/>
      <c r="O36" s="16"/>
      <c r="P36" s="16"/>
    </row>
    <row r="37" spans="1:16" x14ac:dyDescent="0.25">
      <c r="C37" s="5" t="s">
        <v>42</v>
      </c>
      <c r="D37" s="27">
        <v>0</v>
      </c>
      <c r="E37" s="27">
        <v>0.5</v>
      </c>
      <c r="F37" s="27">
        <v>0</v>
      </c>
      <c r="G37" s="27">
        <v>0</v>
      </c>
      <c r="H37" s="27">
        <v>0</v>
      </c>
      <c r="I37" s="27">
        <v>0</v>
      </c>
      <c r="K37" s="16"/>
      <c r="L37" s="16"/>
      <c r="M37" s="16"/>
      <c r="N37" s="16"/>
      <c r="O37" s="16"/>
      <c r="P37" s="16"/>
    </row>
    <row r="39" spans="1:16" x14ac:dyDescent="0.25">
      <c r="A39" s="8">
        <v>5</v>
      </c>
      <c r="B39" s="7" t="s">
        <v>82</v>
      </c>
    </row>
    <row r="40" spans="1:16" ht="30" x14ac:dyDescent="0.25">
      <c r="C40" s="5" t="s">
        <v>92</v>
      </c>
      <c r="D40" s="5" t="s">
        <v>86</v>
      </c>
      <c r="E40" s="5" t="s">
        <v>87</v>
      </c>
      <c r="F40" s="5" t="s">
        <v>30</v>
      </c>
      <c r="G40" s="9" t="s">
        <v>31</v>
      </c>
      <c r="H40" s="5" t="s">
        <v>32</v>
      </c>
      <c r="I40" s="5" t="s">
        <v>105</v>
      </c>
    </row>
    <row r="41" spans="1:16" ht="30" x14ac:dyDescent="0.25">
      <c r="C41" s="5" t="s">
        <v>90</v>
      </c>
      <c r="D41" s="30">
        <v>-5</v>
      </c>
      <c r="E41" s="30">
        <v>20</v>
      </c>
      <c r="F41" s="30">
        <v>2</v>
      </c>
      <c r="G41" s="30">
        <v>0</v>
      </c>
      <c r="H41" s="30">
        <v>-2</v>
      </c>
      <c r="I41" s="30">
        <v>0</v>
      </c>
    </row>
    <row r="42" spans="1:16" ht="30" x14ac:dyDescent="0.25">
      <c r="C42" s="5" t="s">
        <v>95</v>
      </c>
      <c r="D42" s="27">
        <v>0</v>
      </c>
      <c r="E42" s="27">
        <v>0.1</v>
      </c>
      <c r="F42" s="27">
        <v>0.02</v>
      </c>
      <c r="G42" s="27">
        <v>0.04</v>
      </c>
      <c r="H42" s="27">
        <v>0.1</v>
      </c>
      <c r="I42" s="27">
        <v>0.04</v>
      </c>
    </row>
    <row r="43" spans="1:16" ht="45" x14ac:dyDescent="0.25">
      <c r="A43" s="11"/>
      <c r="C43" s="5" t="s">
        <v>130</v>
      </c>
      <c r="D43" s="27">
        <v>0</v>
      </c>
      <c r="E43" s="27">
        <v>1</v>
      </c>
      <c r="F43" s="27">
        <v>0.5</v>
      </c>
      <c r="G43" s="27">
        <v>1</v>
      </c>
      <c r="H43" s="27">
        <v>1</v>
      </c>
      <c r="I43" s="27">
        <v>1</v>
      </c>
    </row>
    <row r="44" spans="1:16" ht="30" x14ac:dyDescent="0.25">
      <c r="C44" s="5" t="s">
        <v>91</v>
      </c>
      <c r="D44" s="30">
        <v>-5</v>
      </c>
      <c r="E44" s="30">
        <v>20</v>
      </c>
      <c r="F44" s="30">
        <v>2</v>
      </c>
      <c r="G44" s="30">
        <v>0</v>
      </c>
      <c r="H44" s="30">
        <v>-1</v>
      </c>
      <c r="I44" s="30">
        <v>0</v>
      </c>
    </row>
    <row r="45" spans="1:16" ht="30" x14ac:dyDescent="0.25">
      <c r="C45" s="5" t="s">
        <v>96</v>
      </c>
      <c r="D45" s="27">
        <v>0</v>
      </c>
      <c r="E45" s="27">
        <v>0.1</v>
      </c>
      <c r="F45" s="27">
        <v>0.02</v>
      </c>
      <c r="G45" s="27">
        <v>0.04</v>
      </c>
      <c r="H45" s="27">
        <v>0.1</v>
      </c>
      <c r="I45" s="27">
        <v>0.04</v>
      </c>
    </row>
    <row r="46" spans="1:16" ht="45" x14ac:dyDescent="0.25">
      <c r="A46" s="11"/>
      <c r="C46" s="5" t="s">
        <v>131</v>
      </c>
      <c r="D46" s="27">
        <v>0</v>
      </c>
      <c r="E46" s="27">
        <v>1</v>
      </c>
      <c r="F46" s="27">
        <v>0.5</v>
      </c>
      <c r="G46" s="27">
        <v>0.5</v>
      </c>
      <c r="H46" s="27">
        <v>1</v>
      </c>
      <c r="I46" s="27">
        <v>0.5</v>
      </c>
    </row>
    <row r="47" spans="1:16" x14ac:dyDescent="0.25">
      <c r="A47" s="4"/>
      <c r="C47" s="1"/>
    </row>
    <row r="48" spans="1:16" x14ac:dyDescent="0.25">
      <c r="A48" s="8">
        <v>6</v>
      </c>
      <c r="B48" s="7" t="s">
        <v>33</v>
      </c>
    </row>
    <row r="49" spans="1:9" ht="45" x14ac:dyDescent="0.25">
      <c r="C49" s="5" t="s">
        <v>34</v>
      </c>
      <c r="D49" s="5" t="s">
        <v>86</v>
      </c>
      <c r="E49" s="5" t="s">
        <v>87</v>
      </c>
      <c r="F49" s="5" t="s">
        <v>38</v>
      </c>
      <c r="G49" s="9" t="s">
        <v>39</v>
      </c>
      <c r="H49" s="5" t="s">
        <v>40</v>
      </c>
      <c r="I49" s="5" t="s">
        <v>105</v>
      </c>
    </row>
    <row r="50" spans="1:9" ht="30" x14ac:dyDescent="0.25">
      <c r="C50" s="5" t="s">
        <v>35</v>
      </c>
      <c r="D50" s="1">
        <v>1</v>
      </c>
      <c r="E50" s="1">
        <v>99</v>
      </c>
      <c r="F50" s="1">
        <v>99</v>
      </c>
      <c r="G50" s="1">
        <v>3</v>
      </c>
      <c r="H50" s="1">
        <v>3</v>
      </c>
      <c r="I50" s="140">
        <v>3</v>
      </c>
    </row>
    <row r="51" spans="1:9" ht="30" x14ac:dyDescent="0.25">
      <c r="C51" s="5" t="s">
        <v>37</v>
      </c>
      <c r="D51" s="1">
        <v>1</v>
      </c>
      <c r="E51" s="1">
        <v>99</v>
      </c>
      <c r="F51" s="1">
        <v>99</v>
      </c>
      <c r="G51" s="1">
        <v>5</v>
      </c>
      <c r="H51" s="1">
        <v>5</v>
      </c>
      <c r="I51" s="140">
        <v>5</v>
      </c>
    </row>
    <row r="52" spans="1:9" ht="30" x14ac:dyDescent="0.25">
      <c r="C52" s="5" t="s">
        <v>36</v>
      </c>
      <c r="D52" s="1">
        <v>5</v>
      </c>
      <c r="E52" s="1">
        <v>99</v>
      </c>
      <c r="F52" s="1">
        <v>99</v>
      </c>
      <c r="G52" s="1">
        <v>99</v>
      </c>
      <c r="H52" s="1">
        <v>10</v>
      </c>
      <c r="I52" s="140">
        <v>99</v>
      </c>
    </row>
    <row r="54" spans="1:9" x14ac:dyDescent="0.25">
      <c r="A54" s="8">
        <v>7</v>
      </c>
      <c r="B54" s="7" t="s">
        <v>81</v>
      </c>
    </row>
    <row r="55" spans="1:9" ht="45" x14ac:dyDescent="0.25">
      <c r="C55" s="5" t="s">
        <v>58</v>
      </c>
      <c r="D55" s="5" t="s">
        <v>86</v>
      </c>
      <c r="E55" s="5" t="s">
        <v>87</v>
      </c>
      <c r="F55" s="5" t="s">
        <v>43</v>
      </c>
      <c r="G55" s="9" t="s">
        <v>44</v>
      </c>
      <c r="H55" s="5" t="s">
        <v>45</v>
      </c>
      <c r="I55" s="5" t="s">
        <v>105</v>
      </c>
    </row>
    <row r="56" spans="1:9" ht="30" x14ac:dyDescent="0.25">
      <c r="A56" s="11"/>
      <c r="C56" s="5" t="s">
        <v>133</v>
      </c>
      <c r="D56" s="5">
        <v>0</v>
      </c>
      <c r="E56" s="5">
        <v>99</v>
      </c>
      <c r="F56" s="5">
        <v>99</v>
      </c>
      <c r="G56" s="31">
        <v>5</v>
      </c>
      <c r="H56" s="5">
        <v>10</v>
      </c>
      <c r="I56" s="5">
        <v>5</v>
      </c>
    </row>
    <row r="57" spans="1:9" x14ac:dyDescent="0.25">
      <c r="C57" s="5" t="s">
        <v>214</v>
      </c>
      <c r="D57" s="27">
        <v>0</v>
      </c>
      <c r="E57" s="27">
        <v>1</v>
      </c>
      <c r="F57" s="27">
        <v>0</v>
      </c>
      <c r="G57" s="27">
        <v>1</v>
      </c>
      <c r="H57" s="27">
        <v>1</v>
      </c>
      <c r="I57" s="27">
        <v>1</v>
      </c>
    </row>
    <row r="58" spans="1:9" ht="30" x14ac:dyDescent="0.25">
      <c r="C58" s="5" t="s">
        <v>215</v>
      </c>
      <c r="D58" s="27">
        <v>0</v>
      </c>
      <c r="E58" s="27">
        <v>1</v>
      </c>
      <c r="F58" s="27">
        <v>0</v>
      </c>
      <c r="G58" s="27">
        <v>1</v>
      </c>
      <c r="H58" s="27">
        <v>1</v>
      </c>
      <c r="I58" s="27">
        <v>1</v>
      </c>
    </row>
    <row r="59" spans="1:9" x14ac:dyDescent="0.25">
      <c r="C59" s="5" t="s">
        <v>54</v>
      </c>
      <c r="D59" s="27">
        <v>0</v>
      </c>
      <c r="E59" s="27">
        <v>1</v>
      </c>
      <c r="F59" s="27">
        <v>0</v>
      </c>
      <c r="G59" s="27">
        <v>0</v>
      </c>
      <c r="H59" s="27">
        <v>1</v>
      </c>
      <c r="I59" s="27">
        <v>0</v>
      </c>
    </row>
    <row r="60" spans="1:9" x14ac:dyDescent="0.25">
      <c r="C60" s="5" t="s">
        <v>55</v>
      </c>
      <c r="D60" s="27">
        <v>0</v>
      </c>
      <c r="E60" s="27">
        <v>1</v>
      </c>
      <c r="F60" s="27">
        <v>0</v>
      </c>
      <c r="G60" s="27">
        <v>0</v>
      </c>
      <c r="H60" s="27">
        <v>0.5</v>
      </c>
      <c r="I60" s="27">
        <v>0</v>
      </c>
    </row>
    <row r="61" spans="1:9" ht="30" x14ac:dyDescent="0.25">
      <c r="C61" s="5" t="s">
        <v>56</v>
      </c>
      <c r="D61" s="27">
        <v>0</v>
      </c>
      <c r="E61" s="27">
        <v>0.5</v>
      </c>
      <c r="F61" s="27">
        <v>0</v>
      </c>
      <c r="G61" s="27">
        <v>0</v>
      </c>
      <c r="H61" s="27">
        <v>0.25</v>
      </c>
      <c r="I61" s="27">
        <v>0</v>
      </c>
    </row>
    <row r="62" spans="1:9" ht="30" x14ac:dyDescent="0.25">
      <c r="C62" s="5" t="s">
        <v>57</v>
      </c>
      <c r="D62" s="27">
        <v>0</v>
      </c>
      <c r="E62" s="27">
        <v>0.25</v>
      </c>
      <c r="F62" s="27">
        <v>0</v>
      </c>
      <c r="G62" s="27">
        <v>0</v>
      </c>
      <c r="H62" s="27">
        <v>0</v>
      </c>
      <c r="I62" s="27">
        <v>0</v>
      </c>
    </row>
    <row r="63" spans="1:9" x14ac:dyDescent="0.25">
      <c r="A63" s="4"/>
      <c r="C63" s="5"/>
    </row>
    <row r="64" spans="1:9" x14ac:dyDescent="0.25">
      <c r="A64" s="8">
        <v>8</v>
      </c>
      <c r="B64" s="7" t="s">
        <v>84</v>
      </c>
    </row>
    <row r="65" spans="1:9" ht="30" x14ac:dyDescent="0.25">
      <c r="C65" s="5" t="s">
        <v>46</v>
      </c>
      <c r="D65" s="5" t="s">
        <v>86</v>
      </c>
      <c r="E65" s="5" t="s">
        <v>87</v>
      </c>
      <c r="F65" s="5" t="s">
        <v>50</v>
      </c>
      <c r="G65" s="9" t="s">
        <v>51</v>
      </c>
      <c r="H65" s="5" t="s">
        <v>52</v>
      </c>
      <c r="I65" s="5" t="s">
        <v>105</v>
      </c>
    </row>
    <row r="66" spans="1:9" ht="30" x14ac:dyDescent="0.25">
      <c r="A66" s="11"/>
      <c r="C66" s="5" t="s">
        <v>133</v>
      </c>
      <c r="D66" s="5">
        <v>0</v>
      </c>
      <c r="E66" s="5">
        <v>99</v>
      </c>
      <c r="F66" s="5">
        <v>99</v>
      </c>
      <c r="G66" s="31">
        <v>5</v>
      </c>
      <c r="H66" s="5">
        <v>10</v>
      </c>
      <c r="I66" s="5">
        <v>5</v>
      </c>
    </row>
    <row r="67" spans="1:9" x14ac:dyDescent="0.25">
      <c r="C67" s="5" t="s">
        <v>50</v>
      </c>
      <c r="D67" s="92">
        <v>0</v>
      </c>
      <c r="E67" s="92">
        <v>1</v>
      </c>
      <c r="F67" s="92">
        <v>1</v>
      </c>
      <c r="G67" s="92">
        <v>0</v>
      </c>
      <c r="H67" s="92">
        <v>0</v>
      </c>
      <c r="I67" s="92">
        <v>0</v>
      </c>
    </row>
    <row r="68" spans="1:9" x14ac:dyDescent="0.25">
      <c r="C68" s="5" t="s">
        <v>51</v>
      </c>
      <c r="D68" s="92">
        <v>0</v>
      </c>
      <c r="E68" s="92">
        <v>1</v>
      </c>
      <c r="F68" s="92">
        <v>0</v>
      </c>
      <c r="G68" s="92">
        <v>1</v>
      </c>
      <c r="H68" s="92">
        <v>0</v>
      </c>
      <c r="I68" s="92">
        <v>1</v>
      </c>
    </row>
    <row r="69" spans="1:9" ht="30" x14ac:dyDescent="0.25">
      <c r="C69" s="5" t="s">
        <v>53</v>
      </c>
      <c r="D69" s="92">
        <v>0</v>
      </c>
      <c r="E69" s="92">
        <v>1</v>
      </c>
      <c r="F69" s="92">
        <v>0</v>
      </c>
      <c r="G69" s="92">
        <v>0</v>
      </c>
      <c r="H69" s="92">
        <v>0</v>
      </c>
      <c r="I69" s="92">
        <v>0</v>
      </c>
    </row>
    <row r="70" spans="1:9" x14ac:dyDescent="0.25">
      <c r="C70" s="5" t="s">
        <v>52</v>
      </c>
      <c r="D70" s="92">
        <v>0</v>
      </c>
      <c r="E70" s="92">
        <v>1</v>
      </c>
      <c r="F70" s="92">
        <v>0</v>
      </c>
      <c r="G70" s="92">
        <v>0</v>
      </c>
      <c r="H70" s="92">
        <v>1</v>
      </c>
      <c r="I70" s="92">
        <v>0</v>
      </c>
    </row>
    <row r="71" spans="1:9" x14ac:dyDescent="0.25">
      <c r="C71" s="5"/>
      <c r="D71" s="5"/>
      <c r="E71" s="5"/>
      <c r="F71" s="5"/>
      <c r="G71" s="5"/>
      <c r="H71" s="5"/>
    </row>
    <row r="72" spans="1:9" x14ac:dyDescent="0.25">
      <c r="A72" s="8">
        <v>9</v>
      </c>
      <c r="B72" s="7" t="s">
        <v>80</v>
      </c>
    </row>
    <row r="73" spans="1:9" ht="60" x14ac:dyDescent="0.25">
      <c r="C73" s="5" t="s">
        <v>58</v>
      </c>
      <c r="D73" s="5" t="s">
        <v>86</v>
      </c>
      <c r="E73" s="5" t="s">
        <v>87</v>
      </c>
      <c r="F73" s="5" t="s">
        <v>47</v>
      </c>
      <c r="G73" s="9" t="s">
        <v>48</v>
      </c>
      <c r="H73" s="5" t="s">
        <v>49</v>
      </c>
      <c r="I73" s="5" t="s">
        <v>105</v>
      </c>
    </row>
    <row r="74" spans="1:9" ht="30" x14ac:dyDescent="0.25">
      <c r="A74" s="11"/>
      <c r="C74" s="5" t="s">
        <v>133</v>
      </c>
      <c r="D74" s="5">
        <v>0</v>
      </c>
      <c r="E74" s="5">
        <v>99</v>
      </c>
      <c r="F74" s="5">
        <v>99</v>
      </c>
      <c r="G74" s="31">
        <v>5</v>
      </c>
      <c r="H74" s="5">
        <v>10</v>
      </c>
      <c r="I74" s="5">
        <v>5</v>
      </c>
    </row>
    <row r="75" spans="1:9" x14ac:dyDescent="0.25">
      <c r="C75" s="5" t="s">
        <v>214</v>
      </c>
      <c r="D75" s="27">
        <v>0</v>
      </c>
      <c r="E75" s="27">
        <v>1</v>
      </c>
      <c r="F75" s="27">
        <v>0</v>
      </c>
      <c r="G75" s="27">
        <v>1</v>
      </c>
      <c r="H75" s="27">
        <v>0.1</v>
      </c>
      <c r="I75" s="27">
        <v>1</v>
      </c>
    </row>
    <row r="76" spans="1:9" ht="30" x14ac:dyDescent="0.25">
      <c r="C76" s="5" t="s">
        <v>215</v>
      </c>
      <c r="D76" s="27">
        <v>0</v>
      </c>
      <c r="E76" s="27">
        <v>1</v>
      </c>
      <c r="F76" s="27">
        <v>0</v>
      </c>
      <c r="G76" s="27">
        <v>0</v>
      </c>
      <c r="H76" s="27">
        <v>0.1</v>
      </c>
      <c r="I76" s="27">
        <v>0</v>
      </c>
    </row>
    <row r="77" spans="1:9" x14ac:dyDescent="0.25">
      <c r="C77" s="5" t="s">
        <v>54</v>
      </c>
      <c r="D77" s="27">
        <v>0</v>
      </c>
      <c r="E77" s="27">
        <v>1</v>
      </c>
      <c r="F77" s="27">
        <v>0</v>
      </c>
      <c r="G77" s="27">
        <v>0</v>
      </c>
      <c r="H77" s="27">
        <v>0.1</v>
      </c>
      <c r="I77" s="27">
        <v>0</v>
      </c>
    </row>
    <row r="78" spans="1:9" x14ac:dyDescent="0.25">
      <c r="C78" s="5" t="s">
        <v>55</v>
      </c>
      <c r="D78" s="27">
        <v>0</v>
      </c>
      <c r="E78" s="27">
        <v>1</v>
      </c>
      <c r="F78" s="27">
        <v>0</v>
      </c>
      <c r="G78" s="27">
        <v>0</v>
      </c>
      <c r="H78" s="27">
        <v>0.1</v>
      </c>
      <c r="I78" s="27">
        <v>0</v>
      </c>
    </row>
    <row r="79" spans="1:9" ht="30" x14ac:dyDescent="0.25">
      <c r="C79" s="5" t="s">
        <v>56</v>
      </c>
      <c r="D79" s="27">
        <v>0</v>
      </c>
      <c r="E79" s="27">
        <v>1</v>
      </c>
      <c r="F79" s="27">
        <v>0</v>
      </c>
      <c r="G79" s="27">
        <v>0</v>
      </c>
      <c r="H79" s="27">
        <v>0.1</v>
      </c>
      <c r="I79" s="27">
        <v>0</v>
      </c>
    </row>
    <row r="80" spans="1:9" ht="30" x14ac:dyDescent="0.25">
      <c r="C80" s="5" t="s">
        <v>57</v>
      </c>
      <c r="D80" s="27">
        <v>0</v>
      </c>
      <c r="E80" s="27">
        <v>0.5</v>
      </c>
      <c r="F80" s="27">
        <v>0</v>
      </c>
      <c r="G80" s="27">
        <v>0</v>
      </c>
      <c r="H80" s="27">
        <v>0.1</v>
      </c>
      <c r="I80" s="27">
        <v>0</v>
      </c>
    </row>
    <row r="81" spans="1:10" ht="30" x14ac:dyDescent="0.25">
      <c r="A81" s="4"/>
      <c r="C81" s="5" t="s">
        <v>20</v>
      </c>
      <c r="D81" s="27">
        <v>0</v>
      </c>
      <c r="E81" s="27">
        <v>0.25</v>
      </c>
      <c r="F81" s="27">
        <v>0</v>
      </c>
      <c r="G81" s="27">
        <v>0</v>
      </c>
      <c r="H81" s="27">
        <v>0.1</v>
      </c>
      <c r="I81" s="27">
        <v>0</v>
      </c>
    </row>
    <row r="82" spans="1:10" x14ac:dyDescent="0.25">
      <c r="A82" s="4"/>
      <c r="C82" s="5" t="s">
        <v>42</v>
      </c>
      <c r="D82" s="27">
        <v>0</v>
      </c>
      <c r="E82" s="27">
        <v>0.25</v>
      </c>
      <c r="F82" s="27">
        <v>0</v>
      </c>
      <c r="G82" s="27">
        <v>0</v>
      </c>
      <c r="H82" s="27">
        <v>0.1</v>
      </c>
      <c r="I82" s="27">
        <v>0</v>
      </c>
    </row>
    <row r="83" spans="1:10" x14ac:dyDescent="0.25">
      <c r="A83" s="4"/>
      <c r="C83" s="5"/>
    </row>
    <row r="84" spans="1:10" x14ac:dyDescent="0.25">
      <c r="A84" s="8">
        <v>10</v>
      </c>
      <c r="B84" s="7" t="s">
        <v>79</v>
      </c>
    </row>
    <row r="85" spans="1:10" ht="30" x14ac:dyDescent="0.25">
      <c r="C85" s="5" t="s">
        <v>58</v>
      </c>
      <c r="D85" s="5" t="s">
        <v>86</v>
      </c>
      <c r="E85" s="5" t="s">
        <v>87</v>
      </c>
      <c r="F85" s="5" t="s">
        <v>59</v>
      </c>
      <c r="G85" s="9" t="s">
        <v>60</v>
      </c>
      <c r="H85" s="5" t="s">
        <v>61</v>
      </c>
      <c r="I85" s="5" t="s">
        <v>105</v>
      </c>
    </row>
    <row r="86" spans="1:10" ht="30" x14ac:dyDescent="0.25">
      <c r="A86" s="11"/>
      <c r="C86" s="5" t="s">
        <v>134</v>
      </c>
      <c r="D86" s="5">
        <v>0</v>
      </c>
      <c r="E86" s="5">
        <v>99</v>
      </c>
      <c r="F86" s="5">
        <v>99</v>
      </c>
      <c r="G86" s="31">
        <v>2</v>
      </c>
      <c r="H86" s="5">
        <v>5</v>
      </c>
      <c r="I86" s="5">
        <v>2</v>
      </c>
    </row>
    <row r="87" spans="1:10" x14ac:dyDescent="0.25">
      <c r="C87" s="91" t="s">
        <v>214</v>
      </c>
      <c r="D87" s="27">
        <v>0</v>
      </c>
      <c r="E87" s="27">
        <v>1</v>
      </c>
      <c r="F87" s="27">
        <v>0</v>
      </c>
      <c r="G87" s="27">
        <v>1</v>
      </c>
      <c r="H87" s="27">
        <v>0.1</v>
      </c>
      <c r="I87" s="27">
        <v>1</v>
      </c>
      <c r="J87" s="16"/>
    </row>
    <row r="88" spans="1:10" ht="30" x14ac:dyDescent="0.25">
      <c r="C88" s="91" t="s">
        <v>215</v>
      </c>
      <c r="D88" s="27">
        <v>0</v>
      </c>
      <c r="E88" s="27">
        <v>1</v>
      </c>
      <c r="F88" s="27">
        <v>0</v>
      </c>
      <c r="G88" s="27">
        <v>0.5</v>
      </c>
      <c r="H88" s="27">
        <v>0.1</v>
      </c>
      <c r="I88" s="27">
        <v>0.5</v>
      </c>
      <c r="J88" s="16"/>
    </row>
    <row r="89" spans="1:10" x14ac:dyDescent="0.25">
      <c r="C89" s="5" t="s">
        <v>54</v>
      </c>
      <c r="D89" s="27">
        <v>0</v>
      </c>
      <c r="E89" s="27">
        <v>1</v>
      </c>
      <c r="F89" s="27">
        <v>0</v>
      </c>
      <c r="G89" s="27">
        <v>0.5</v>
      </c>
      <c r="H89" s="27">
        <v>0.1</v>
      </c>
      <c r="I89" s="27">
        <v>0.5</v>
      </c>
      <c r="J89" s="16"/>
    </row>
    <row r="90" spans="1:10" x14ac:dyDescent="0.25">
      <c r="C90" s="5" t="s">
        <v>55</v>
      </c>
      <c r="D90" s="27">
        <v>0</v>
      </c>
      <c r="E90" s="27">
        <v>1</v>
      </c>
      <c r="F90" s="27">
        <v>0</v>
      </c>
      <c r="G90" s="27">
        <v>0.1</v>
      </c>
      <c r="H90" s="27">
        <v>0.1</v>
      </c>
      <c r="I90" s="27">
        <v>0.1</v>
      </c>
      <c r="J90" s="16"/>
    </row>
    <row r="91" spans="1:10" ht="30" x14ac:dyDescent="0.25">
      <c r="C91" s="5" t="s">
        <v>56</v>
      </c>
      <c r="D91" s="27">
        <v>0</v>
      </c>
      <c r="E91" s="27">
        <v>1</v>
      </c>
      <c r="F91" s="27">
        <v>0</v>
      </c>
      <c r="G91" s="27">
        <v>0.05</v>
      </c>
      <c r="H91" s="27">
        <v>0.1</v>
      </c>
      <c r="I91" s="27">
        <v>0.05</v>
      </c>
      <c r="J91" s="16"/>
    </row>
    <row r="92" spans="1:10" ht="30" x14ac:dyDescent="0.25">
      <c r="C92" s="5" t="s">
        <v>57</v>
      </c>
      <c r="D92" s="27">
        <v>0</v>
      </c>
      <c r="E92" s="27">
        <v>0.5</v>
      </c>
      <c r="F92" s="27">
        <v>0</v>
      </c>
      <c r="G92" s="27">
        <v>0</v>
      </c>
      <c r="H92" s="27">
        <v>0.1</v>
      </c>
      <c r="I92" s="27">
        <v>0</v>
      </c>
      <c r="J92" s="16"/>
    </row>
    <row r="93" spans="1:10" ht="30" x14ac:dyDescent="0.25">
      <c r="C93" s="5" t="s">
        <v>20</v>
      </c>
      <c r="D93" s="27">
        <v>0</v>
      </c>
      <c r="E93" s="27">
        <v>0.25</v>
      </c>
      <c r="F93" s="27">
        <v>0</v>
      </c>
      <c r="G93" s="27">
        <v>0</v>
      </c>
      <c r="H93" s="27">
        <v>0.1</v>
      </c>
      <c r="I93" s="27">
        <v>0</v>
      </c>
      <c r="J93" s="16"/>
    </row>
    <row r="94" spans="1:10" x14ac:dyDescent="0.25">
      <c r="C94" s="5" t="s">
        <v>42</v>
      </c>
      <c r="D94" s="27">
        <v>0</v>
      </c>
      <c r="E94" s="27">
        <v>0.25</v>
      </c>
      <c r="F94" s="27">
        <v>0</v>
      </c>
      <c r="G94" s="27">
        <v>0</v>
      </c>
      <c r="H94" s="27">
        <v>0.1</v>
      </c>
      <c r="I94" s="27">
        <v>0</v>
      </c>
      <c r="J94" s="16"/>
    </row>
    <row r="96" spans="1:10" x14ac:dyDescent="0.25">
      <c r="A96" s="4">
        <v>11</v>
      </c>
      <c r="B96" s="7" t="s">
        <v>78</v>
      </c>
    </row>
    <row r="97" spans="1:9" ht="45" x14ac:dyDescent="0.25">
      <c r="A97" s="4"/>
      <c r="C97" s="5" t="s">
        <v>18</v>
      </c>
      <c r="D97" s="5" t="s">
        <v>86</v>
      </c>
      <c r="E97" s="5" t="s">
        <v>87</v>
      </c>
      <c r="F97" s="5" t="s">
        <v>62</v>
      </c>
      <c r="G97" s="9" t="s">
        <v>63</v>
      </c>
      <c r="H97" s="5" t="s">
        <v>64</v>
      </c>
      <c r="I97" s="5" t="s">
        <v>105</v>
      </c>
    </row>
    <row r="98" spans="1:9" ht="30" x14ac:dyDescent="0.25">
      <c r="A98" s="11"/>
      <c r="C98" s="5" t="s">
        <v>134</v>
      </c>
      <c r="D98" s="5">
        <v>0</v>
      </c>
      <c r="E98" s="5">
        <v>99</v>
      </c>
      <c r="F98" s="5">
        <v>99</v>
      </c>
      <c r="G98" s="31">
        <v>2</v>
      </c>
      <c r="H98" s="5">
        <v>5</v>
      </c>
      <c r="I98" s="5">
        <v>2</v>
      </c>
    </row>
    <row r="99" spans="1:9" x14ac:dyDescent="0.25">
      <c r="A99" s="4"/>
      <c r="C99" s="5" t="s">
        <v>213</v>
      </c>
      <c r="D99" s="27">
        <v>0</v>
      </c>
      <c r="E99" s="27">
        <v>1</v>
      </c>
      <c r="F99" s="27">
        <v>0</v>
      </c>
      <c r="G99" s="27">
        <v>0.75</v>
      </c>
      <c r="H99" s="27">
        <v>0.75</v>
      </c>
      <c r="I99" s="27">
        <v>0.75</v>
      </c>
    </row>
    <row r="100" spans="1:9" x14ac:dyDescent="0.25">
      <c r="A100" s="4"/>
      <c r="C100" s="5" t="s">
        <v>41</v>
      </c>
      <c r="D100" s="27">
        <v>0</v>
      </c>
      <c r="E100" s="27">
        <v>0.75</v>
      </c>
      <c r="F100" s="27">
        <v>0</v>
      </c>
      <c r="G100" s="27">
        <v>0</v>
      </c>
      <c r="H100" s="27">
        <v>0.5</v>
      </c>
      <c r="I100" s="27">
        <v>0</v>
      </c>
    </row>
    <row r="101" spans="1:9" ht="30" x14ac:dyDescent="0.25">
      <c r="A101" s="4"/>
      <c r="C101" s="5" t="s">
        <v>19</v>
      </c>
      <c r="D101" s="27">
        <v>0</v>
      </c>
      <c r="E101" s="27">
        <v>0.5</v>
      </c>
      <c r="F101" s="27">
        <v>0</v>
      </c>
      <c r="G101" s="27">
        <v>0</v>
      </c>
      <c r="H101" s="27">
        <v>0</v>
      </c>
      <c r="I101" s="27">
        <v>0</v>
      </c>
    </row>
    <row r="102" spans="1:9" ht="30" x14ac:dyDescent="0.25">
      <c r="A102" s="4"/>
      <c r="C102" s="5" t="s">
        <v>20</v>
      </c>
      <c r="D102" s="27">
        <v>0</v>
      </c>
      <c r="E102" s="27">
        <v>0.25</v>
      </c>
      <c r="F102" s="27">
        <v>0</v>
      </c>
      <c r="G102" s="27">
        <v>0</v>
      </c>
      <c r="H102" s="27">
        <v>0</v>
      </c>
      <c r="I102" s="27">
        <v>0</v>
      </c>
    </row>
    <row r="103" spans="1:9" x14ac:dyDescent="0.25">
      <c r="A103" s="4"/>
      <c r="C103" s="5" t="s">
        <v>42</v>
      </c>
      <c r="D103" s="27">
        <v>0</v>
      </c>
      <c r="E103" s="27">
        <v>0.1</v>
      </c>
      <c r="F103" s="27">
        <v>0</v>
      </c>
      <c r="G103" s="27">
        <v>0</v>
      </c>
      <c r="H103" s="27">
        <v>0</v>
      </c>
      <c r="I103" s="27">
        <v>0</v>
      </c>
    </row>
    <row r="105" spans="1:9" x14ac:dyDescent="0.25">
      <c r="A105" s="4">
        <v>12</v>
      </c>
      <c r="B105" s="7" t="s">
        <v>77</v>
      </c>
    </row>
    <row r="106" spans="1:9" ht="75" x14ac:dyDescent="0.25">
      <c r="A106" s="4"/>
      <c r="C106" s="5" t="s">
        <v>18</v>
      </c>
      <c r="D106" s="5" t="s">
        <v>86</v>
      </c>
      <c r="E106" s="5" t="s">
        <v>87</v>
      </c>
      <c r="F106" s="5" t="s">
        <v>65</v>
      </c>
      <c r="G106" s="9" t="s">
        <v>66</v>
      </c>
      <c r="H106" s="5" t="s">
        <v>67</v>
      </c>
      <c r="I106" s="5" t="s">
        <v>105</v>
      </c>
    </row>
    <row r="107" spans="1:9" ht="30" x14ac:dyDescent="0.25">
      <c r="A107" s="11"/>
      <c r="C107" s="5" t="s">
        <v>134</v>
      </c>
      <c r="D107" s="5">
        <v>0</v>
      </c>
      <c r="E107" s="5">
        <v>99</v>
      </c>
      <c r="F107" s="5">
        <v>99</v>
      </c>
      <c r="G107" s="31">
        <v>0</v>
      </c>
      <c r="H107" s="5">
        <v>5</v>
      </c>
      <c r="I107" s="5">
        <v>0</v>
      </c>
    </row>
    <row r="108" spans="1:9" x14ac:dyDescent="0.25">
      <c r="A108" s="4"/>
      <c r="C108" s="5" t="s">
        <v>213</v>
      </c>
      <c r="D108" s="27">
        <v>0</v>
      </c>
      <c r="E108" s="27">
        <v>1</v>
      </c>
      <c r="F108" s="27">
        <v>0.1</v>
      </c>
      <c r="G108" s="27">
        <v>0.5</v>
      </c>
      <c r="H108" s="27">
        <v>0.75</v>
      </c>
      <c r="I108" s="27">
        <v>0.5</v>
      </c>
    </row>
    <row r="109" spans="1:9" x14ac:dyDescent="0.25">
      <c r="A109" s="4"/>
      <c r="C109" s="5" t="s">
        <v>41</v>
      </c>
      <c r="D109" s="27">
        <v>0</v>
      </c>
      <c r="E109" s="27">
        <v>1</v>
      </c>
      <c r="F109" s="27">
        <v>0.1</v>
      </c>
      <c r="G109" s="27">
        <v>0.5</v>
      </c>
      <c r="H109" s="27">
        <v>0.5</v>
      </c>
      <c r="I109" s="27">
        <v>0.5</v>
      </c>
    </row>
    <row r="110" spans="1:9" ht="30" x14ac:dyDescent="0.25">
      <c r="A110" s="4"/>
      <c r="C110" s="5" t="s">
        <v>19</v>
      </c>
      <c r="D110" s="27">
        <v>0</v>
      </c>
      <c r="E110" s="27">
        <v>0.75</v>
      </c>
      <c r="F110" s="27">
        <v>0.1</v>
      </c>
      <c r="G110" s="27">
        <v>0.25</v>
      </c>
      <c r="H110" s="27">
        <v>0.5</v>
      </c>
      <c r="I110" s="27">
        <v>0.25</v>
      </c>
    </row>
    <row r="111" spans="1:9" ht="30" x14ac:dyDescent="0.25">
      <c r="A111" s="4"/>
      <c r="C111" s="5" t="s">
        <v>20</v>
      </c>
      <c r="D111" s="27">
        <v>0</v>
      </c>
      <c r="E111" s="27">
        <v>0.5</v>
      </c>
      <c r="F111" s="27">
        <v>0.1</v>
      </c>
      <c r="G111" s="27">
        <v>0</v>
      </c>
      <c r="H111" s="27">
        <v>0.25</v>
      </c>
      <c r="I111" s="27">
        <v>0</v>
      </c>
    </row>
    <row r="112" spans="1:9" x14ac:dyDescent="0.25">
      <c r="A112" s="4"/>
      <c r="C112" s="5" t="s">
        <v>42</v>
      </c>
      <c r="D112" s="27">
        <v>0</v>
      </c>
      <c r="E112" s="27">
        <v>0.1</v>
      </c>
      <c r="F112" s="27">
        <v>0</v>
      </c>
      <c r="G112" s="27">
        <v>0</v>
      </c>
      <c r="H112" s="27">
        <v>0</v>
      </c>
      <c r="I112" s="27">
        <v>0</v>
      </c>
    </row>
    <row r="114" spans="1:9" x14ac:dyDescent="0.25">
      <c r="A114" s="8">
        <v>13</v>
      </c>
      <c r="B114" s="7" t="s">
        <v>76</v>
      </c>
    </row>
    <row r="115" spans="1:9" ht="105" x14ac:dyDescent="0.25">
      <c r="A115" s="4"/>
      <c r="C115" s="5" t="s">
        <v>71</v>
      </c>
      <c r="D115" s="5" t="s">
        <v>86</v>
      </c>
      <c r="E115" s="5" t="s">
        <v>87</v>
      </c>
      <c r="F115" s="5" t="s">
        <v>68</v>
      </c>
      <c r="G115" s="9" t="s">
        <v>69</v>
      </c>
      <c r="H115" s="5" t="s">
        <v>70</v>
      </c>
      <c r="I115" s="5" t="s">
        <v>105</v>
      </c>
    </row>
    <row r="116" spans="1:9" ht="30" x14ac:dyDescent="0.25">
      <c r="A116" s="11"/>
      <c r="C116" s="5" t="s">
        <v>133</v>
      </c>
      <c r="D116" s="5">
        <v>0</v>
      </c>
      <c r="E116" s="5">
        <v>99</v>
      </c>
      <c r="F116" s="5">
        <v>99</v>
      </c>
      <c r="G116" s="31">
        <v>5</v>
      </c>
      <c r="H116" s="5">
        <v>10</v>
      </c>
      <c r="I116" s="5">
        <v>10</v>
      </c>
    </row>
    <row r="117" spans="1:9" ht="30" x14ac:dyDescent="0.25">
      <c r="A117" s="4"/>
      <c r="C117" s="5" t="s">
        <v>72</v>
      </c>
      <c r="D117" s="27">
        <v>0</v>
      </c>
      <c r="E117" s="27">
        <v>1</v>
      </c>
      <c r="F117" s="27">
        <v>0</v>
      </c>
      <c r="G117" s="27">
        <v>0.6</v>
      </c>
      <c r="H117" s="27">
        <v>0.5</v>
      </c>
      <c r="I117" s="27">
        <v>0.5</v>
      </c>
    </row>
    <row r="118" spans="1:9" ht="30" x14ac:dyDescent="0.25">
      <c r="A118" s="4"/>
      <c r="C118" s="5" t="s">
        <v>160</v>
      </c>
      <c r="D118" s="27">
        <v>0</v>
      </c>
      <c r="E118" s="27">
        <v>1</v>
      </c>
      <c r="F118" s="27">
        <v>0</v>
      </c>
      <c r="G118" s="27">
        <v>0.5</v>
      </c>
      <c r="H118" s="27">
        <v>0.25</v>
      </c>
      <c r="I118" s="27">
        <v>0.25</v>
      </c>
    </row>
    <row r="119" spans="1:9" ht="45" x14ac:dyDescent="0.25">
      <c r="A119" s="4"/>
      <c r="C119" s="5" t="s">
        <v>73</v>
      </c>
      <c r="D119" s="27">
        <v>0</v>
      </c>
      <c r="E119" s="27">
        <v>0.5</v>
      </c>
      <c r="F119" s="27">
        <v>0</v>
      </c>
      <c r="G119" s="27">
        <v>0</v>
      </c>
      <c r="H119" s="27">
        <v>0.1</v>
      </c>
      <c r="I119" s="27">
        <v>0.1</v>
      </c>
    </row>
    <row r="120" spans="1:9" ht="45" x14ac:dyDescent="0.25">
      <c r="A120" s="4"/>
      <c r="C120" s="5" t="s">
        <v>74</v>
      </c>
      <c r="D120" s="27">
        <v>0</v>
      </c>
      <c r="E120" s="27">
        <v>1</v>
      </c>
      <c r="F120" s="27">
        <v>0</v>
      </c>
      <c r="G120" s="27">
        <v>0</v>
      </c>
      <c r="H120" s="27">
        <v>0.25</v>
      </c>
      <c r="I120" s="27">
        <v>0.25</v>
      </c>
    </row>
    <row r="121" spans="1:9" ht="45" x14ac:dyDescent="0.25">
      <c r="A121" s="4"/>
      <c r="C121" s="5" t="s">
        <v>161</v>
      </c>
      <c r="D121" s="27">
        <v>0</v>
      </c>
      <c r="E121" s="27">
        <v>0.8</v>
      </c>
      <c r="F121" s="27">
        <v>0</v>
      </c>
      <c r="G121" s="27">
        <v>0</v>
      </c>
      <c r="H121" s="27">
        <v>0.1</v>
      </c>
      <c r="I121" s="27">
        <v>0.1</v>
      </c>
    </row>
    <row r="122" spans="1:9" ht="45" x14ac:dyDescent="0.25">
      <c r="A122" s="4"/>
      <c r="C122" s="5" t="s">
        <v>75</v>
      </c>
      <c r="D122" s="27">
        <v>0</v>
      </c>
      <c r="E122" s="27">
        <v>0.4</v>
      </c>
      <c r="F122" s="27">
        <v>0</v>
      </c>
      <c r="G122" s="27">
        <v>0</v>
      </c>
      <c r="H122" s="27">
        <v>0.05</v>
      </c>
      <c r="I122" s="27">
        <v>0.05</v>
      </c>
    </row>
    <row r="123" spans="1:9" x14ac:dyDescent="0.25">
      <c r="A123" s="4"/>
      <c r="C123" s="5"/>
      <c r="D123" s="1"/>
      <c r="E123" s="1"/>
      <c r="F123" s="1"/>
      <c r="G123" s="1"/>
      <c r="H123" s="1"/>
    </row>
    <row r="124" spans="1:9" x14ac:dyDescent="0.25">
      <c r="A124" s="4"/>
      <c r="C124" s="5"/>
      <c r="D124" s="1"/>
      <c r="E124" s="1"/>
      <c r="F124" s="1"/>
      <c r="G124" s="1"/>
      <c r="H124" s="1"/>
    </row>
  </sheetData>
  <mergeCells count="3">
    <mergeCell ref="F2:H2"/>
    <mergeCell ref="D2:E2"/>
    <mergeCell ref="D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K57"/>
  <sheetViews>
    <sheetView workbookViewId="0">
      <selection activeCell="L37" sqref="L37"/>
    </sheetView>
  </sheetViews>
  <sheetFormatPr defaultRowHeight="15" x14ac:dyDescent="0.25"/>
  <sheetData>
    <row r="1" spans="1:11" ht="15.75" x14ac:dyDescent="0.25">
      <c r="A1" s="26" t="s">
        <v>126</v>
      </c>
      <c r="H1" s="75"/>
      <c r="I1" s="75"/>
      <c r="J1" s="75"/>
      <c r="K1" s="75"/>
    </row>
    <row r="2" spans="1:11" ht="15.75" x14ac:dyDescent="0.25">
      <c r="A2" s="26"/>
      <c r="H2" s="75"/>
      <c r="I2" s="75"/>
      <c r="J2" s="75"/>
      <c r="K2" s="75"/>
    </row>
    <row r="3" spans="1:11" x14ac:dyDescent="0.25">
      <c r="B3" s="12" t="s">
        <v>212</v>
      </c>
      <c r="C3" s="64">
        <f>(Inputs!$I$5*City!J$23+Inputs!$I$6*City!J$24+Inputs!$I$7*City!J$25+Inputs!$I$8*City!J$26+Inputs!$I$9*City!J$27+Inputs!$I$10*City!J$28)/City!J$29+Inputs!I23</f>
        <v>8.3999999999999986</v>
      </c>
      <c r="D3" s="64">
        <f>(Inputs!$I$5*City!K$23+Inputs!$I$6*City!K$24+Inputs!$I$7*City!K$25+Inputs!$I$8*City!K$26+Inputs!$I$9*City!K$27+Inputs!$I$10*City!K$28)/City!K$29+Inputs!I26</f>
        <v>8.3999999999999986</v>
      </c>
      <c r="H3" s="75"/>
      <c r="I3" s="75"/>
      <c r="J3" s="75"/>
      <c r="K3" s="75"/>
    </row>
    <row r="4" spans="1:11" x14ac:dyDescent="0.25">
      <c r="B4" t="s">
        <v>97</v>
      </c>
      <c r="C4" s="12" t="s">
        <v>128</v>
      </c>
      <c r="D4" s="12" t="s">
        <v>129</v>
      </c>
      <c r="E4" s="12" t="s">
        <v>136</v>
      </c>
      <c r="H4" s="75"/>
      <c r="I4" s="75"/>
      <c r="J4" s="75"/>
      <c r="K4" s="75"/>
    </row>
    <row r="5" spans="1:11" x14ac:dyDescent="0.25">
      <c r="A5">
        <v>1</v>
      </c>
      <c r="B5">
        <f>City!B3</f>
        <v>2018</v>
      </c>
      <c r="C5" s="16">
        <f>MIN(MAX(A5-$C$3,0)*Inputs!$I$24,Inputs!$I$25)</f>
        <v>0</v>
      </c>
      <c r="D5" s="16">
        <f>MIN(MAX(A5-D$3,0)*Inputs!I$27,Inputs!I$28)</f>
        <v>0</v>
      </c>
      <c r="E5" s="13">
        <f>C5*City!B$54+D5*City!B$55</f>
        <v>0</v>
      </c>
      <c r="H5" s="75"/>
      <c r="I5" s="75"/>
      <c r="J5" s="75"/>
      <c r="K5" s="75"/>
    </row>
    <row r="6" spans="1:11" x14ac:dyDescent="0.25">
      <c r="A6">
        <f>A5+1</f>
        <v>2</v>
      </c>
      <c r="B6">
        <f>B5+1</f>
        <v>2019</v>
      </c>
      <c r="C6" s="16">
        <f>MIN(MAX(A6-$C$3,0)*Inputs!$I$24,Inputs!$I$25)</f>
        <v>0</v>
      </c>
      <c r="D6" s="16">
        <f>MIN(MAX(A6-D$3,0)*Inputs!I$27,Inputs!I$28)</f>
        <v>0</v>
      </c>
      <c r="E6" s="13">
        <f>C6*City!B$54+D6*City!B$55</f>
        <v>0</v>
      </c>
      <c r="H6" s="75"/>
      <c r="I6" s="75"/>
      <c r="J6" s="75"/>
      <c r="K6" s="75"/>
    </row>
    <row r="7" spans="1:11" x14ac:dyDescent="0.25">
      <c r="A7">
        <f t="shared" ref="A7:A56" si="0">A6+1</f>
        <v>3</v>
      </c>
      <c r="B7">
        <f t="shared" ref="B7:B56" si="1">B6+1</f>
        <v>2020</v>
      </c>
      <c r="C7" s="16">
        <f>MIN(MAX(A7-$C$3,0)*Inputs!$I$24,Inputs!$I$25)</f>
        <v>0</v>
      </c>
      <c r="D7" s="16">
        <f>MIN(MAX(A7-D$3,0)*Inputs!I$27,Inputs!I$28)</f>
        <v>0</v>
      </c>
      <c r="E7" s="13">
        <f>C7*City!B$54+D7*City!B$55</f>
        <v>0</v>
      </c>
      <c r="H7" s="75"/>
      <c r="I7" s="75"/>
      <c r="J7" s="75"/>
      <c r="K7" s="75"/>
    </row>
    <row r="8" spans="1:11" x14ac:dyDescent="0.25">
      <c r="A8">
        <f t="shared" si="0"/>
        <v>4</v>
      </c>
      <c r="B8">
        <f t="shared" si="1"/>
        <v>2021</v>
      </c>
      <c r="C8" s="16">
        <f>MIN(MAX(A8-$C$3,0)*Inputs!$I$24,Inputs!$I$25)</f>
        <v>0</v>
      </c>
      <c r="D8" s="16">
        <f>MIN(MAX(A8-D$3,0)*Inputs!I$27,Inputs!I$28)</f>
        <v>0</v>
      </c>
      <c r="E8" s="13">
        <f>C8*City!B$54+D8*City!B$55</f>
        <v>0</v>
      </c>
      <c r="H8" s="75"/>
      <c r="I8" s="75"/>
      <c r="J8" s="75"/>
      <c r="K8" s="75"/>
    </row>
    <row r="9" spans="1:11" x14ac:dyDescent="0.25">
      <c r="A9">
        <f t="shared" si="0"/>
        <v>5</v>
      </c>
      <c r="B9">
        <f t="shared" si="1"/>
        <v>2022</v>
      </c>
      <c r="C9" s="16">
        <f>MIN(MAX(A9-$C$3,0)*Inputs!$I$24,Inputs!$I$25)</f>
        <v>0</v>
      </c>
      <c r="D9" s="16">
        <f>MIN(MAX(A9-D$3,0)*Inputs!I$27,Inputs!I$28)</f>
        <v>0</v>
      </c>
      <c r="E9" s="13">
        <f>C9*City!B$54+D9*City!B$55</f>
        <v>0</v>
      </c>
      <c r="H9" s="75"/>
      <c r="I9" s="75"/>
      <c r="J9" s="75"/>
      <c r="K9" s="75"/>
    </row>
    <row r="10" spans="1:11" x14ac:dyDescent="0.25">
      <c r="A10">
        <f t="shared" si="0"/>
        <v>6</v>
      </c>
      <c r="B10">
        <f t="shared" si="1"/>
        <v>2023</v>
      </c>
      <c r="C10" s="16">
        <f>MIN(MAX(A10-$C$3,0)*Inputs!$I$24,Inputs!$I$25)</f>
        <v>0</v>
      </c>
      <c r="D10" s="16">
        <f>MIN(MAX(A10-D$3,0)*Inputs!I$27,Inputs!I$28)</f>
        <v>0</v>
      </c>
      <c r="E10" s="13">
        <f>C10*City!B$54+D10*City!B$55</f>
        <v>0</v>
      </c>
      <c r="H10" s="75"/>
      <c r="I10" s="75"/>
      <c r="J10" s="75"/>
      <c r="K10" s="75"/>
    </row>
    <row r="11" spans="1:11" x14ac:dyDescent="0.25">
      <c r="A11">
        <f t="shared" si="0"/>
        <v>7</v>
      </c>
      <c r="B11">
        <f t="shared" si="1"/>
        <v>2024</v>
      </c>
      <c r="C11" s="16">
        <f>MIN(MAX(A11-$C$3,0)*Inputs!$I$24,Inputs!$I$25)</f>
        <v>0</v>
      </c>
      <c r="D11" s="16">
        <f>MIN(MAX(A11-D$3,0)*Inputs!I$27,Inputs!I$28)</f>
        <v>0</v>
      </c>
      <c r="E11" s="13">
        <f>C11*City!B$54+D11*City!B$55</f>
        <v>0</v>
      </c>
    </row>
    <row r="12" spans="1:11" x14ac:dyDescent="0.25">
      <c r="A12">
        <f t="shared" si="0"/>
        <v>8</v>
      </c>
      <c r="B12">
        <f t="shared" si="1"/>
        <v>2025</v>
      </c>
      <c r="C12" s="16">
        <f>MIN(MAX(A12-$C$3,0)*Inputs!$I$24,Inputs!$I$25)</f>
        <v>0</v>
      </c>
      <c r="D12" s="16">
        <f>MIN(MAX(A12-D$3,0)*Inputs!I$27,Inputs!I$28)</f>
        <v>0</v>
      </c>
      <c r="E12" s="13">
        <f>C12*City!B$54+D12*City!B$55</f>
        <v>0</v>
      </c>
    </row>
    <row r="13" spans="1:11" x14ac:dyDescent="0.25">
      <c r="A13">
        <f t="shared" si="0"/>
        <v>9</v>
      </c>
      <c r="B13">
        <f t="shared" si="1"/>
        <v>2026</v>
      </c>
      <c r="C13" s="16">
        <f>MIN(MAX(A13-$C$3,0)*Inputs!$I$24,Inputs!$I$25)</f>
        <v>3.0000000000000072E-2</v>
      </c>
      <c r="D13" s="16">
        <f>MIN(MAX(A13-D$3,0)*Inputs!I$27,Inputs!I$28)</f>
        <v>0</v>
      </c>
      <c r="E13" s="13">
        <f>C13*City!B$54+D13*City!B$55</f>
        <v>1.3928571428571462E-2</v>
      </c>
    </row>
    <row r="14" spans="1:11" x14ac:dyDescent="0.25">
      <c r="A14">
        <f t="shared" si="0"/>
        <v>10</v>
      </c>
      <c r="B14">
        <f t="shared" si="1"/>
        <v>2027</v>
      </c>
      <c r="C14" s="16">
        <f>MIN(MAX(A14-$C$3,0)*Inputs!$I$24,Inputs!$I$25)</f>
        <v>8.0000000000000071E-2</v>
      </c>
      <c r="D14" s="16">
        <f>MIN(MAX(A14-D$3,0)*Inputs!I$27,Inputs!I$28)</f>
        <v>0</v>
      </c>
      <c r="E14" s="13">
        <f>C14*City!B$54+D14*City!B$55</f>
        <v>3.7142857142857179E-2</v>
      </c>
    </row>
    <row r="15" spans="1:11" x14ac:dyDescent="0.25">
      <c r="A15">
        <f t="shared" si="0"/>
        <v>11</v>
      </c>
      <c r="B15">
        <f t="shared" si="1"/>
        <v>2028</v>
      </c>
      <c r="C15" s="16">
        <f>MIN(MAX(A15-$C$3,0)*Inputs!$I$24,Inputs!$I$25)</f>
        <v>0.13000000000000009</v>
      </c>
      <c r="D15" s="16">
        <f>MIN(MAX(A15-D$3,0)*Inputs!I$27,Inputs!I$28)</f>
        <v>0</v>
      </c>
      <c r="E15" s="13">
        <f>C15*City!B$54+D15*City!B$55</f>
        <v>6.0357142857142901E-2</v>
      </c>
    </row>
    <row r="16" spans="1:11" x14ac:dyDescent="0.25">
      <c r="A16">
        <f t="shared" si="0"/>
        <v>12</v>
      </c>
      <c r="B16">
        <f t="shared" si="1"/>
        <v>2029</v>
      </c>
      <c r="C16" s="16">
        <f>MIN(MAX(A16-$C$3,0)*Inputs!$I$24,Inputs!$I$25)</f>
        <v>0.18000000000000008</v>
      </c>
      <c r="D16" s="16">
        <f>MIN(MAX(A16-D$3,0)*Inputs!I$27,Inputs!I$28)</f>
        <v>0</v>
      </c>
      <c r="E16" s="13">
        <f>C16*City!B$54+D16*City!B$55</f>
        <v>8.3571428571428616E-2</v>
      </c>
    </row>
    <row r="17" spans="1:8" x14ac:dyDescent="0.25">
      <c r="A17">
        <f t="shared" si="0"/>
        <v>13</v>
      </c>
      <c r="B17">
        <f t="shared" si="1"/>
        <v>2030</v>
      </c>
      <c r="C17" s="16">
        <f>MIN(MAX(A17-$C$3,0)*Inputs!$I$24,Inputs!$I$25)</f>
        <v>0.23000000000000009</v>
      </c>
      <c r="D17" s="16">
        <f>MIN(MAX(A17-D$3,0)*Inputs!I$27,Inputs!I$28)</f>
        <v>0</v>
      </c>
      <c r="E17" s="13">
        <f>C17*City!B$54+D17*City!B$55</f>
        <v>0.10678571428571433</v>
      </c>
    </row>
    <row r="18" spans="1:8" x14ac:dyDescent="0.25">
      <c r="A18">
        <f t="shared" si="0"/>
        <v>14</v>
      </c>
      <c r="B18">
        <f t="shared" si="1"/>
        <v>2031</v>
      </c>
      <c r="C18" s="16">
        <f>MIN(MAX(A18-$C$3,0)*Inputs!$I$24,Inputs!$I$25)</f>
        <v>0.25</v>
      </c>
      <c r="D18" s="16">
        <f>MIN(MAX(A18-D$3,0)*Inputs!I$27,Inputs!I$28)</f>
        <v>0</v>
      </c>
      <c r="E18" s="13">
        <f>C18*City!B$54+D18*City!B$55</f>
        <v>0.11607142857142858</v>
      </c>
    </row>
    <row r="19" spans="1:8" x14ac:dyDescent="0.25">
      <c r="A19">
        <f t="shared" si="0"/>
        <v>15</v>
      </c>
      <c r="B19">
        <f t="shared" si="1"/>
        <v>2032</v>
      </c>
      <c r="C19" s="16">
        <f>MIN(MAX(A19-$C$3,0)*Inputs!$I$24,Inputs!$I$25)</f>
        <v>0.25</v>
      </c>
      <c r="D19" s="16">
        <f>MIN(MAX(A19-D$3,0)*Inputs!I$27,Inputs!I$28)</f>
        <v>0</v>
      </c>
      <c r="E19" s="13">
        <f>C19*City!B$54+D19*City!B$55</f>
        <v>0.11607142857142858</v>
      </c>
    </row>
    <row r="20" spans="1:8" x14ac:dyDescent="0.25">
      <c r="A20">
        <f t="shared" si="0"/>
        <v>16</v>
      </c>
      <c r="B20">
        <f t="shared" si="1"/>
        <v>2033</v>
      </c>
      <c r="C20" s="16">
        <f>MIN(MAX(A20-$C$3,0)*Inputs!$I$24,Inputs!$I$25)</f>
        <v>0.25</v>
      </c>
      <c r="D20" s="16">
        <f>MIN(MAX(A20-D$3,0)*Inputs!I$27,Inputs!I$28)</f>
        <v>0</v>
      </c>
      <c r="E20" s="13">
        <f>C20*City!B$54+D20*City!B$55</f>
        <v>0.11607142857142858</v>
      </c>
    </row>
    <row r="21" spans="1:8" x14ac:dyDescent="0.25">
      <c r="A21">
        <f t="shared" si="0"/>
        <v>17</v>
      </c>
      <c r="B21">
        <f t="shared" si="1"/>
        <v>2034</v>
      </c>
      <c r="C21" s="16">
        <f>MIN(MAX(A21-$C$3,0)*Inputs!$I$24,Inputs!$I$25)</f>
        <v>0.25</v>
      </c>
      <c r="D21" s="16">
        <f>MIN(MAX(A21-D$3,0)*Inputs!I$27,Inputs!I$28)</f>
        <v>0</v>
      </c>
      <c r="E21" s="13">
        <f>C21*City!B$54+D21*City!B$55</f>
        <v>0.11607142857142858</v>
      </c>
    </row>
    <row r="22" spans="1:8" x14ac:dyDescent="0.25">
      <c r="A22">
        <f t="shared" si="0"/>
        <v>18</v>
      </c>
      <c r="B22">
        <f t="shared" si="1"/>
        <v>2035</v>
      </c>
      <c r="C22" s="16">
        <f>MIN(MAX(A22-$C$3,0)*Inputs!$I$24,Inputs!$I$25)</f>
        <v>0.25</v>
      </c>
      <c r="D22" s="16">
        <f>MIN(MAX(A22-D$3,0)*Inputs!I$27,Inputs!I$28)</f>
        <v>0</v>
      </c>
      <c r="E22" s="13">
        <f>C22*City!B$54+D22*City!B$55</f>
        <v>0.11607142857142858</v>
      </c>
    </row>
    <row r="23" spans="1:8" x14ac:dyDescent="0.25">
      <c r="A23">
        <f t="shared" si="0"/>
        <v>19</v>
      </c>
      <c r="B23">
        <f t="shared" si="1"/>
        <v>2036</v>
      </c>
      <c r="C23" s="16">
        <f>MIN(MAX(A23-$C$3,0)*Inputs!$I$24,Inputs!$I$25)</f>
        <v>0.25</v>
      </c>
      <c r="D23" s="16">
        <f>MIN(MAX(A23-D$3,0)*Inputs!I$27,Inputs!I$28)</f>
        <v>0</v>
      </c>
      <c r="E23" s="13">
        <f>C23*City!B$54+D23*City!B$55</f>
        <v>0.11607142857142858</v>
      </c>
    </row>
    <row r="24" spans="1:8" x14ac:dyDescent="0.25">
      <c r="A24">
        <f t="shared" si="0"/>
        <v>20</v>
      </c>
      <c r="B24">
        <f t="shared" si="1"/>
        <v>2037</v>
      </c>
      <c r="C24" s="16">
        <f>MIN(MAX(A24-$C$3,0)*Inputs!$I$24,Inputs!$I$25)</f>
        <v>0.25</v>
      </c>
      <c r="D24" s="16">
        <f>MIN(MAX(A24-D$3,0)*Inputs!I$27,Inputs!I$28)</f>
        <v>0</v>
      </c>
      <c r="E24" s="13">
        <f>C24*City!B$54+D24*City!B$55</f>
        <v>0.11607142857142858</v>
      </c>
    </row>
    <row r="25" spans="1:8" x14ac:dyDescent="0.25">
      <c r="A25">
        <f t="shared" si="0"/>
        <v>21</v>
      </c>
      <c r="B25">
        <f t="shared" si="1"/>
        <v>2038</v>
      </c>
      <c r="C25" s="16">
        <f>MIN(MAX(A25-$C$3,0)*Inputs!$I$24,Inputs!$I$25)</f>
        <v>0.25</v>
      </c>
      <c r="D25" s="16">
        <f>MIN(MAX(A25-D$3,0)*Inputs!I$27,Inputs!I$28)</f>
        <v>0</v>
      </c>
      <c r="E25" s="13">
        <f>C25*City!B$54+D25*City!B$55</f>
        <v>0.11607142857142858</v>
      </c>
    </row>
    <row r="26" spans="1:8" x14ac:dyDescent="0.25">
      <c r="A26">
        <f t="shared" si="0"/>
        <v>22</v>
      </c>
      <c r="B26">
        <f t="shared" si="1"/>
        <v>2039</v>
      </c>
      <c r="C26" s="16">
        <f>MIN(MAX(A26-$C$3,0)*Inputs!$I$24,Inputs!$I$25)</f>
        <v>0.25</v>
      </c>
      <c r="D26" s="16">
        <f>MIN(MAX(A26-D$3,0)*Inputs!I$27,Inputs!I$28)</f>
        <v>0</v>
      </c>
      <c r="E26" s="13">
        <f>C26*City!B$54+D26*City!B$55</f>
        <v>0.11607142857142858</v>
      </c>
    </row>
    <row r="27" spans="1:8" x14ac:dyDescent="0.25">
      <c r="A27">
        <f t="shared" si="0"/>
        <v>23</v>
      </c>
      <c r="B27">
        <f t="shared" si="1"/>
        <v>2040</v>
      </c>
      <c r="C27" s="16">
        <f>MIN(MAX(A27-$C$3,0)*Inputs!$I$24,Inputs!$I$25)</f>
        <v>0.25</v>
      </c>
      <c r="D27" s="16">
        <f>MIN(MAX(A27-D$3,0)*Inputs!I$27,Inputs!I$28)</f>
        <v>0</v>
      </c>
      <c r="E27" s="13">
        <f>C27*City!B$54+D27*City!B$55</f>
        <v>0.11607142857142858</v>
      </c>
    </row>
    <row r="28" spans="1:8" x14ac:dyDescent="0.25">
      <c r="A28">
        <f t="shared" si="0"/>
        <v>24</v>
      </c>
      <c r="B28">
        <f t="shared" si="1"/>
        <v>2041</v>
      </c>
      <c r="C28" s="16">
        <f>MIN(MAX(A28-$C$3,0)*Inputs!$I$24,Inputs!$I$25)</f>
        <v>0.25</v>
      </c>
      <c r="D28" s="16">
        <f>MIN(MAX(A28-D$3,0)*Inputs!I$27,Inputs!I$28)</f>
        <v>0</v>
      </c>
      <c r="E28" s="13">
        <f>C28*City!B$54+D28*City!B$55</f>
        <v>0.11607142857142858</v>
      </c>
      <c r="H28" s="171" t="s">
        <v>368</v>
      </c>
    </row>
    <row r="29" spans="1:8" x14ac:dyDescent="0.25">
      <c r="A29">
        <f t="shared" si="0"/>
        <v>25</v>
      </c>
      <c r="B29">
        <f t="shared" si="1"/>
        <v>2042</v>
      </c>
      <c r="C29" s="16">
        <f>MIN(MAX(A29-$C$3,0)*Inputs!$I$24,Inputs!$I$25)</f>
        <v>0.25</v>
      </c>
      <c r="D29" s="16">
        <f>MIN(MAX(A29-D$3,0)*Inputs!I$27,Inputs!I$28)</f>
        <v>0</v>
      </c>
      <c r="E29" s="13">
        <f>C29*City!B$54+D29*City!B$55</f>
        <v>0.11607142857142858</v>
      </c>
    </row>
    <row r="30" spans="1:8" x14ac:dyDescent="0.25">
      <c r="A30">
        <f t="shared" si="0"/>
        <v>26</v>
      </c>
      <c r="B30">
        <f t="shared" si="1"/>
        <v>2043</v>
      </c>
      <c r="C30" s="16">
        <f>MIN(MAX(A30-$C$3,0)*Inputs!$I$24,Inputs!$I$25)</f>
        <v>0.25</v>
      </c>
      <c r="D30" s="16">
        <f>MIN(MAX(A30-D$3,0)*Inputs!I$27,Inputs!I$28)</f>
        <v>0</v>
      </c>
      <c r="E30" s="13">
        <f>C30*City!B$54+D30*City!B$55</f>
        <v>0.11607142857142858</v>
      </c>
    </row>
    <row r="31" spans="1:8" x14ac:dyDescent="0.25">
      <c r="A31">
        <f t="shared" si="0"/>
        <v>27</v>
      </c>
      <c r="B31">
        <f t="shared" si="1"/>
        <v>2044</v>
      </c>
      <c r="C31" s="16">
        <f>MIN(MAX(A31-$C$3,0)*Inputs!$I$24,Inputs!$I$25)</f>
        <v>0.25</v>
      </c>
      <c r="D31" s="16">
        <f>MIN(MAX(A31-D$3,0)*Inputs!I$27,Inputs!I$28)</f>
        <v>0</v>
      </c>
      <c r="E31" s="13">
        <f>C31*City!B$54+D31*City!B$55</f>
        <v>0.11607142857142858</v>
      </c>
    </row>
    <row r="32" spans="1:8" x14ac:dyDescent="0.25">
      <c r="A32">
        <f t="shared" si="0"/>
        <v>28</v>
      </c>
      <c r="B32">
        <f t="shared" si="1"/>
        <v>2045</v>
      </c>
      <c r="C32" s="16">
        <f>MIN(MAX(A32-$C$3,0)*Inputs!$I$24,Inputs!$I$25)</f>
        <v>0.25</v>
      </c>
      <c r="D32" s="16">
        <f>MIN(MAX(A32-D$3,0)*Inputs!I$27,Inputs!I$28)</f>
        <v>0</v>
      </c>
      <c r="E32" s="13">
        <f>C32*City!B$54+D32*City!B$55</f>
        <v>0.11607142857142858</v>
      </c>
    </row>
    <row r="33" spans="1:5" x14ac:dyDescent="0.25">
      <c r="A33">
        <f t="shared" si="0"/>
        <v>29</v>
      </c>
      <c r="B33">
        <f t="shared" si="1"/>
        <v>2046</v>
      </c>
      <c r="C33" s="16">
        <f>MIN(MAX(A33-$C$3,0)*Inputs!$I$24,Inputs!$I$25)</f>
        <v>0.25</v>
      </c>
      <c r="D33" s="16">
        <f>MIN(MAX(A33-D$3,0)*Inputs!I$27,Inputs!I$28)</f>
        <v>0</v>
      </c>
      <c r="E33" s="13">
        <f>C33*City!B$54+D33*City!B$55</f>
        <v>0.11607142857142858</v>
      </c>
    </row>
    <row r="34" spans="1:5" x14ac:dyDescent="0.25">
      <c r="A34">
        <f t="shared" si="0"/>
        <v>30</v>
      </c>
      <c r="B34">
        <f t="shared" si="1"/>
        <v>2047</v>
      </c>
      <c r="C34" s="16">
        <f>MIN(MAX(A34-$C$3,0)*Inputs!$I$24,Inputs!$I$25)</f>
        <v>0.25</v>
      </c>
      <c r="D34" s="16">
        <f>MIN(MAX(A34-D$3,0)*Inputs!I$27,Inputs!I$28)</f>
        <v>0</v>
      </c>
      <c r="E34" s="13">
        <f>C34*City!B$54+D34*City!B$55</f>
        <v>0.11607142857142858</v>
      </c>
    </row>
    <row r="35" spans="1:5" x14ac:dyDescent="0.25">
      <c r="A35">
        <f t="shared" si="0"/>
        <v>31</v>
      </c>
      <c r="B35">
        <f t="shared" si="1"/>
        <v>2048</v>
      </c>
      <c r="C35" s="16">
        <f>MIN(MAX(A35-$C$3,0)*Inputs!$I$24,Inputs!$I$25)</f>
        <v>0.25</v>
      </c>
      <c r="D35" s="16">
        <f>MIN(MAX(A35-D$3,0)*Inputs!I$27,Inputs!I$28)</f>
        <v>0</v>
      </c>
      <c r="E35" s="13">
        <f>C35*City!B$54+D35*City!B$55</f>
        <v>0.11607142857142858</v>
      </c>
    </row>
    <row r="36" spans="1:5" x14ac:dyDescent="0.25">
      <c r="A36">
        <f t="shared" si="0"/>
        <v>32</v>
      </c>
      <c r="B36">
        <f t="shared" si="1"/>
        <v>2049</v>
      </c>
      <c r="C36" s="16">
        <f>MIN(MAX(A36-$C$3,0)*Inputs!$I$24,Inputs!$I$25)</f>
        <v>0.25</v>
      </c>
      <c r="D36" s="16">
        <f>MIN(MAX(A36-D$3,0)*Inputs!I$27,Inputs!I$28)</f>
        <v>0</v>
      </c>
      <c r="E36" s="13">
        <f>C36*City!B$54+D36*City!B$55</f>
        <v>0.11607142857142858</v>
      </c>
    </row>
    <row r="37" spans="1:5" x14ac:dyDescent="0.25">
      <c r="A37">
        <f t="shared" si="0"/>
        <v>33</v>
      </c>
      <c r="B37">
        <f t="shared" si="1"/>
        <v>2050</v>
      </c>
      <c r="C37" s="16">
        <f>MIN(MAX(A37-$C$3,0)*Inputs!$I$24,Inputs!$I$25)</f>
        <v>0.25</v>
      </c>
      <c r="D37" s="16">
        <f>MIN(MAX(A37-D$3,0)*Inputs!I$27,Inputs!I$28)</f>
        <v>0</v>
      </c>
      <c r="E37" s="13">
        <f>C37*City!B$54+D37*City!B$55</f>
        <v>0.11607142857142858</v>
      </c>
    </row>
    <row r="38" spans="1:5" x14ac:dyDescent="0.25">
      <c r="A38">
        <f t="shared" si="0"/>
        <v>34</v>
      </c>
      <c r="B38">
        <f t="shared" si="1"/>
        <v>2051</v>
      </c>
      <c r="C38" s="16">
        <f>MIN(MAX(A38-$C$3,0)*Inputs!$I$24,Inputs!$I$25)</f>
        <v>0.25</v>
      </c>
      <c r="D38" s="16">
        <f>MIN(MAX(A38-D$3,0)*Inputs!I$27,Inputs!I$28)</f>
        <v>0</v>
      </c>
      <c r="E38" s="13">
        <f>C38*City!B$54+D38*City!B$55</f>
        <v>0.11607142857142858</v>
      </c>
    </row>
    <row r="39" spans="1:5" x14ac:dyDescent="0.25">
      <c r="A39">
        <f t="shared" si="0"/>
        <v>35</v>
      </c>
      <c r="B39">
        <f t="shared" si="1"/>
        <v>2052</v>
      </c>
      <c r="C39" s="16">
        <f>MIN(MAX(A39-$C$3,0)*Inputs!$I$24,Inputs!$I$25)</f>
        <v>0.25</v>
      </c>
      <c r="D39" s="16">
        <f>MIN(MAX(A39-D$3,0)*Inputs!I$27,Inputs!I$28)</f>
        <v>0</v>
      </c>
      <c r="E39" s="13">
        <f>C39*City!B$54+D39*City!B$55</f>
        <v>0.11607142857142858</v>
      </c>
    </row>
    <row r="40" spans="1:5" x14ac:dyDescent="0.25">
      <c r="A40">
        <f t="shared" si="0"/>
        <v>36</v>
      </c>
      <c r="B40">
        <f t="shared" si="1"/>
        <v>2053</v>
      </c>
      <c r="C40" s="16">
        <f>MIN(MAX(A40-$C$3,0)*Inputs!$I$24,Inputs!$I$25)</f>
        <v>0.25</v>
      </c>
      <c r="D40" s="16">
        <f>MIN(MAX(A40-D$3,0)*Inputs!I$27,Inputs!I$28)</f>
        <v>0</v>
      </c>
      <c r="E40" s="13">
        <f>C40*City!B$54+D40*City!B$55</f>
        <v>0.11607142857142858</v>
      </c>
    </row>
    <row r="41" spans="1:5" x14ac:dyDescent="0.25">
      <c r="A41">
        <f t="shared" si="0"/>
        <v>37</v>
      </c>
      <c r="B41">
        <f t="shared" si="1"/>
        <v>2054</v>
      </c>
      <c r="C41" s="16">
        <f>MIN(MAX(A41-$C$3,0)*Inputs!$I$24,Inputs!$I$25)</f>
        <v>0.25</v>
      </c>
      <c r="D41" s="16">
        <f>MIN(MAX(A41-D$3,0)*Inputs!I$27,Inputs!I$28)</f>
        <v>0</v>
      </c>
      <c r="E41" s="13">
        <f>C41*City!B$54+D41*City!B$55</f>
        <v>0.11607142857142858</v>
      </c>
    </row>
    <row r="42" spans="1:5" x14ac:dyDescent="0.25">
      <c r="A42">
        <f t="shared" si="0"/>
        <v>38</v>
      </c>
      <c r="B42">
        <f t="shared" si="1"/>
        <v>2055</v>
      </c>
      <c r="C42" s="16">
        <f>MIN(MAX(A42-$C$3,0)*Inputs!$I$24,Inputs!$I$25)</f>
        <v>0.25</v>
      </c>
      <c r="D42" s="16">
        <f>MIN(MAX(A42-D$3,0)*Inputs!I$27,Inputs!I$28)</f>
        <v>0</v>
      </c>
      <c r="E42" s="13">
        <f>C42*City!B$54+D42*City!B$55</f>
        <v>0.11607142857142858</v>
      </c>
    </row>
    <row r="43" spans="1:5" x14ac:dyDescent="0.25">
      <c r="A43">
        <f t="shared" si="0"/>
        <v>39</v>
      </c>
      <c r="B43">
        <f t="shared" si="1"/>
        <v>2056</v>
      </c>
      <c r="C43" s="16">
        <f>MIN(MAX(A43-$C$3,0)*Inputs!$I$24,Inputs!$I$25)</f>
        <v>0.25</v>
      </c>
      <c r="D43" s="16">
        <f>MIN(MAX(A43-D$3,0)*Inputs!I$27,Inputs!I$28)</f>
        <v>0</v>
      </c>
      <c r="E43" s="13">
        <f>C43*City!B$54+D43*City!B$55</f>
        <v>0.11607142857142858</v>
      </c>
    </row>
    <row r="44" spans="1:5" x14ac:dyDescent="0.25">
      <c r="A44">
        <f t="shared" si="0"/>
        <v>40</v>
      </c>
      <c r="B44">
        <f t="shared" si="1"/>
        <v>2057</v>
      </c>
      <c r="C44" s="16">
        <f>MIN(MAX(A44-$C$3,0)*Inputs!$I$24,Inputs!$I$25)</f>
        <v>0.25</v>
      </c>
      <c r="D44" s="16">
        <f>MIN(MAX(A44-D$3,0)*Inputs!I$27,Inputs!I$28)</f>
        <v>0</v>
      </c>
      <c r="E44" s="13">
        <f>C44*City!B$54+D44*City!B$55</f>
        <v>0.11607142857142858</v>
      </c>
    </row>
    <row r="45" spans="1:5" x14ac:dyDescent="0.25">
      <c r="A45">
        <f t="shared" si="0"/>
        <v>41</v>
      </c>
      <c r="B45">
        <f t="shared" si="1"/>
        <v>2058</v>
      </c>
      <c r="C45" s="16">
        <f>MIN(MAX(A45-$C$3,0)*Inputs!$I$24,Inputs!$I$25)</f>
        <v>0.25</v>
      </c>
      <c r="D45" s="16">
        <f>MIN(MAX(A45-D$3,0)*Inputs!I$27,Inputs!I$28)</f>
        <v>0</v>
      </c>
      <c r="E45" s="13">
        <f>C45*City!B$54+D45*City!B$55</f>
        <v>0.11607142857142858</v>
      </c>
    </row>
    <row r="46" spans="1:5" x14ac:dyDescent="0.25">
      <c r="A46">
        <f t="shared" si="0"/>
        <v>42</v>
      </c>
      <c r="B46">
        <f t="shared" si="1"/>
        <v>2059</v>
      </c>
      <c r="C46" s="16">
        <f>MIN(MAX(A46-$C$3,0)*Inputs!$I$24,Inputs!$I$25)</f>
        <v>0.25</v>
      </c>
      <c r="D46" s="16">
        <f>MIN(MAX(A46-D$3,0)*Inputs!I$27,Inputs!I$28)</f>
        <v>0</v>
      </c>
      <c r="E46" s="13">
        <f>C46*City!B$54+D46*City!B$55</f>
        <v>0.11607142857142858</v>
      </c>
    </row>
    <row r="47" spans="1:5" x14ac:dyDescent="0.25">
      <c r="A47">
        <f t="shared" si="0"/>
        <v>43</v>
      </c>
      <c r="B47">
        <f t="shared" si="1"/>
        <v>2060</v>
      </c>
      <c r="C47" s="16">
        <f>MIN(MAX(A47-$C$3,0)*Inputs!$I$24,Inputs!$I$25)</f>
        <v>0.25</v>
      </c>
      <c r="D47" s="16">
        <f>MIN(MAX(A47-D$3,0)*Inputs!I$27,Inputs!I$28)</f>
        <v>0</v>
      </c>
      <c r="E47" s="13">
        <f>C47*City!B$54+D47*City!B$55</f>
        <v>0.11607142857142858</v>
      </c>
    </row>
    <row r="48" spans="1:5" x14ac:dyDescent="0.25">
      <c r="A48">
        <f t="shared" si="0"/>
        <v>44</v>
      </c>
      <c r="B48">
        <f t="shared" si="1"/>
        <v>2061</v>
      </c>
      <c r="C48" s="16">
        <f>MIN(MAX(A48-$C$3,0)*Inputs!$I$24,Inputs!$I$25)</f>
        <v>0.25</v>
      </c>
      <c r="D48" s="16">
        <f>MIN(MAX(A48-D$3,0)*Inputs!I$27,Inputs!I$28)</f>
        <v>0</v>
      </c>
      <c r="E48" s="13">
        <f>C48*City!B$54+D48*City!B$55</f>
        <v>0.11607142857142858</v>
      </c>
    </row>
    <row r="49" spans="1:5" x14ac:dyDescent="0.25">
      <c r="A49">
        <f t="shared" si="0"/>
        <v>45</v>
      </c>
      <c r="B49">
        <f t="shared" si="1"/>
        <v>2062</v>
      </c>
      <c r="C49" s="16">
        <f>MIN(MAX(A49-$C$3,0)*Inputs!$I$24,Inputs!$I$25)</f>
        <v>0.25</v>
      </c>
      <c r="D49" s="16">
        <f>MIN(MAX(A49-D$3,0)*Inputs!I$27,Inputs!I$28)</f>
        <v>0</v>
      </c>
      <c r="E49" s="13">
        <f>C49*City!B$54+D49*City!B$55</f>
        <v>0.11607142857142858</v>
      </c>
    </row>
    <row r="50" spans="1:5" x14ac:dyDescent="0.25">
      <c r="A50">
        <f t="shared" si="0"/>
        <v>46</v>
      </c>
      <c r="B50">
        <f t="shared" si="1"/>
        <v>2063</v>
      </c>
      <c r="C50" s="16">
        <f>MIN(MAX(A50-$C$3,0)*Inputs!$I$24,Inputs!$I$25)</f>
        <v>0.25</v>
      </c>
      <c r="D50" s="16">
        <f>MIN(MAX(A50-D$3,0)*Inputs!I$27,Inputs!I$28)</f>
        <v>0</v>
      </c>
      <c r="E50" s="13">
        <f>C50*City!B$54+D50*City!B$55</f>
        <v>0.11607142857142858</v>
      </c>
    </row>
    <row r="51" spans="1:5" x14ac:dyDescent="0.25">
      <c r="A51">
        <f t="shared" si="0"/>
        <v>47</v>
      </c>
      <c r="B51">
        <f t="shared" si="1"/>
        <v>2064</v>
      </c>
      <c r="C51" s="16">
        <f>MIN(MAX(A51-$C$3,0)*Inputs!$I$24,Inputs!$I$25)</f>
        <v>0.25</v>
      </c>
      <c r="D51" s="16">
        <f>MIN(MAX(A51-D$3,0)*Inputs!I$27,Inputs!I$28)</f>
        <v>0</v>
      </c>
      <c r="E51" s="13">
        <f>C51*City!B$54+D51*City!B$55</f>
        <v>0.11607142857142858</v>
      </c>
    </row>
    <row r="52" spans="1:5" x14ac:dyDescent="0.25">
      <c r="A52">
        <f t="shared" si="0"/>
        <v>48</v>
      </c>
      <c r="B52">
        <f t="shared" si="1"/>
        <v>2065</v>
      </c>
      <c r="C52" s="16">
        <f>MIN(MAX(A52-$C$3,0)*Inputs!$I$24,Inputs!$I$25)</f>
        <v>0.25</v>
      </c>
      <c r="D52" s="16">
        <f>MIN(MAX(A52-D$3,0)*Inputs!I$27,Inputs!I$28)</f>
        <v>0</v>
      </c>
      <c r="E52" s="13">
        <f>C52*City!B$54+D52*City!B$55</f>
        <v>0.11607142857142858</v>
      </c>
    </row>
    <row r="53" spans="1:5" x14ac:dyDescent="0.25">
      <c r="A53">
        <f t="shared" si="0"/>
        <v>49</v>
      </c>
      <c r="B53">
        <f t="shared" si="1"/>
        <v>2066</v>
      </c>
      <c r="C53" s="16">
        <f>MIN(MAX(A53-$C$3,0)*Inputs!$I$24,Inputs!$I$25)</f>
        <v>0.25</v>
      </c>
      <c r="D53" s="16">
        <f>MIN(MAX(A53-D$3,0)*Inputs!I$27,Inputs!I$28)</f>
        <v>0</v>
      </c>
      <c r="E53" s="13">
        <f>C53*City!B$54+D53*City!B$55</f>
        <v>0.11607142857142858</v>
      </c>
    </row>
    <row r="54" spans="1:5" x14ac:dyDescent="0.25">
      <c r="A54">
        <f t="shared" si="0"/>
        <v>50</v>
      </c>
      <c r="B54">
        <f t="shared" si="1"/>
        <v>2067</v>
      </c>
      <c r="C54" s="16">
        <f>MIN(MAX(A54-$C$3,0)*Inputs!$I$24,Inputs!$I$25)</f>
        <v>0.25</v>
      </c>
      <c r="D54" s="16">
        <f>MIN(MAX(A54-D$3,0)*Inputs!I$27,Inputs!I$28)</f>
        <v>0</v>
      </c>
      <c r="E54" s="13">
        <f>C54*City!B$54+D54*City!B$55</f>
        <v>0.11607142857142858</v>
      </c>
    </row>
    <row r="55" spans="1:5" x14ac:dyDescent="0.25">
      <c r="A55">
        <f t="shared" si="0"/>
        <v>51</v>
      </c>
      <c r="B55">
        <f t="shared" si="1"/>
        <v>2068</v>
      </c>
      <c r="C55" s="16">
        <f>MIN(MAX(A55-$C$3,0)*Inputs!$I$24,Inputs!$I$25)</f>
        <v>0.25</v>
      </c>
      <c r="D55" s="16">
        <f>MIN(MAX(A55-D$3,0)*Inputs!I$27,Inputs!I$28)</f>
        <v>0</v>
      </c>
      <c r="E55" s="13">
        <f>C55*City!B$54+D55*City!B$55</f>
        <v>0.11607142857142858</v>
      </c>
    </row>
    <row r="56" spans="1:5" x14ac:dyDescent="0.25">
      <c r="A56">
        <f t="shared" si="0"/>
        <v>52</v>
      </c>
      <c r="B56">
        <f t="shared" si="1"/>
        <v>2069</v>
      </c>
      <c r="C56" s="16">
        <f>MIN(MAX(A56-$C$3,0)*Inputs!$I$24,Inputs!$I$25)</f>
        <v>0.25</v>
      </c>
      <c r="D56" s="16">
        <f>MIN(MAX(A56-D$3,0)*Inputs!I$27,Inputs!I$28)</f>
        <v>0</v>
      </c>
      <c r="E56" s="13">
        <f>C56*City!B$54+D56*City!B$55</f>
        <v>0.11607142857142858</v>
      </c>
    </row>
    <row r="57" spans="1:5" x14ac:dyDescent="0.25">
      <c r="A57">
        <f>A56+1</f>
        <v>53</v>
      </c>
      <c r="B57">
        <f>B56+1</f>
        <v>2070</v>
      </c>
      <c r="C57" s="16">
        <f>MIN(MAX(A57-$C$3,0)*Inputs!$I$24,Inputs!$I$25)</f>
        <v>0.25</v>
      </c>
      <c r="D57" s="16">
        <f>MIN(MAX(A57-D$3,0)*Inputs!I$27,Inputs!I$28)</f>
        <v>0</v>
      </c>
      <c r="E57" s="13">
        <f>C57*City!B$54+D57*City!B$55</f>
        <v>0.11607142857142858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K59"/>
  <sheetViews>
    <sheetView workbookViewId="0">
      <selection activeCell="D16" sqref="D16"/>
    </sheetView>
  </sheetViews>
  <sheetFormatPr defaultRowHeight="15" x14ac:dyDescent="0.25"/>
  <cols>
    <col min="3" max="3" width="11" customWidth="1"/>
    <col min="5" max="5" width="9.7109375" customWidth="1"/>
    <col min="6" max="6" width="12.140625" customWidth="1"/>
  </cols>
  <sheetData>
    <row r="1" spans="1:9" ht="15.75" x14ac:dyDescent="0.25">
      <c r="A1" s="26" t="s">
        <v>147</v>
      </c>
    </row>
    <row r="2" spans="1:9" ht="15.75" x14ac:dyDescent="0.25">
      <c r="B2" s="71" t="s">
        <v>201</v>
      </c>
      <c r="C2" s="67">
        <f>City!B56</f>
        <v>0</v>
      </c>
      <c r="D2" s="67">
        <f>City!B57</f>
        <v>3</v>
      </c>
      <c r="E2" s="67">
        <f>City!B58</f>
        <v>5</v>
      </c>
      <c r="F2" s="67">
        <f>City!B59</f>
        <v>8</v>
      </c>
      <c r="G2" s="67">
        <f>City!B60</f>
        <v>17</v>
      </c>
      <c r="H2" t="s">
        <v>202</v>
      </c>
    </row>
    <row r="3" spans="1:9" x14ac:dyDescent="0.25">
      <c r="B3" s="35" t="s">
        <v>106</v>
      </c>
      <c r="C3" s="27">
        <f>City!B10</f>
        <v>0.1</v>
      </c>
      <c r="D3" s="27">
        <f>City!B11</f>
        <v>0.25</v>
      </c>
      <c r="E3" s="27">
        <f>City!B12</f>
        <v>0.1</v>
      </c>
      <c r="F3" s="27">
        <f>City!B13</f>
        <v>0.4</v>
      </c>
      <c r="G3" s="27">
        <f>City!B14</f>
        <v>0.15</v>
      </c>
    </row>
    <row r="4" spans="1:9" x14ac:dyDescent="0.25">
      <c r="B4" s="35" t="s">
        <v>203</v>
      </c>
      <c r="C4" s="27">
        <f>IFERROR(LN(Inputs!$I33/$H4)/Inputs!$I$16,0)</f>
        <v>0.28782313662425574</v>
      </c>
      <c r="D4" s="27">
        <f>IFERROR(LN(Inputs!$I34/$H4)/Inputs!$I$16,0)</f>
        <v>0.25993019270997947</v>
      </c>
      <c r="E4" s="27">
        <f>IFERROR(LN(Inputs!$I35/$H4)/Inputs!$I$16,0)</f>
        <v>0.17328679513998632</v>
      </c>
      <c r="F4" s="27">
        <f>IFERROR(LN(Inputs!$I36/$H4)/Inputs!$I$16,0)</f>
        <v>0</v>
      </c>
      <c r="G4" s="27">
        <f>IFERROR(LN(Inputs!$I37/$H4)/Inputs!$I$16,0)</f>
        <v>0</v>
      </c>
      <c r="H4" s="16">
        <v>0.1</v>
      </c>
      <c r="I4" t="s">
        <v>204</v>
      </c>
    </row>
    <row r="5" spans="1:9" x14ac:dyDescent="0.25">
      <c r="B5" s="35" t="s">
        <v>205</v>
      </c>
      <c r="C5" s="29">
        <f>Inputs!$I$7+Inputs!$I$32+C2</f>
        <v>10</v>
      </c>
      <c r="D5" s="29">
        <f>Inputs!$I$7+Inputs!$I$32+D2</f>
        <v>13</v>
      </c>
      <c r="E5" s="29">
        <f>Inputs!$I$7+Inputs!$I$32+E2</f>
        <v>15</v>
      </c>
      <c r="F5" s="29">
        <f>Inputs!$I$7+Inputs!$I$32+F2</f>
        <v>18</v>
      </c>
      <c r="G5" s="29">
        <f>Inputs!$I$7+Inputs!$I$32+G2</f>
        <v>27</v>
      </c>
      <c r="H5" s="16"/>
    </row>
    <row r="6" spans="1:9" ht="30" x14ac:dyDescent="0.25">
      <c r="B6" s="1" t="s">
        <v>97</v>
      </c>
      <c r="C6" s="104" t="str">
        <f>City!$A$10</f>
        <v>Downtown</v>
      </c>
      <c r="D6" s="104" t="str">
        <f>City!$A$11</f>
        <v>Urban</v>
      </c>
      <c r="E6" s="103" t="str">
        <f>City!$A$12</f>
        <v>Suburban Business</v>
      </c>
      <c r="F6" s="103" t="str">
        <f>City!$A$13</f>
        <v>Suburban Residential</v>
      </c>
      <c r="G6" s="79" t="str">
        <f>City!$A$14</f>
        <v>Rural</v>
      </c>
      <c r="H6" s="32" t="s">
        <v>136</v>
      </c>
    </row>
    <row r="7" spans="1:9" x14ac:dyDescent="0.25">
      <c r="A7">
        <v>1</v>
      </c>
      <c r="B7">
        <f>City!B3</f>
        <v>2018</v>
      </c>
      <c r="C7" s="16">
        <f>IF(Inputs!$I$33&gt;0,IF($A7&lt;C$5,0,IF($A7&gt;=C$5+Inputs!$I$16,Inputs!$I$33,$H$4*EXP(C$4*($A7-C$5)))),0)</f>
        <v>0</v>
      </c>
      <c r="D7" s="16">
        <f>IF(Inputs!$I$34&gt;0,IF($A7&lt;D$5,0,IF($A7&gt;=D$5+Inputs!$I$16,Inputs!$I$34,$H$4*EXP(D$4*($A7-D$5)))),0)</f>
        <v>0</v>
      </c>
      <c r="E7" s="16">
        <f>IF(Inputs!$I$35&gt;0,IF($A7&lt;E$5,0,IF($A7&gt;=E$5+Inputs!$I$16,Inputs!$I$35,$H$4*EXP(E$4*($A7-E$5)))),0)</f>
        <v>0</v>
      </c>
      <c r="F7" s="16">
        <f>IF(Inputs!$I$36&gt;0,IF($A7&lt;F$5,0,IF($A7&gt;=F$5+Inputs!$I$16,Inputs!$I$36,$H$4*EXP(F$4*($A7-F$5)))),0)</f>
        <v>0</v>
      </c>
      <c r="G7" s="16">
        <f>IF(Inputs!$I$37&gt;0,IF($A7&lt;G$5,0,IF($A7&gt;=G$5+Inputs!$I$16,Inputs!$I$37,$H$4*EXP(G$4*($A7-G$5)))),0)</f>
        <v>0</v>
      </c>
      <c r="H7" s="16">
        <f>SUMPRODUCT(C7:G7,C$3:G$3)</f>
        <v>0</v>
      </c>
    </row>
    <row r="8" spans="1:9" x14ac:dyDescent="0.25">
      <c r="A8">
        <f>A7+1</f>
        <v>2</v>
      </c>
      <c r="B8">
        <f>B7+1</f>
        <v>2019</v>
      </c>
      <c r="C8" s="16">
        <f>IF(Inputs!$I$33&gt;0,IF($A8&lt;C$5,0,IF($A8&gt;=C$5+Inputs!$I$16,Inputs!$I$33,$H$4*EXP(C$4*($A8-C$5)))),0)</f>
        <v>0</v>
      </c>
      <c r="D8" s="16">
        <f>IF(Inputs!$I$34&gt;0,IF($A8&lt;D$5,0,IF($A8&gt;=D$5+Inputs!$I$16,Inputs!$I$34,$H$4*EXP(D$4*($A8-D$5)))),0)</f>
        <v>0</v>
      </c>
      <c r="E8" s="16">
        <f>IF(Inputs!$I$35&gt;0,IF($A8&lt;E$5,0,IF($A8&gt;=E$5+Inputs!$I$16,Inputs!$I$35,$H$4*EXP(E$4*($A8-E$5)))),0)</f>
        <v>0</v>
      </c>
      <c r="F8" s="16">
        <f>IF(Inputs!$I$36&gt;0,IF($A8&lt;F$5,0,IF($A8&gt;=F$5+Inputs!$I$16,Inputs!$I$36,$H$4*EXP(F$4*($A8-F$5)))),0)</f>
        <v>0</v>
      </c>
      <c r="G8" s="16">
        <f>IF(Inputs!$I$37&gt;0,IF($A8&lt;G$5,0,IF($A8&gt;=G$5+Inputs!$I$16,Inputs!$I$37,$H$4*EXP(G$4*($A8-G$5)))),0)</f>
        <v>0</v>
      </c>
      <c r="H8" s="16">
        <f t="shared" ref="H8:H59" si="0">SUMPRODUCT(C8:G8,C$3:G$3)</f>
        <v>0</v>
      </c>
    </row>
    <row r="9" spans="1:9" x14ac:dyDescent="0.25">
      <c r="A9">
        <f t="shared" ref="A9:A59" si="1">A8+1</f>
        <v>3</v>
      </c>
      <c r="B9">
        <f t="shared" ref="B9:B59" si="2">B8+1</f>
        <v>2020</v>
      </c>
      <c r="C9" s="16">
        <f>IF(Inputs!$I$33&gt;0,IF($A9&lt;C$5,0,IF($A9&gt;=C$5+Inputs!$I$16,Inputs!$I$33,$H$4*EXP(C$4*($A9-C$5)))),0)</f>
        <v>0</v>
      </c>
      <c r="D9" s="16">
        <f>IF(Inputs!$I$34&gt;0,IF($A9&lt;D$5,0,IF($A9&gt;=D$5+Inputs!$I$16,Inputs!$I$34,$H$4*EXP(D$4*($A9-D$5)))),0)</f>
        <v>0</v>
      </c>
      <c r="E9" s="16">
        <f>IF(Inputs!$I$35&gt;0,IF($A9&lt;E$5,0,IF($A9&gt;=E$5+Inputs!$I$16,Inputs!$I$35,$H$4*EXP(E$4*($A9-E$5)))),0)</f>
        <v>0</v>
      </c>
      <c r="F9" s="16">
        <f>IF(Inputs!$I$36&gt;0,IF($A9&lt;F$5,0,IF($A9&gt;=F$5+Inputs!$I$16,Inputs!$I$36,$H$4*EXP(F$4*($A9-F$5)))),0)</f>
        <v>0</v>
      </c>
      <c r="G9" s="16">
        <f>IF(Inputs!$I$37&gt;0,IF($A9&lt;G$5,0,IF($A9&gt;=G$5+Inputs!$I$16,Inputs!$I$37,$H$4*EXP(G$4*($A9-G$5)))),0)</f>
        <v>0</v>
      </c>
      <c r="H9" s="16">
        <f t="shared" si="0"/>
        <v>0</v>
      </c>
    </row>
    <row r="10" spans="1:9" x14ac:dyDescent="0.25">
      <c r="A10">
        <f t="shared" si="1"/>
        <v>4</v>
      </c>
      <c r="B10">
        <f t="shared" si="2"/>
        <v>2021</v>
      </c>
      <c r="C10" s="16">
        <f>IF(Inputs!$I$33&gt;0,IF($A10&lt;C$5,0,IF($A10&gt;=C$5+Inputs!$I$16,Inputs!$I$33,$H$4*EXP(C$4*($A10-C$5)))),0)</f>
        <v>0</v>
      </c>
      <c r="D10" s="16">
        <f>IF(Inputs!$I$34&gt;0,IF($A10&lt;D$5,0,IF($A10&gt;=D$5+Inputs!$I$16,Inputs!$I$34,$H$4*EXP(D$4*($A10-D$5)))),0)</f>
        <v>0</v>
      </c>
      <c r="E10" s="16">
        <f>IF(Inputs!$I$35&gt;0,IF($A10&lt;E$5,0,IF($A10&gt;=E$5+Inputs!$I$16,Inputs!$I$35,$H$4*EXP(E$4*($A10-E$5)))),0)</f>
        <v>0</v>
      </c>
      <c r="F10" s="16">
        <f>IF(Inputs!$I$36&gt;0,IF($A10&lt;F$5,0,IF($A10&gt;=F$5+Inputs!$I$16,Inputs!$I$36,$H$4*EXP(F$4*($A10-F$5)))),0)</f>
        <v>0</v>
      </c>
      <c r="G10" s="16">
        <f>IF(Inputs!$I$37&gt;0,IF($A10&lt;G$5,0,IF($A10&gt;=G$5+Inputs!$I$16,Inputs!$I$37,$H$4*EXP(G$4*($A10-G$5)))),0)</f>
        <v>0</v>
      </c>
      <c r="H10" s="16">
        <f t="shared" si="0"/>
        <v>0</v>
      </c>
    </row>
    <row r="11" spans="1:9" x14ac:dyDescent="0.25">
      <c r="A11">
        <f t="shared" si="1"/>
        <v>5</v>
      </c>
      <c r="B11">
        <f t="shared" si="2"/>
        <v>2022</v>
      </c>
      <c r="C11" s="16">
        <f>IF(Inputs!$I$33&gt;0,IF($A11&lt;C$5,0,IF($A11&gt;=C$5+Inputs!$I$16,Inputs!$I$33,$H$4*EXP(C$4*($A11-C$5)))),0)</f>
        <v>0</v>
      </c>
      <c r="D11" s="16">
        <f>IF(Inputs!$I$34&gt;0,IF($A11&lt;D$5,0,IF($A11&gt;=D$5+Inputs!$I$16,Inputs!$I$34,$H$4*EXP(D$4*($A11-D$5)))),0)</f>
        <v>0</v>
      </c>
      <c r="E11" s="16">
        <f>IF(Inputs!$I$35&gt;0,IF($A11&lt;E$5,0,IF($A11&gt;=E$5+Inputs!$I$16,Inputs!$I$35,$H$4*EXP(E$4*($A11-E$5)))),0)</f>
        <v>0</v>
      </c>
      <c r="F11" s="16">
        <f>IF(Inputs!$I$36&gt;0,IF($A11&lt;F$5,0,IF($A11&gt;=F$5+Inputs!$I$16,Inputs!$I$36,$H$4*EXP(F$4*($A11-F$5)))),0)</f>
        <v>0</v>
      </c>
      <c r="G11" s="16">
        <f>IF(Inputs!$I$37&gt;0,IF($A11&lt;G$5,0,IF($A11&gt;=G$5+Inputs!$I$16,Inputs!$I$37,$H$4*EXP(G$4*($A11-G$5)))),0)</f>
        <v>0</v>
      </c>
      <c r="H11" s="16">
        <f t="shared" si="0"/>
        <v>0</v>
      </c>
    </row>
    <row r="12" spans="1:9" x14ac:dyDescent="0.25">
      <c r="A12">
        <f t="shared" si="1"/>
        <v>6</v>
      </c>
      <c r="B12">
        <f t="shared" si="2"/>
        <v>2023</v>
      </c>
      <c r="C12" s="16">
        <f>IF(Inputs!$I$33&gt;0,IF($A12&lt;C$5,0,IF($A12&gt;=C$5+Inputs!$I$16,Inputs!$I$33,$H$4*EXP(C$4*($A12-C$5)))),0)</f>
        <v>0</v>
      </c>
      <c r="D12" s="16">
        <f>IF(Inputs!$I$34&gt;0,IF($A12&lt;D$5,0,IF($A12&gt;=D$5+Inputs!$I$16,Inputs!$I$34,$H$4*EXP(D$4*($A12-D$5)))),0)</f>
        <v>0</v>
      </c>
      <c r="E12" s="16">
        <f>IF(Inputs!$I$35&gt;0,IF($A12&lt;E$5,0,IF($A12&gt;=E$5+Inputs!$I$16,Inputs!$I$35,$H$4*EXP(E$4*($A12-E$5)))),0)</f>
        <v>0</v>
      </c>
      <c r="F12" s="16">
        <f>IF(Inputs!$I$36&gt;0,IF($A12&lt;F$5,0,IF($A12&gt;=F$5+Inputs!$I$16,Inputs!$I$36,$H$4*EXP(F$4*($A12-F$5)))),0)</f>
        <v>0</v>
      </c>
      <c r="G12" s="16">
        <f>IF(Inputs!$I$37&gt;0,IF($A12&lt;G$5,0,IF($A12&gt;=G$5+Inputs!$I$16,Inputs!$I$37,$H$4*EXP(G$4*($A12-G$5)))),0)</f>
        <v>0</v>
      </c>
      <c r="H12" s="16">
        <f t="shared" si="0"/>
        <v>0</v>
      </c>
    </row>
    <row r="13" spans="1:9" x14ac:dyDescent="0.25">
      <c r="A13">
        <f t="shared" si="1"/>
        <v>7</v>
      </c>
      <c r="B13">
        <f t="shared" si="2"/>
        <v>2024</v>
      </c>
      <c r="C13" s="16">
        <f>IF(Inputs!$I$33&gt;0,IF($A13&lt;C$5,0,IF($A13&gt;=C$5+Inputs!$I$16,Inputs!$I$33,$H$4*EXP(C$4*($A13-C$5)))),0)</f>
        <v>0</v>
      </c>
      <c r="D13" s="16">
        <f>IF(Inputs!$I$34&gt;0,IF($A13&lt;D$5,0,IF($A13&gt;=D$5+Inputs!$I$16,Inputs!$I$34,$H$4*EXP(D$4*($A13-D$5)))),0)</f>
        <v>0</v>
      </c>
      <c r="E13" s="16">
        <f>IF(Inputs!$I$35&gt;0,IF($A13&lt;E$5,0,IF($A13&gt;=E$5+Inputs!$I$16,Inputs!$I$35,$H$4*EXP(E$4*($A13-E$5)))),0)</f>
        <v>0</v>
      </c>
      <c r="F13" s="16">
        <f>IF(Inputs!$I$36&gt;0,IF($A13&lt;F$5,0,IF($A13&gt;=F$5+Inputs!$I$16,Inputs!$I$36,$H$4*EXP(F$4*($A13-F$5)))),0)</f>
        <v>0</v>
      </c>
      <c r="G13" s="16">
        <f>IF(Inputs!$I$37&gt;0,IF($A13&lt;G$5,0,IF($A13&gt;=G$5+Inputs!$I$16,Inputs!$I$37,$H$4*EXP(G$4*($A13-G$5)))),0)</f>
        <v>0</v>
      </c>
      <c r="H13" s="16">
        <f t="shared" si="0"/>
        <v>0</v>
      </c>
    </row>
    <row r="14" spans="1:9" x14ac:dyDescent="0.25">
      <c r="A14">
        <f t="shared" si="1"/>
        <v>8</v>
      </c>
      <c r="B14">
        <f t="shared" si="2"/>
        <v>2025</v>
      </c>
      <c r="C14" s="16">
        <f>IF(Inputs!$I$33&gt;0,IF($A14&lt;C$5,0,IF($A14&gt;=C$5+Inputs!$I$16,Inputs!$I$33,$H$4*EXP(C$4*($A14-C$5)))),0)</f>
        <v>0</v>
      </c>
      <c r="D14" s="16">
        <f>IF(Inputs!$I$34&gt;0,IF($A14&lt;D$5,0,IF($A14&gt;=D$5+Inputs!$I$16,Inputs!$I$34,$H$4*EXP(D$4*($A14-D$5)))),0)</f>
        <v>0</v>
      </c>
      <c r="E14" s="16">
        <f>IF(Inputs!$I$35&gt;0,IF($A14&lt;E$5,0,IF($A14&gt;=E$5+Inputs!$I$16,Inputs!$I$35,$H$4*EXP(E$4*($A14-E$5)))),0)</f>
        <v>0</v>
      </c>
      <c r="F14" s="16">
        <f>IF(Inputs!$I$36&gt;0,IF($A14&lt;F$5,0,IF($A14&gt;=F$5+Inputs!$I$16,Inputs!$I$36,$H$4*EXP(F$4*($A14-F$5)))),0)</f>
        <v>0</v>
      </c>
      <c r="G14" s="16">
        <f>IF(Inputs!$I$37&gt;0,IF($A14&lt;G$5,0,IF($A14&gt;=G$5+Inputs!$I$16,Inputs!$I$37,$H$4*EXP(G$4*($A14-G$5)))),0)</f>
        <v>0</v>
      </c>
      <c r="H14" s="16">
        <f t="shared" si="0"/>
        <v>0</v>
      </c>
    </row>
    <row r="15" spans="1:9" x14ac:dyDescent="0.25">
      <c r="A15">
        <f t="shared" si="1"/>
        <v>9</v>
      </c>
      <c r="B15">
        <f t="shared" si="2"/>
        <v>2026</v>
      </c>
      <c r="C15" s="16">
        <f>IF(Inputs!$I$33&gt;0,IF($A15&lt;C$5,0,IF($A15&gt;=C$5+Inputs!$I$16,Inputs!$I$33,$H$4*EXP(C$4*($A15-C$5)))),0)</f>
        <v>0</v>
      </c>
      <c r="D15" s="16">
        <f>IF(Inputs!$I$34&gt;0,IF($A15&lt;D$5,0,IF($A15&gt;=D$5+Inputs!$I$16,Inputs!$I$34,$H$4*EXP(D$4*($A15-D$5)))),0)</f>
        <v>0</v>
      </c>
      <c r="E15" s="16">
        <f>IF(Inputs!$I$35&gt;0,IF($A15&lt;E$5,0,IF($A15&gt;=E$5+Inputs!$I$16,Inputs!$I$35,$H$4*EXP(E$4*($A15-E$5)))),0)</f>
        <v>0</v>
      </c>
      <c r="F15" s="16">
        <f>IF(Inputs!$I$36&gt;0,IF($A15&lt;F$5,0,IF($A15&gt;=F$5+Inputs!$I$16,Inputs!$I$36,$H$4*EXP(F$4*($A15-F$5)))),0)</f>
        <v>0</v>
      </c>
      <c r="G15" s="16">
        <f>IF(Inputs!$I$37&gt;0,IF($A15&lt;G$5,0,IF($A15&gt;=G$5+Inputs!$I$16,Inputs!$I$37,$H$4*EXP(G$4*($A15-G$5)))),0)</f>
        <v>0</v>
      </c>
      <c r="H15" s="16">
        <f t="shared" si="0"/>
        <v>0</v>
      </c>
    </row>
    <row r="16" spans="1:9" x14ac:dyDescent="0.25">
      <c r="A16">
        <f t="shared" si="1"/>
        <v>10</v>
      </c>
      <c r="B16">
        <f t="shared" si="2"/>
        <v>2027</v>
      </c>
      <c r="C16" s="16">
        <f>IF(Inputs!$I$33&gt;0,IF($A16&lt;C$5,0,IF($A16&gt;=C$5+Inputs!$I$16,Inputs!$I$33,$H$4*EXP(C$4*($A16-C$5)))),0)</f>
        <v>0.1</v>
      </c>
      <c r="D16" s="16">
        <f>IF(Inputs!$I$34&gt;0,IF($A16&lt;D$5,0,IF($A16&gt;=D$5+Inputs!$I$16,Inputs!$I$34,$H$4*EXP(D$4*($A16-D$5)))),0)</f>
        <v>0</v>
      </c>
      <c r="E16" s="16">
        <f>IF(Inputs!$I$35&gt;0,IF($A16&lt;E$5,0,IF($A16&gt;=E$5+Inputs!$I$16,Inputs!$I$35,$H$4*EXP(E$4*($A16-E$5)))),0)</f>
        <v>0</v>
      </c>
      <c r="F16" s="16">
        <f>IF(Inputs!$I$36&gt;0,IF($A16&lt;F$5,0,IF($A16&gt;=F$5+Inputs!$I$16,Inputs!$I$36,$H$4*EXP(F$4*($A16-F$5)))),0)</f>
        <v>0</v>
      </c>
      <c r="G16" s="16">
        <f>IF(Inputs!$I$37&gt;0,IF($A16&lt;G$5,0,IF($A16&gt;=G$5+Inputs!$I$16,Inputs!$I$37,$H$4*EXP(G$4*($A16-G$5)))),0)</f>
        <v>0</v>
      </c>
      <c r="H16" s="16">
        <f t="shared" si="0"/>
        <v>1.0000000000000002E-2</v>
      </c>
    </row>
    <row r="17" spans="1:11" x14ac:dyDescent="0.25">
      <c r="A17">
        <f t="shared" si="1"/>
        <v>11</v>
      </c>
      <c r="B17">
        <f t="shared" si="2"/>
        <v>2028</v>
      </c>
      <c r="C17" s="16">
        <f>IF(Inputs!$I$33&gt;0,IF($A17&lt;C$5,0,IF($A17&gt;=C$5+Inputs!$I$16,Inputs!$I$33,$H$4*EXP(C$4*($A17-C$5)))),0)</f>
        <v>0.1333521432163324</v>
      </c>
      <c r="D17" s="16">
        <f>IF(Inputs!$I$34&gt;0,IF($A17&lt;D$5,0,IF($A17&gt;=D$5+Inputs!$I$16,Inputs!$I$34,$H$4*EXP(D$4*($A17-D$5)))),0)</f>
        <v>0</v>
      </c>
      <c r="E17" s="16">
        <f>IF(Inputs!$I$35&gt;0,IF($A17&lt;E$5,0,IF($A17&gt;=E$5+Inputs!$I$16,Inputs!$I$35,$H$4*EXP(E$4*($A17-E$5)))),0)</f>
        <v>0</v>
      </c>
      <c r="F17" s="16">
        <f>IF(Inputs!$I$36&gt;0,IF($A17&lt;F$5,0,IF($A17&gt;=F$5+Inputs!$I$16,Inputs!$I$36,$H$4*EXP(F$4*($A17-F$5)))),0)</f>
        <v>0</v>
      </c>
      <c r="G17" s="16">
        <f>IF(Inputs!$I$37&gt;0,IF($A17&lt;G$5,0,IF($A17&gt;=G$5+Inputs!$I$16,Inputs!$I$37,$H$4*EXP(G$4*($A17-G$5)))),0)</f>
        <v>0</v>
      </c>
      <c r="H17" s="16">
        <f t="shared" si="0"/>
        <v>1.3335214321633241E-2</v>
      </c>
    </row>
    <row r="18" spans="1:11" x14ac:dyDescent="0.25">
      <c r="A18">
        <f t="shared" si="1"/>
        <v>12</v>
      </c>
      <c r="B18">
        <f t="shared" si="2"/>
        <v>2029</v>
      </c>
      <c r="C18" s="16">
        <f>IF(Inputs!$I$33&gt;0,IF($A18&lt;C$5,0,IF($A18&gt;=C$5+Inputs!$I$16,Inputs!$I$33,$H$4*EXP(C$4*($A18-C$5)))),0)</f>
        <v>0.17782794100389232</v>
      </c>
      <c r="D18" s="16">
        <f>IF(Inputs!$I$34&gt;0,IF($A18&lt;D$5,0,IF($A18&gt;=D$5+Inputs!$I$16,Inputs!$I$34,$H$4*EXP(D$4*($A18-D$5)))),0)</f>
        <v>0</v>
      </c>
      <c r="E18" s="16">
        <f>IF(Inputs!$I$35&gt;0,IF($A18&lt;E$5,0,IF($A18&gt;=E$5+Inputs!$I$16,Inputs!$I$35,$H$4*EXP(E$4*($A18-E$5)))),0)</f>
        <v>0</v>
      </c>
      <c r="F18" s="16">
        <f>IF(Inputs!$I$36&gt;0,IF($A18&lt;F$5,0,IF($A18&gt;=F$5+Inputs!$I$16,Inputs!$I$36,$H$4*EXP(F$4*($A18-F$5)))),0)</f>
        <v>0</v>
      </c>
      <c r="G18" s="16">
        <f>IF(Inputs!$I$37&gt;0,IF($A18&lt;G$5,0,IF($A18&gt;=G$5+Inputs!$I$16,Inputs!$I$37,$H$4*EXP(G$4*($A18-G$5)))),0)</f>
        <v>0</v>
      </c>
      <c r="H18" s="16">
        <f t="shared" si="0"/>
        <v>1.7782794100389233E-2</v>
      </c>
    </row>
    <row r="19" spans="1:11" x14ac:dyDescent="0.25">
      <c r="A19">
        <f t="shared" si="1"/>
        <v>13</v>
      </c>
      <c r="B19">
        <f t="shared" si="2"/>
        <v>2030</v>
      </c>
      <c r="C19" s="16">
        <f>IF(Inputs!$I$33&gt;0,IF($A19&lt;C$5,0,IF($A19&gt;=C$5+Inputs!$I$16,Inputs!$I$33,$H$4*EXP(C$4*($A19-C$5)))),0)</f>
        <v>0.23713737056616557</v>
      </c>
      <c r="D19" s="16">
        <f>IF(Inputs!$I$34&gt;0,IF($A19&lt;D$5,0,IF($A19&gt;=D$5+Inputs!$I$16,Inputs!$I$34,$H$4*EXP(D$4*($A19-D$5)))),0)</f>
        <v>0.1</v>
      </c>
      <c r="E19" s="16">
        <f>IF(Inputs!$I$35&gt;0,IF($A19&lt;E$5,0,IF($A19&gt;=E$5+Inputs!$I$16,Inputs!$I$35,$H$4*EXP(E$4*($A19-E$5)))),0)</f>
        <v>0</v>
      </c>
      <c r="F19" s="16">
        <f>IF(Inputs!$I$36&gt;0,IF($A19&lt;F$5,0,IF($A19&gt;=F$5+Inputs!$I$16,Inputs!$I$36,$H$4*EXP(F$4*($A19-F$5)))),0)</f>
        <v>0</v>
      </c>
      <c r="G19" s="16">
        <f>IF(Inputs!$I$37&gt;0,IF($A19&lt;G$5,0,IF($A19&gt;=G$5+Inputs!$I$16,Inputs!$I$37,$H$4*EXP(G$4*($A19-G$5)))),0)</f>
        <v>0</v>
      </c>
      <c r="H19" s="16">
        <f t="shared" si="0"/>
        <v>4.8713737056616559E-2</v>
      </c>
    </row>
    <row r="20" spans="1:11" x14ac:dyDescent="0.25">
      <c r="A20">
        <f t="shared" si="1"/>
        <v>14</v>
      </c>
      <c r="B20">
        <f t="shared" si="2"/>
        <v>2031</v>
      </c>
      <c r="C20" s="16">
        <f>IF(Inputs!$I$33&gt;0,IF($A20&lt;C$5,0,IF($A20&gt;=C$5+Inputs!$I$16,Inputs!$I$33,$H$4*EXP(C$4*($A20-C$5)))),0)</f>
        <v>0.316227766016838</v>
      </c>
      <c r="D20" s="16">
        <f>IF(Inputs!$I$34&gt;0,IF($A20&lt;D$5,0,IF($A20&gt;=D$5+Inputs!$I$16,Inputs!$I$34,$H$4*EXP(D$4*($A20-D$5)))),0)</f>
        <v>0.12968395546510098</v>
      </c>
      <c r="E20" s="16">
        <f>IF(Inputs!$I$35&gt;0,IF($A20&lt;E$5,0,IF($A20&gt;=E$5+Inputs!$I$16,Inputs!$I$35,$H$4*EXP(E$4*($A20-E$5)))),0)</f>
        <v>0</v>
      </c>
      <c r="F20" s="16">
        <f>IF(Inputs!$I$36&gt;0,IF($A20&lt;F$5,0,IF($A20&gt;=F$5+Inputs!$I$16,Inputs!$I$36,$H$4*EXP(F$4*($A20-F$5)))),0)</f>
        <v>0</v>
      </c>
      <c r="G20" s="16">
        <f>IF(Inputs!$I$37&gt;0,IF($A20&lt;G$5,0,IF($A20&gt;=G$5+Inputs!$I$16,Inputs!$I$37,$H$4*EXP(G$4*($A20-G$5)))),0)</f>
        <v>0</v>
      </c>
      <c r="H20" s="16">
        <f t="shared" si="0"/>
        <v>6.4043765467959035E-2</v>
      </c>
    </row>
    <row r="21" spans="1:11" x14ac:dyDescent="0.25">
      <c r="A21">
        <f t="shared" si="1"/>
        <v>15</v>
      </c>
      <c r="B21">
        <f t="shared" si="2"/>
        <v>2032</v>
      </c>
      <c r="C21" s="16">
        <f>IF(Inputs!$I$33&gt;0,IF($A21&lt;C$5,0,IF($A21&gt;=C$5+Inputs!$I$16,Inputs!$I$33,$H$4*EXP(C$4*($A21-C$5)))),0)</f>
        <v>0.42169650342858234</v>
      </c>
      <c r="D21" s="16">
        <f>IF(Inputs!$I$34&gt;0,IF($A21&lt;D$5,0,IF($A21&gt;=D$5+Inputs!$I$16,Inputs!$I$34,$H$4*EXP(D$4*($A21-D$5)))),0)</f>
        <v>0.16817928305074292</v>
      </c>
      <c r="E21" s="16">
        <f>IF(Inputs!$I$35&gt;0,IF($A21&lt;E$5,0,IF($A21&gt;=E$5+Inputs!$I$16,Inputs!$I$35,$H$4*EXP(E$4*($A21-E$5)))),0)</f>
        <v>0.1</v>
      </c>
      <c r="F21" s="16">
        <f>IF(Inputs!$I$36&gt;0,IF($A21&lt;F$5,0,IF($A21&gt;=F$5+Inputs!$I$16,Inputs!$I$36,$H$4*EXP(F$4*($A21-F$5)))),0)</f>
        <v>0</v>
      </c>
      <c r="G21" s="16">
        <f>IF(Inputs!$I$37&gt;0,IF($A21&lt;G$5,0,IF($A21&gt;=G$5+Inputs!$I$16,Inputs!$I$37,$H$4*EXP(G$4*($A21-G$5)))),0)</f>
        <v>0</v>
      </c>
      <c r="H21" s="16">
        <f t="shared" si="0"/>
        <v>9.4214471105543984E-2</v>
      </c>
    </row>
    <row r="22" spans="1:11" x14ac:dyDescent="0.25">
      <c r="A22">
        <f t="shared" si="1"/>
        <v>16</v>
      </c>
      <c r="B22">
        <f t="shared" si="2"/>
        <v>2033</v>
      </c>
      <c r="C22" s="16">
        <f>IF(Inputs!$I$33&gt;0,IF($A22&lt;C$5,0,IF($A22&gt;=C$5+Inputs!$I$16,Inputs!$I$33,$H$4*EXP(C$4*($A22-C$5)))),0)</f>
        <v>0.56234132519034918</v>
      </c>
      <c r="D22" s="16">
        <f>IF(Inputs!$I$34&gt;0,IF($A22&lt;D$5,0,IF($A22&gt;=D$5+Inputs!$I$16,Inputs!$I$34,$H$4*EXP(D$4*($A22-D$5)))),0)</f>
        <v>0.2181015465330515</v>
      </c>
      <c r="E22" s="16">
        <f>IF(Inputs!$I$35&gt;0,IF($A22&lt;E$5,0,IF($A22&gt;=E$5+Inputs!$I$16,Inputs!$I$35,$H$4*EXP(E$4*($A22-E$5)))),0)</f>
        <v>0.11892071150027211</v>
      </c>
      <c r="F22" s="16">
        <f>IF(Inputs!$I$36&gt;0,IF($A22&lt;F$5,0,IF($A22&gt;=F$5+Inputs!$I$16,Inputs!$I$36,$H$4*EXP(F$4*($A22-F$5)))),0)</f>
        <v>0</v>
      </c>
      <c r="G22" s="16">
        <f>IF(Inputs!$I$37&gt;0,IF($A22&lt;G$5,0,IF($A22&gt;=G$5+Inputs!$I$16,Inputs!$I$37,$H$4*EXP(G$4*($A22-G$5)))),0)</f>
        <v>0</v>
      </c>
      <c r="H22" s="16">
        <f t="shared" si="0"/>
        <v>0.122651590302325</v>
      </c>
    </row>
    <row r="23" spans="1:11" x14ac:dyDescent="0.25">
      <c r="A23">
        <f t="shared" si="1"/>
        <v>17</v>
      </c>
      <c r="B23">
        <f t="shared" si="2"/>
        <v>2034</v>
      </c>
      <c r="C23" s="16">
        <f>IF(Inputs!$I$33&gt;0,IF($A23&lt;C$5,0,IF($A23&gt;=C$5+Inputs!$I$16,Inputs!$I$33,$H$4*EXP(C$4*($A23-C$5)))),0)</f>
        <v>0.74989420933245599</v>
      </c>
      <c r="D23" s="16">
        <f>IF(Inputs!$I$34&gt;0,IF($A23&lt;D$5,0,IF($A23&gt;=D$5+Inputs!$I$16,Inputs!$I$34,$H$4*EXP(D$4*($A23-D$5)))),0)</f>
        <v>0.28284271247461901</v>
      </c>
      <c r="E23" s="16">
        <f>IF(Inputs!$I$35&gt;0,IF($A23&lt;E$5,0,IF($A23&gt;=E$5+Inputs!$I$16,Inputs!$I$35,$H$4*EXP(E$4*($A23-E$5)))),0)</f>
        <v>0.1414213562373095</v>
      </c>
      <c r="F23" s="16">
        <f>IF(Inputs!$I$36&gt;0,IF($A23&lt;F$5,0,IF($A23&gt;=F$5+Inputs!$I$16,Inputs!$I$36,$H$4*EXP(F$4*($A23-F$5)))),0)</f>
        <v>0</v>
      </c>
      <c r="G23" s="16">
        <f>IF(Inputs!$I$37&gt;0,IF($A23&lt;G$5,0,IF($A23&gt;=G$5+Inputs!$I$16,Inputs!$I$37,$H$4*EXP(G$4*($A23-G$5)))),0)</f>
        <v>0</v>
      </c>
      <c r="H23" s="16">
        <f t="shared" si="0"/>
        <v>0.1598422346756313</v>
      </c>
    </row>
    <row r="24" spans="1:11" x14ac:dyDescent="0.25">
      <c r="A24">
        <f t="shared" si="1"/>
        <v>18</v>
      </c>
      <c r="B24">
        <f t="shared" si="2"/>
        <v>2035</v>
      </c>
      <c r="C24" s="16">
        <f>IF(Inputs!$I$33&gt;0,IF($A24&lt;C$5,0,IF($A24&gt;=C$5+Inputs!$I$16,Inputs!$I$33,$H$4*EXP(C$4*($A24-C$5)))),0)</f>
        <v>1</v>
      </c>
      <c r="D24" s="16">
        <f>IF(Inputs!$I$34&gt;0,IF($A24&lt;D$5,0,IF($A24&gt;=D$5+Inputs!$I$16,Inputs!$I$34,$H$4*EXP(D$4*($A24-D$5)))),0)</f>
        <v>0.3668016172818685</v>
      </c>
      <c r="E24" s="16">
        <f>IF(Inputs!$I$35&gt;0,IF($A24&lt;E$5,0,IF($A24&gt;=E$5+Inputs!$I$16,Inputs!$I$35,$H$4*EXP(E$4*($A24-E$5)))),0)</f>
        <v>0.16817928305074292</v>
      </c>
      <c r="F24" s="16">
        <f>IF(Inputs!$I$36&gt;0,IF($A24&lt;F$5,0,IF($A24&gt;=F$5+Inputs!$I$16,Inputs!$I$36,$H$4*EXP(F$4*($A24-F$5)))),0)</f>
        <v>0</v>
      </c>
      <c r="G24" s="16">
        <f>IF(Inputs!$I$37&gt;0,IF($A24&lt;G$5,0,IF($A24&gt;=G$5+Inputs!$I$16,Inputs!$I$37,$H$4*EXP(G$4*($A24-G$5)))),0)</f>
        <v>0</v>
      </c>
      <c r="H24" s="16">
        <f t="shared" si="0"/>
        <v>0.20851833262554142</v>
      </c>
      <c r="K24" s="171" t="s">
        <v>367</v>
      </c>
    </row>
    <row r="25" spans="1:11" x14ac:dyDescent="0.25">
      <c r="A25">
        <f t="shared" si="1"/>
        <v>19</v>
      </c>
      <c r="B25">
        <f t="shared" si="2"/>
        <v>2036</v>
      </c>
      <c r="C25" s="16">
        <f>IF(Inputs!$I$33&gt;0,IF($A25&lt;C$5,0,IF($A25&gt;=C$5+Inputs!$I$16,Inputs!$I$33,$H$4*EXP(C$4*($A25-C$5)))),0)</f>
        <v>1</v>
      </c>
      <c r="D25" s="16">
        <f>IF(Inputs!$I$34&gt;0,IF($A25&lt;D$5,0,IF($A25&gt;=D$5+Inputs!$I$16,Inputs!$I$34,$H$4*EXP(D$4*($A25-D$5)))),0)</f>
        <v>0.47568284600108834</v>
      </c>
      <c r="E25" s="16">
        <f>IF(Inputs!$I$35&gt;0,IF($A25&lt;E$5,0,IF($A25&gt;=E$5+Inputs!$I$16,Inputs!$I$35,$H$4*EXP(E$4*($A25-E$5)))),0)</f>
        <v>0.2</v>
      </c>
      <c r="F25" s="16">
        <f>IF(Inputs!$I$36&gt;0,IF($A25&lt;F$5,0,IF($A25&gt;=F$5+Inputs!$I$16,Inputs!$I$36,$H$4*EXP(F$4*($A25-F$5)))),0)</f>
        <v>0</v>
      </c>
      <c r="G25" s="16">
        <f>IF(Inputs!$I$37&gt;0,IF($A25&lt;G$5,0,IF($A25&gt;=G$5+Inputs!$I$16,Inputs!$I$37,$H$4*EXP(G$4*($A25-G$5)))),0)</f>
        <v>0</v>
      </c>
      <c r="H25" s="16">
        <f t="shared" si="0"/>
        <v>0.23892071150027211</v>
      </c>
    </row>
    <row r="26" spans="1:11" x14ac:dyDescent="0.25">
      <c r="A26">
        <f t="shared" si="1"/>
        <v>20</v>
      </c>
      <c r="B26">
        <f t="shared" si="2"/>
        <v>2037</v>
      </c>
      <c r="C26" s="16">
        <f>IF(Inputs!$I$33&gt;0,IF($A26&lt;C$5,0,IF($A26&gt;=C$5+Inputs!$I$16,Inputs!$I$33,$H$4*EXP(C$4*($A26-C$5)))),0)</f>
        <v>1</v>
      </c>
      <c r="D26" s="16">
        <f>IF(Inputs!$I$34&gt;0,IF($A26&lt;D$5,0,IF($A26&gt;=D$5+Inputs!$I$16,Inputs!$I$34,$H$4*EXP(D$4*($A26-D$5)))),0)</f>
        <v>0.61688433016317623</v>
      </c>
      <c r="E26" s="16">
        <f>IF(Inputs!$I$35&gt;0,IF($A26&lt;E$5,0,IF($A26&gt;=E$5+Inputs!$I$16,Inputs!$I$35,$H$4*EXP(E$4*($A26-E$5)))),0)</f>
        <v>0.23784142300054423</v>
      </c>
      <c r="F26" s="16">
        <f>IF(Inputs!$I$36&gt;0,IF($A26&lt;F$5,0,IF($A26&gt;=F$5+Inputs!$I$16,Inputs!$I$36,$H$4*EXP(F$4*($A26-F$5)))),0)</f>
        <v>0</v>
      </c>
      <c r="G26" s="16">
        <f>IF(Inputs!$I$37&gt;0,IF($A26&lt;G$5,0,IF($A26&gt;=G$5+Inputs!$I$16,Inputs!$I$37,$H$4*EXP(G$4*($A26-G$5)))),0)</f>
        <v>0</v>
      </c>
      <c r="H26" s="16">
        <f t="shared" si="0"/>
        <v>0.2780052248408485</v>
      </c>
    </row>
    <row r="27" spans="1:11" x14ac:dyDescent="0.25">
      <c r="A27">
        <f t="shared" si="1"/>
        <v>21</v>
      </c>
      <c r="B27">
        <f t="shared" si="2"/>
        <v>2038</v>
      </c>
      <c r="C27" s="16">
        <f>IF(Inputs!$I$33&gt;0,IF($A27&lt;C$5,0,IF($A27&gt;=C$5+Inputs!$I$16,Inputs!$I$33,$H$4*EXP(C$4*($A27-C$5)))),0)</f>
        <v>1</v>
      </c>
      <c r="D27" s="16">
        <f>IF(Inputs!$I$34&gt;0,IF($A27&lt;D$5,0,IF($A27&gt;=D$5+Inputs!$I$16,Inputs!$I$34,$H$4*EXP(D$4*($A27-D$5)))),0)</f>
        <v>0.8</v>
      </c>
      <c r="E27" s="16">
        <f>IF(Inputs!$I$35&gt;0,IF($A27&lt;E$5,0,IF($A27&gt;=E$5+Inputs!$I$16,Inputs!$I$35,$H$4*EXP(E$4*($A27-E$5)))),0)</f>
        <v>0.28284271247461901</v>
      </c>
      <c r="F27" s="16">
        <f>IF(Inputs!$I$36&gt;0,IF($A27&lt;F$5,0,IF($A27&gt;=F$5+Inputs!$I$16,Inputs!$I$36,$H$4*EXP(F$4*($A27-F$5)))),0)</f>
        <v>0</v>
      </c>
      <c r="G27" s="16">
        <f>IF(Inputs!$I$37&gt;0,IF($A27&lt;G$5,0,IF($A27&gt;=G$5+Inputs!$I$16,Inputs!$I$37,$H$4*EXP(G$4*($A27-G$5)))),0)</f>
        <v>0</v>
      </c>
      <c r="H27" s="16">
        <f t="shared" si="0"/>
        <v>0.32828427124746196</v>
      </c>
    </row>
    <row r="28" spans="1:11" x14ac:dyDescent="0.25">
      <c r="A28">
        <f t="shared" si="1"/>
        <v>22</v>
      </c>
      <c r="B28">
        <f t="shared" si="2"/>
        <v>2039</v>
      </c>
      <c r="C28" s="16">
        <f>IF(Inputs!$I$33&gt;0,IF($A28&lt;C$5,0,IF($A28&gt;=C$5+Inputs!$I$16,Inputs!$I$33,$H$4*EXP(C$4*($A28-C$5)))),0)</f>
        <v>1</v>
      </c>
      <c r="D28" s="16">
        <f>IF(Inputs!$I$34&gt;0,IF($A28&lt;D$5,0,IF($A28&gt;=D$5+Inputs!$I$16,Inputs!$I$34,$H$4*EXP(D$4*($A28-D$5)))),0)</f>
        <v>0.8</v>
      </c>
      <c r="E28" s="16">
        <f>IF(Inputs!$I$35&gt;0,IF($A28&lt;E$5,0,IF($A28&gt;=E$5+Inputs!$I$16,Inputs!$I$35,$H$4*EXP(E$4*($A28-E$5)))),0)</f>
        <v>0.33635856610148585</v>
      </c>
      <c r="F28" s="16">
        <f>IF(Inputs!$I$36&gt;0,IF($A28&lt;F$5,0,IF($A28&gt;=F$5+Inputs!$I$16,Inputs!$I$36,$H$4*EXP(F$4*($A28-F$5)))),0)</f>
        <v>0</v>
      </c>
      <c r="G28" s="16">
        <f>IF(Inputs!$I$37&gt;0,IF($A28&lt;G$5,0,IF($A28&gt;=G$5+Inputs!$I$16,Inputs!$I$37,$H$4*EXP(G$4*($A28-G$5)))),0)</f>
        <v>0</v>
      </c>
      <c r="H28" s="16">
        <f t="shared" si="0"/>
        <v>0.33363585661014861</v>
      </c>
    </row>
    <row r="29" spans="1:11" x14ac:dyDescent="0.25">
      <c r="A29">
        <f t="shared" si="1"/>
        <v>23</v>
      </c>
      <c r="B29">
        <f t="shared" si="2"/>
        <v>2040</v>
      </c>
      <c r="C29" s="16">
        <f>IF(Inputs!$I$33&gt;0,IF($A29&lt;C$5,0,IF($A29&gt;=C$5+Inputs!$I$16,Inputs!$I$33,$H$4*EXP(C$4*($A29-C$5)))),0)</f>
        <v>1</v>
      </c>
      <c r="D29" s="16">
        <f>IF(Inputs!$I$34&gt;0,IF($A29&lt;D$5,0,IF($A29&gt;=D$5+Inputs!$I$16,Inputs!$I$34,$H$4*EXP(D$4*($A29-D$5)))),0)</f>
        <v>0.8</v>
      </c>
      <c r="E29" s="16">
        <f>IF(Inputs!$I$35&gt;0,IF($A29&lt;E$5,0,IF($A29&gt;=E$5+Inputs!$I$16,Inputs!$I$35,$H$4*EXP(E$4*($A29-E$5)))),0)</f>
        <v>0.4</v>
      </c>
      <c r="F29" s="16">
        <f>IF(Inputs!$I$36&gt;0,IF($A29&lt;F$5,0,IF($A29&gt;=F$5+Inputs!$I$16,Inputs!$I$36,$H$4*EXP(F$4*($A29-F$5)))),0)</f>
        <v>0</v>
      </c>
      <c r="G29" s="16">
        <f>IF(Inputs!$I$37&gt;0,IF($A29&lt;G$5,0,IF($A29&gt;=G$5+Inputs!$I$16,Inputs!$I$37,$H$4*EXP(G$4*($A29-G$5)))),0)</f>
        <v>0</v>
      </c>
      <c r="H29" s="16">
        <f t="shared" si="0"/>
        <v>0.34000000000000008</v>
      </c>
    </row>
    <row r="30" spans="1:11" x14ac:dyDescent="0.25">
      <c r="A30">
        <f t="shared" si="1"/>
        <v>24</v>
      </c>
      <c r="B30">
        <f t="shared" si="2"/>
        <v>2041</v>
      </c>
      <c r="C30" s="16">
        <f>IF(Inputs!$I$33&gt;0,IF($A30&lt;C$5,0,IF($A30&gt;=C$5+Inputs!$I$16,Inputs!$I$33,$H$4*EXP(C$4*($A30-C$5)))),0)</f>
        <v>1</v>
      </c>
      <c r="D30" s="16">
        <f>IF(Inputs!$I$34&gt;0,IF($A30&lt;D$5,0,IF($A30&gt;=D$5+Inputs!$I$16,Inputs!$I$34,$H$4*EXP(D$4*($A30-D$5)))),0)</f>
        <v>0.8</v>
      </c>
      <c r="E30" s="16">
        <f>IF(Inputs!$I$35&gt;0,IF($A30&lt;E$5,0,IF($A30&gt;=E$5+Inputs!$I$16,Inputs!$I$35,$H$4*EXP(E$4*($A30-E$5)))),0)</f>
        <v>0.4</v>
      </c>
      <c r="F30" s="16">
        <f>IF(Inputs!$I$36&gt;0,IF($A30&lt;F$5,0,IF($A30&gt;=F$5+Inputs!$I$16,Inputs!$I$36,$H$4*EXP(F$4*($A30-F$5)))),0)</f>
        <v>0</v>
      </c>
      <c r="G30" s="16">
        <f>IF(Inputs!$I$37&gt;0,IF($A30&lt;G$5,0,IF($A30&gt;=G$5+Inputs!$I$16,Inputs!$I$37,$H$4*EXP(G$4*($A30-G$5)))),0)</f>
        <v>0</v>
      </c>
      <c r="H30" s="16">
        <f t="shared" si="0"/>
        <v>0.34000000000000008</v>
      </c>
    </row>
    <row r="31" spans="1:11" x14ac:dyDescent="0.25">
      <c r="A31">
        <f t="shared" si="1"/>
        <v>25</v>
      </c>
      <c r="B31">
        <f t="shared" si="2"/>
        <v>2042</v>
      </c>
      <c r="C31" s="16">
        <f>IF(Inputs!$I$33&gt;0,IF($A31&lt;C$5,0,IF($A31&gt;=C$5+Inputs!$I$16,Inputs!$I$33,$H$4*EXP(C$4*($A31-C$5)))),0)</f>
        <v>1</v>
      </c>
      <c r="D31" s="16">
        <f>IF(Inputs!$I$34&gt;0,IF($A31&lt;D$5,0,IF($A31&gt;=D$5+Inputs!$I$16,Inputs!$I$34,$H$4*EXP(D$4*($A31-D$5)))),0)</f>
        <v>0.8</v>
      </c>
      <c r="E31" s="16">
        <f>IF(Inputs!$I$35&gt;0,IF($A31&lt;E$5,0,IF($A31&gt;=E$5+Inputs!$I$16,Inputs!$I$35,$H$4*EXP(E$4*($A31-E$5)))),0)</f>
        <v>0.4</v>
      </c>
      <c r="F31" s="16">
        <f>IF(Inputs!$I$36&gt;0,IF($A31&lt;F$5,0,IF($A31&gt;=F$5+Inputs!$I$16,Inputs!$I$36,$H$4*EXP(F$4*($A31-F$5)))),0)</f>
        <v>0</v>
      </c>
      <c r="G31" s="16">
        <f>IF(Inputs!$I$37&gt;0,IF($A31&lt;G$5,0,IF($A31&gt;=G$5+Inputs!$I$16,Inputs!$I$37,$H$4*EXP(G$4*($A31-G$5)))),0)</f>
        <v>0</v>
      </c>
      <c r="H31" s="16">
        <f t="shared" si="0"/>
        <v>0.34000000000000008</v>
      </c>
    </row>
    <row r="32" spans="1:11" x14ac:dyDescent="0.25">
      <c r="A32">
        <f t="shared" si="1"/>
        <v>26</v>
      </c>
      <c r="B32">
        <f t="shared" si="2"/>
        <v>2043</v>
      </c>
      <c r="C32" s="16">
        <f>IF(Inputs!$I$33&gt;0,IF($A32&lt;C$5,0,IF($A32&gt;=C$5+Inputs!$I$16,Inputs!$I$33,$H$4*EXP(C$4*($A32-C$5)))),0)</f>
        <v>1</v>
      </c>
      <c r="D32" s="16">
        <f>IF(Inputs!$I$34&gt;0,IF($A32&lt;D$5,0,IF($A32&gt;=D$5+Inputs!$I$16,Inputs!$I$34,$H$4*EXP(D$4*($A32-D$5)))),0)</f>
        <v>0.8</v>
      </c>
      <c r="E32" s="16">
        <f>IF(Inputs!$I$35&gt;0,IF($A32&lt;E$5,0,IF($A32&gt;=E$5+Inputs!$I$16,Inputs!$I$35,$H$4*EXP(E$4*($A32-E$5)))),0)</f>
        <v>0.4</v>
      </c>
      <c r="F32" s="16">
        <f>IF(Inputs!$I$36&gt;0,IF($A32&lt;F$5,0,IF($A32&gt;=F$5+Inputs!$I$16,Inputs!$I$36,$H$4*EXP(F$4*($A32-F$5)))),0)</f>
        <v>0</v>
      </c>
      <c r="G32" s="16">
        <f>IF(Inputs!$I$37&gt;0,IF($A32&lt;G$5,0,IF($A32&gt;=G$5+Inputs!$I$16,Inputs!$I$37,$H$4*EXP(G$4*($A32-G$5)))),0)</f>
        <v>0</v>
      </c>
      <c r="H32" s="16">
        <f t="shared" si="0"/>
        <v>0.34000000000000008</v>
      </c>
    </row>
    <row r="33" spans="1:8" x14ac:dyDescent="0.25">
      <c r="A33">
        <f t="shared" si="1"/>
        <v>27</v>
      </c>
      <c r="B33">
        <f t="shared" si="2"/>
        <v>2044</v>
      </c>
      <c r="C33" s="16">
        <f>IF(Inputs!$I$33&gt;0,IF($A33&lt;C$5,0,IF($A33&gt;=C$5+Inputs!$I$16,Inputs!$I$33,$H$4*EXP(C$4*($A33-C$5)))),0)</f>
        <v>1</v>
      </c>
      <c r="D33" s="16">
        <f>IF(Inputs!$I$34&gt;0,IF($A33&lt;D$5,0,IF($A33&gt;=D$5+Inputs!$I$16,Inputs!$I$34,$H$4*EXP(D$4*($A33-D$5)))),0)</f>
        <v>0.8</v>
      </c>
      <c r="E33" s="16">
        <f>IF(Inputs!$I$35&gt;0,IF($A33&lt;E$5,0,IF($A33&gt;=E$5+Inputs!$I$16,Inputs!$I$35,$H$4*EXP(E$4*($A33-E$5)))),0)</f>
        <v>0.4</v>
      </c>
      <c r="F33" s="16">
        <f>IF(Inputs!$I$36&gt;0,IF($A33&lt;F$5,0,IF($A33&gt;=F$5+Inputs!$I$16,Inputs!$I$36,$H$4*EXP(F$4*($A33-F$5)))),0)</f>
        <v>0</v>
      </c>
      <c r="G33" s="16">
        <f>IF(Inputs!$I$37&gt;0,IF($A33&lt;G$5,0,IF($A33&gt;=G$5+Inputs!$I$16,Inputs!$I$37,$H$4*EXP(G$4*($A33-G$5)))),0)</f>
        <v>0</v>
      </c>
      <c r="H33" s="16">
        <f t="shared" si="0"/>
        <v>0.34000000000000008</v>
      </c>
    </row>
    <row r="34" spans="1:8" x14ac:dyDescent="0.25">
      <c r="A34">
        <f t="shared" si="1"/>
        <v>28</v>
      </c>
      <c r="B34">
        <f t="shared" si="2"/>
        <v>2045</v>
      </c>
      <c r="C34" s="16">
        <f>IF(Inputs!$I$33&gt;0,IF($A34&lt;C$5,0,IF($A34&gt;=C$5+Inputs!$I$16,Inputs!$I$33,$H$4*EXP(C$4*($A34-C$5)))),0)</f>
        <v>1</v>
      </c>
      <c r="D34" s="16">
        <f>IF(Inputs!$I$34&gt;0,IF($A34&lt;D$5,0,IF($A34&gt;=D$5+Inputs!$I$16,Inputs!$I$34,$H$4*EXP(D$4*($A34-D$5)))),0)</f>
        <v>0.8</v>
      </c>
      <c r="E34" s="16">
        <f>IF(Inputs!$I$35&gt;0,IF($A34&lt;E$5,0,IF($A34&gt;=E$5+Inputs!$I$16,Inputs!$I$35,$H$4*EXP(E$4*($A34-E$5)))),0)</f>
        <v>0.4</v>
      </c>
      <c r="F34" s="16">
        <f>IF(Inputs!$I$36&gt;0,IF($A34&lt;F$5,0,IF($A34&gt;=F$5+Inputs!$I$16,Inputs!$I$36,$H$4*EXP(F$4*($A34-F$5)))),0)</f>
        <v>0</v>
      </c>
      <c r="G34" s="16">
        <f>IF(Inputs!$I$37&gt;0,IF($A34&lt;G$5,0,IF($A34&gt;=G$5+Inputs!$I$16,Inputs!$I$37,$H$4*EXP(G$4*($A34-G$5)))),0)</f>
        <v>0</v>
      </c>
      <c r="H34" s="16">
        <f t="shared" si="0"/>
        <v>0.34000000000000008</v>
      </c>
    </row>
    <row r="35" spans="1:8" x14ac:dyDescent="0.25">
      <c r="A35">
        <f t="shared" si="1"/>
        <v>29</v>
      </c>
      <c r="B35">
        <f t="shared" si="2"/>
        <v>2046</v>
      </c>
      <c r="C35" s="16">
        <f>IF(Inputs!$I$33&gt;0,IF($A35&lt;C$5,0,IF($A35&gt;=C$5+Inputs!$I$16,Inputs!$I$33,$H$4*EXP(C$4*($A35-C$5)))),0)</f>
        <v>1</v>
      </c>
      <c r="D35" s="16">
        <f>IF(Inputs!$I$34&gt;0,IF($A35&lt;D$5,0,IF($A35&gt;=D$5+Inputs!$I$16,Inputs!$I$34,$H$4*EXP(D$4*($A35-D$5)))),0)</f>
        <v>0.8</v>
      </c>
      <c r="E35" s="16">
        <f>IF(Inputs!$I$35&gt;0,IF($A35&lt;E$5,0,IF($A35&gt;=E$5+Inputs!$I$16,Inputs!$I$35,$H$4*EXP(E$4*($A35-E$5)))),0)</f>
        <v>0.4</v>
      </c>
      <c r="F35" s="16">
        <f>IF(Inputs!$I$36&gt;0,IF($A35&lt;F$5,0,IF($A35&gt;=F$5+Inputs!$I$16,Inputs!$I$36,$H$4*EXP(F$4*($A35-F$5)))),0)</f>
        <v>0</v>
      </c>
      <c r="G35" s="16">
        <f>IF(Inputs!$I$37&gt;0,IF($A35&lt;G$5,0,IF($A35&gt;=G$5+Inputs!$I$16,Inputs!$I$37,$H$4*EXP(G$4*($A35-G$5)))),0)</f>
        <v>0</v>
      </c>
      <c r="H35" s="16">
        <f t="shared" si="0"/>
        <v>0.34000000000000008</v>
      </c>
    </row>
    <row r="36" spans="1:8" x14ac:dyDescent="0.25">
      <c r="A36">
        <f t="shared" si="1"/>
        <v>30</v>
      </c>
      <c r="B36">
        <f t="shared" si="2"/>
        <v>2047</v>
      </c>
      <c r="C36" s="16">
        <f>IF(Inputs!$I$33&gt;0,IF($A36&lt;C$5,0,IF($A36&gt;=C$5+Inputs!$I$16,Inputs!$I$33,$H$4*EXP(C$4*($A36-C$5)))),0)</f>
        <v>1</v>
      </c>
      <c r="D36" s="16">
        <f>IF(Inputs!$I$34&gt;0,IF($A36&lt;D$5,0,IF($A36&gt;=D$5+Inputs!$I$16,Inputs!$I$34,$H$4*EXP(D$4*($A36-D$5)))),0)</f>
        <v>0.8</v>
      </c>
      <c r="E36" s="16">
        <f>IF(Inputs!$I$35&gt;0,IF($A36&lt;E$5,0,IF($A36&gt;=E$5+Inputs!$I$16,Inputs!$I$35,$H$4*EXP(E$4*($A36-E$5)))),0)</f>
        <v>0.4</v>
      </c>
      <c r="F36" s="16">
        <f>IF(Inputs!$I$36&gt;0,IF($A36&lt;F$5,0,IF($A36&gt;=F$5+Inputs!$I$16,Inputs!$I$36,$H$4*EXP(F$4*($A36-F$5)))),0)</f>
        <v>0</v>
      </c>
      <c r="G36" s="16">
        <f>IF(Inputs!$I$37&gt;0,IF($A36&lt;G$5,0,IF($A36&gt;=G$5+Inputs!$I$16,Inputs!$I$37,$H$4*EXP(G$4*($A36-G$5)))),0)</f>
        <v>0</v>
      </c>
      <c r="H36" s="16">
        <f t="shared" si="0"/>
        <v>0.34000000000000008</v>
      </c>
    </row>
    <row r="37" spans="1:8" x14ac:dyDescent="0.25">
      <c r="A37">
        <f t="shared" si="1"/>
        <v>31</v>
      </c>
      <c r="B37">
        <f t="shared" si="2"/>
        <v>2048</v>
      </c>
      <c r="C37" s="16">
        <f>IF(Inputs!$I$33&gt;0,IF($A37&lt;C$5,0,IF($A37&gt;=C$5+Inputs!$I$16,Inputs!$I$33,$H$4*EXP(C$4*($A37-C$5)))),0)</f>
        <v>1</v>
      </c>
      <c r="D37" s="16">
        <f>IF(Inputs!$I$34&gt;0,IF($A37&lt;D$5,0,IF($A37&gt;=D$5+Inputs!$I$16,Inputs!$I$34,$H$4*EXP(D$4*($A37-D$5)))),0)</f>
        <v>0.8</v>
      </c>
      <c r="E37" s="16">
        <f>IF(Inputs!$I$35&gt;0,IF($A37&lt;E$5,0,IF($A37&gt;=E$5+Inputs!$I$16,Inputs!$I$35,$H$4*EXP(E$4*($A37-E$5)))),0)</f>
        <v>0.4</v>
      </c>
      <c r="F37" s="16">
        <f>IF(Inputs!$I$36&gt;0,IF($A37&lt;F$5,0,IF($A37&gt;=F$5+Inputs!$I$16,Inputs!$I$36,$H$4*EXP(F$4*($A37-F$5)))),0)</f>
        <v>0</v>
      </c>
      <c r="G37" s="16">
        <f>IF(Inputs!$I$37&gt;0,IF($A37&lt;G$5,0,IF($A37&gt;=G$5+Inputs!$I$16,Inputs!$I$37,$H$4*EXP(G$4*($A37-G$5)))),0)</f>
        <v>0</v>
      </c>
      <c r="H37" s="16">
        <f t="shared" si="0"/>
        <v>0.34000000000000008</v>
      </c>
    </row>
    <row r="38" spans="1:8" x14ac:dyDescent="0.25">
      <c r="A38">
        <f t="shared" si="1"/>
        <v>32</v>
      </c>
      <c r="B38">
        <f t="shared" si="2"/>
        <v>2049</v>
      </c>
      <c r="C38" s="16">
        <f>IF(Inputs!$I$33&gt;0,IF($A38&lt;C$5,0,IF($A38&gt;=C$5+Inputs!$I$16,Inputs!$I$33,$H$4*EXP(C$4*($A38-C$5)))),0)</f>
        <v>1</v>
      </c>
      <c r="D38" s="16">
        <f>IF(Inputs!$I$34&gt;0,IF($A38&lt;D$5,0,IF($A38&gt;=D$5+Inputs!$I$16,Inputs!$I$34,$H$4*EXP(D$4*($A38-D$5)))),0)</f>
        <v>0.8</v>
      </c>
      <c r="E38" s="16">
        <f>IF(Inputs!$I$35&gt;0,IF($A38&lt;E$5,0,IF($A38&gt;=E$5+Inputs!$I$16,Inputs!$I$35,$H$4*EXP(E$4*($A38-E$5)))),0)</f>
        <v>0.4</v>
      </c>
      <c r="F38" s="16">
        <f>IF(Inputs!$I$36&gt;0,IF($A38&lt;F$5,0,IF($A38&gt;=F$5+Inputs!$I$16,Inputs!$I$36,$H$4*EXP(F$4*($A38-F$5)))),0)</f>
        <v>0</v>
      </c>
      <c r="G38" s="16">
        <f>IF(Inputs!$I$37&gt;0,IF($A38&lt;G$5,0,IF($A38&gt;=G$5+Inputs!$I$16,Inputs!$I$37,$H$4*EXP(G$4*($A38-G$5)))),0)</f>
        <v>0</v>
      </c>
      <c r="H38" s="16">
        <f t="shared" si="0"/>
        <v>0.34000000000000008</v>
      </c>
    </row>
    <row r="39" spans="1:8" x14ac:dyDescent="0.25">
      <c r="A39">
        <f t="shared" si="1"/>
        <v>33</v>
      </c>
      <c r="B39">
        <f t="shared" si="2"/>
        <v>2050</v>
      </c>
      <c r="C39" s="16">
        <f>IF(Inputs!$I$33&gt;0,IF($A39&lt;C$5,0,IF($A39&gt;=C$5+Inputs!$I$16,Inputs!$I$33,$H$4*EXP(C$4*($A39-C$5)))),0)</f>
        <v>1</v>
      </c>
      <c r="D39" s="16">
        <f>IF(Inputs!$I$34&gt;0,IF($A39&lt;D$5,0,IF($A39&gt;=D$5+Inputs!$I$16,Inputs!$I$34,$H$4*EXP(D$4*($A39-D$5)))),0)</f>
        <v>0.8</v>
      </c>
      <c r="E39" s="16">
        <f>IF(Inputs!$I$35&gt;0,IF($A39&lt;E$5,0,IF($A39&gt;=E$5+Inputs!$I$16,Inputs!$I$35,$H$4*EXP(E$4*($A39-E$5)))),0)</f>
        <v>0.4</v>
      </c>
      <c r="F39" s="16">
        <f>IF(Inputs!$I$36&gt;0,IF($A39&lt;F$5,0,IF($A39&gt;=F$5+Inputs!$I$16,Inputs!$I$36,$H$4*EXP(F$4*($A39-F$5)))),0)</f>
        <v>0</v>
      </c>
      <c r="G39" s="16">
        <f>IF(Inputs!$I$37&gt;0,IF($A39&lt;G$5,0,IF($A39&gt;=G$5+Inputs!$I$16,Inputs!$I$37,$H$4*EXP(G$4*($A39-G$5)))),0)</f>
        <v>0</v>
      </c>
      <c r="H39" s="16">
        <f t="shared" si="0"/>
        <v>0.34000000000000008</v>
      </c>
    </row>
    <row r="40" spans="1:8" x14ac:dyDescent="0.25">
      <c r="A40">
        <f t="shared" si="1"/>
        <v>34</v>
      </c>
      <c r="B40">
        <f t="shared" si="2"/>
        <v>2051</v>
      </c>
      <c r="C40" s="16">
        <f>IF(Inputs!$I$33&gt;0,IF($A40&lt;C$5,0,IF($A40&gt;=C$5+Inputs!$I$16,Inputs!$I$33,$H$4*EXP(C$4*($A40-C$5)))),0)</f>
        <v>1</v>
      </c>
      <c r="D40" s="16">
        <f>IF(Inputs!$I$34&gt;0,IF($A40&lt;D$5,0,IF($A40&gt;=D$5+Inputs!$I$16,Inputs!$I$34,$H$4*EXP(D$4*($A40-D$5)))),0)</f>
        <v>0.8</v>
      </c>
      <c r="E40" s="16">
        <f>IF(Inputs!$I$35&gt;0,IF($A40&lt;E$5,0,IF($A40&gt;=E$5+Inputs!$I$16,Inputs!$I$35,$H$4*EXP(E$4*($A40-E$5)))),0)</f>
        <v>0.4</v>
      </c>
      <c r="F40" s="16">
        <f>IF(Inputs!$I$36&gt;0,IF($A40&lt;F$5,0,IF($A40&gt;=F$5+Inputs!$I$16,Inputs!$I$36,$H$4*EXP(F$4*($A40-F$5)))),0)</f>
        <v>0</v>
      </c>
      <c r="G40" s="16">
        <f>IF(Inputs!$I$37&gt;0,IF($A40&lt;G$5,0,IF($A40&gt;=G$5+Inputs!$I$16,Inputs!$I$37,$H$4*EXP(G$4*($A40-G$5)))),0)</f>
        <v>0</v>
      </c>
      <c r="H40" s="16">
        <f t="shared" si="0"/>
        <v>0.34000000000000008</v>
      </c>
    </row>
    <row r="41" spans="1:8" x14ac:dyDescent="0.25">
      <c r="A41">
        <f t="shared" si="1"/>
        <v>35</v>
      </c>
      <c r="B41">
        <f t="shared" si="2"/>
        <v>2052</v>
      </c>
      <c r="C41" s="16">
        <f>IF(Inputs!$I$33&gt;0,IF($A41&lt;C$5,0,IF($A41&gt;=C$5+Inputs!$I$16,Inputs!$I$33,$H$4*EXP(C$4*($A41-C$5)))),0)</f>
        <v>1</v>
      </c>
      <c r="D41" s="16">
        <f>IF(Inputs!$I$34&gt;0,IF($A41&lt;D$5,0,IF($A41&gt;=D$5+Inputs!$I$16,Inputs!$I$34,$H$4*EXP(D$4*($A41-D$5)))),0)</f>
        <v>0.8</v>
      </c>
      <c r="E41" s="16">
        <f>IF(Inputs!$I$35&gt;0,IF($A41&lt;E$5,0,IF($A41&gt;=E$5+Inputs!$I$16,Inputs!$I$35,$H$4*EXP(E$4*($A41-E$5)))),0)</f>
        <v>0.4</v>
      </c>
      <c r="F41" s="16">
        <f>IF(Inputs!$I$36&gt;0,IF($A41&lt;F$5,0,IF($A41&gt;=F$5+Inputs!$I$16,Inputs!$I$36,$H$4*EXP(F$4*($A41-F$5)))),0)</f>
        <v>0</v>
      </c>
      <c r="G41" s="16">
        <f>IF(Inputs!$I$37&gt;0,IF($A41&lt;G$5,0,IF($A41&gt;=G$5+Inputs!$I$16,Inputs!$I$37,$H$4*EXP(G$4*($A41-G$5)))),0)</f>
        <v>0</v>
      </c>
      <c r="H41" s="16">
        <f t="shared" si="0"/>
        <v>0.34000000000000008</v>
      </c>
    </row>
    <row r="42" spans="1:8" x14ac:dyDescent="0.25">
      <c r="A42">
        <f t="shared" si="1"/>
        <v>36</v>
      </c>
      <c r="B42">
        <f t="shared" si="2"/>
        <v>2053</v>
      </c>
      <c r="C42" s="16">
        <f>IF(Inputs!$I$33&gt;0,IF($A42&lt;C$5,0,IF($A42&gt;=C$5+Inputs!$I$16,Inputs!$I$33,$H$4*EXP(C$4*($A42-C$5)))),0)</f>
        <v>1</v>
      </c>
      <c r="D42" s="16">
        <f>IF(Inputs!$I$34&gt;0,IF($A42&lt;D$5,0,IF($A42&gt;=D$5+Inputs!$I$16,Inputs!$I$34,$H$4*EXP(D$4*($A42-D$5)))),0)</f>
        <v>0.8</v>
      </c>
      <c r="E42" s="16">
        <f>IF(Inputs!$I$35&gt;0,IF($A42&lt;E$5,0,IF($A42&gt;=E$5+Inputs!$I$16,Inputs!$I$35,$H$4*EXP(E$4*($A42-E$5)))),0)</f>
        <v>0.4</v>
      </c>
      <c r="F42" s="16">
        <f>IF(Inputs!$I$36&gt;0,IF($A42&lt;F$5,0,IF($A42&gt;=F$5+Inputs!$I$16,Inputs!$I$36,$H$4*EXP(F$4*($A42-F$5)))),0)</f>
        <v>0</v>
      </c>
      <c r="G42" s="16">
        <f>IF(Inputs!$I$37&gt;0,IF($A42&lt;G$5,0,IF($A42&gt;=G$5+Inputs!$I$16,Inputs!$I$37,$H$4*EXP(G$4*($A42-G$5)))),0)</f>
        <v>0</v>
      </c>
      <c r="H42" s="16">
        <f t="shared" si="0"/>
        <v>0.34000000000000008</v>
      </c>
    </row>
    <row r="43" spans="1:8" x14ac:dyDescent="0.25">
      <c r="A43">
        <f t="shared" si="1"/>
        <v>37</v>
      </c>
      <c r="B43">
        <f t="shared" si="2"/>
        <v>2054</v>
      </c>
      <c r="C43" s="16">
        <f>IF(Inputs!$I$33&gt;0,IF($A43&lt;C$5,0,IF($A43&gt;=C$5+Inputs!$I$16,Inputs!$I$33,$H$4*EXP(C$4*($A43-C$5)))),0)</f>
        <v>1</v>
      </c>
      <c r="D43" s="16">
        <f>IF(Inputs!$I$34&gt;0,IF($A43&lt;D$5,0,IF($A43&gt;=D$5+Inputs!$I$16,Inputs!$I$34,$H$4*EXP(D$4*($A43-D$5)))),0)</f>
        <v>0.8</v>
      </c>
      <c r="E43" s="16">
        <f>IF(Inputs!$I$35&gt;0,IF($A43&lt;E$5,0,IF($A43&gt;=E$5+Inputs!$I$16,Inputs!$I$35,$H$4*EXP(E$4*($A43-E$5)))),0)</f>
        <v>0.4</v>
      </c>
      <c r="F43" s="16">
        <f>IF(Inputs!$I$36&gt;0,IF($A43&lt;F$5,0,IF($A43&gt;=F$5+Inputs!$I$16,Inputs!$I$36,$H$4*EXP(F$4*($A43-F$5)))),0)</f>
        <v>0</v>
      </c>
      <c r="G43" s="16">
        <f>IF(Inputs!$I$37&gt;0,IF($A43&lt;G$5,0,IF($A43&gt;=G$5+Inputs!$I$16,Inputs!$I$37,$H$4*EXP(G$4*($A43-G$5)))),0)</f>
        <v>0</v>
      </c>
      <c r="H43" s="16">
        <f t="shared" si="0"/>
        <v>0.34000000000000008</v>
      </c>
    </row>
    <row r="44" spans="1:8" x14ac:dyDescent="0.25">
      <c r="A44">
        <f t="shared" si="1"/>
        <v>38</v>
      </c>
      <c r="B44">
        <f t="shared" si="2"/>
        <v>2055</v>
      </c>
      <c r="C44" s="16">
        <f>IF(Inputs!$I$33&gt;0,IF($A44&lt;C$5,0,IF($A44&gt;=C$5+Inputs!$I$16,Inputs!$I$33,$H$4*EXP(C$4*($A44-C$5)))),0)</f>
        <v>1</v>
      </c>
      <c r="D44" s="16">
        <f>IF(Inputs!$I$34&gt;0,IF($A44&lt;D$5,0,IF($A44&gt;=D$5+Inputs!$I$16,Inputs!$I$34,$H$4*EXP(D$4*($A44-D$5)))),0)</f>
        <v>0.8</v>
      </c>
      <c r="E44" s="16">
        <f>IF(Inputs!$I$35&gt;0,IF($A44&lt;E$5,0,IF($A44&gt;=E$5+Inputs!$I$16,Inputs!$I$35,$H$4*EXP(E$4*($A44-E$5)))),0)</f>
        <v>0.4</v>
      </c>
      <c r="F44" s="16">
        <f>IF(Inputs!$I$36&gt;0,IF($A44&lt;F$5,0,IF($A44&gt;=F$5+Inputs!$I$16,Inputs!$I$36,$H$4*EXP(F$4*($A44-F$5)))),0)</f>
        <v>0</v>
      </c>
      <c r="G44" s="16">
        <f>IF(Inputs!$I$37&gt;0,IF($A44&lt;G$5,0,IF($A44&gt;=G$5+Inputs!$I$16,Inputs!$I$37,$H$4*EXP(G$4*($A44-G$5)))),0)</f>
        <v>0</v>
      </c>
      <c r="H44" s="16">
        <f t="shared" si="0"/>
        <v>0.34000000000000008</v>
      </c>
    </row>
    <row r="45" spans="1:8" x14ac:dyDescent="0.25">
      <c r="A45">
        <f t="shared" si="1"/>
        <v>39</v>
      </c>
      <c r="B45">
        <f t="shared" si="2"/>
        <v>2056</v>
      </c>
      <c r="C45" s="16">
        <f>IF(Inputs!$I$33&gt;0,IF($A45&lt;C$5,0,IF($A45&gt;=C$5+Inputs!$I$16,Inputs!$I$33,$H$4*EXP(C$4*($A45-C$5)))),0)</f>
        <v>1</v>
      </c>
      <c r="D45" s="16">
        <f>IF(Inputs!$I$34&gt;0,IF($A45&lt;D$5,0,IF($A45&gt;=D$5+Inputs!$I$16,Inputs!$I$34,$H$4*EXP(D$4*($A45-D$5)))),0)</f>
        <v>0.8</v>
      </c>
      <c r="E45" s="16">
        <f>IF(Inputs!$I$35&gt;0,IF($A45&lt;E$5,0,IF($A45&gt;=E$5+Inputs!$I$16,Inputs!$I$35,$H$4*EXP(E$4*($A45-E$5)))),0)</f>
        <v>0.4</v>
      </c>
      <c r="F45" s="16">
        <f>IF(Inputs!$I$36&gt;0,IF($A45&lt;F$5,0,IF($A45&gt;=F$5+Inputs!$I$16,Inputs!$I$36,$H$4*EXP(F$4*($A45-F$5)))),0)</f>
        <v>0</v>
      </c>
      <c r="G45" s="16">
        <f>IF(Inputs!$I$37&gt;0,IF($A45&lt;G$5,0,IF($A45&gt;=G$5+Inputs!$I$16,Inputs!$I$37,$H$4*EXP(G$4*($A45-G$5)))),0)</f>
        <v>0</v>
      </c>
      <c r="H45" s="16">
        <f t="shared" si="0"/>
        <v>0.34000000000000008</v>
      </c>
    </row>
    <row r="46" spans="1:8" x14ac:dyDescent="0.25">
      <c r="A46">
        <f t="shared" si="1"/>
        <v>40</v>
      </c>
      <c r="B46">
        <f t="shared" si="2"/>
        <v>2057</v>
      </c>
      <c r="C46" s="16">
        <f>IF(Inputs!$I$33&gt;0,IF($A46&lt;C$5,0,IF($A46&gt;=C$5+Inputs!$I$16,Inputs!$I$33,$H$4*EXP(C$4*($A46-C$5)))),0)</f>
        <v>1</v>
      </c>
      <c r="D46" s="16">
        <f>IF(Inputs!$I$34&gt;0,IF($A46&lt;D$5,0,IF($A46&gt;=D$5+Inputs!$I$16,Inputs!$I$34,$H$4*EXP(D$4*($A46-D$5)))),0)</f>
        <v>0.8</v>
      </c>
      <c r="E46" s="16">
        <f>IF(Inputs!$I$35&gt;0,IF($A46&lt;E$5,0,IF($A46&gt;=E$5+Inputs!$I$16,Inputs!$I$35,$H$4*EXP(E$4*($A46-E$5)))),0)</f>
        <v>0.4</v>
      </c>
      <c r="F46" s="16">
        <f>IF(Inputs!$I$36&gt;0,IF($A46&lt;F$5,0,IF($A46&gt;=F$5+Inputs!$I$16,Inputs!$I$36,$H$4*EXP(F$4*($A46-F$5)))),0)</f>
        <v>0</v>
      </c>
      <c r="G46" s="16">
        <f>IF(Inputs!$I$37&gt;0,IF($A46&lt;G$5,0,IF($A46&gt;=G$5+Inputs!$I$16,Inputs!$I$37,$H$4*EXP(G$4*($A46-G$5)))),0)</f>
        <v>0</v>
      </c>
      <c r="H46" s="16">
        <f t="shared" si="0"/>
        <v>0.34000000000000008</v>
      </c>
    </row>
    <row r="47" spans="1:8" x14ac:dyDescent="0.25">
      <c r="A47">
        <f t="shared" si="1"/>
        <v>41</v>
      </c>
      <c r="B47">
        <f t="shared" si="2"/>
        <v>2058</v>
      </c>
      <c r="C47" s="16">
        <f>IF(Inputs!$I$33&gt;0,IF($A47&lt;C$5,0,IF($A47&gt;=C$5+Inputs!$I$16,Inputs!$I$33,$H$4*EXP(C$4*($A47-C$5)))),0)</f>
        <v>1</v>
      </c>
      <c r="D47" s="16">
        <f>IF(Inputs!$I$34&gt;0,IF($A47&lt;D$5,0,IF($A47&gt;=D$5+Inputs!$I$16,Inputs!$I$34,$H$4*EXP(D$4*($A47-D$5)))),0)</f>
        <v>0.8</v>
      </c>
      <c r="E47" s="16">
        <f>IF(Inputs!$I$35&gt;0,IF($A47&lt;E$5,0,IF($A47&gt;=E$5+Inputs!$I$16,Inputs!$I$35,$H$4*EXP(E$4*($A47-E$5)))),0)</f>
        <v>0.4</v>
      </c>
      <c r="F47" s="16">
        <f>IF(Inputs!$I$36&gt;0,IF($A47&lt;F$5,0,IF($A47&gt;=F$5+Inputs!$I$16,Inputs!$I$36,$H$4*EXP(F$4*($A47-F$5)))),0)</f>
        <v>0</v>
      </c>
      <c r="G47" s="16">
        <f>IF(Inputs!$I$37&gt;0,IF($A47&lt;G$5,0,IF($A47&gt;=G$5+Inputs!$I$16,Inputs!$I$37,$H$4*EXP(G$4*($A47-G$5)))),0)</f>
        <v>0</v>
      </c>
      <c r="H47" s="16">
        <f t="shared" si="0"/>
        <v>0.34000000000000008</v>
      </c>
    </row>
    <row r="48" spans="1:8" x14ac:dyDescent="0.25">
      <c r="A48">
        <f t="shared" si="1"/>
        <v>42</v>
      </c>
      <c r="B48">
        <f t="shared" si="2"/>
        <v>2059</v>
      </c>
      <c r="C48" s="16">
        <f>IF(Inputs!$I$33&gt;0,IF($A48&lt;C$5,0,IF($A48&gt;=C$5+Inputs!$I$16,Inputs!$I$33,$H$4*EXP(C$4*($A48-C$5)))),0)</f>
        <v>1</v>
      </c>
      <c r="D48" s="16">
        <f>IF(Inputs!$I$34&gt;0,IF($A48&lt;D$5,0,IF($A48&gt;=D$5+Inputs!$I$16,Inputs!$I$34,$H$4*EXP(D$4*($A48-D$5)))),0)</f>
        <v>0.8</v>
      </c>
      <c r="E48" s="16">
        <f>IF(Inputs!$I$35&gt;0,IF($A48&lt;E$5,0,IF($A48&gt;=E$5+Inputs!$I$16,Inputs!$I$35,$H$4*EXP(E$4*($A48-E$5)))),0)</f>
        <v>0.4</v>
      </c>
      <c r="F48" s="16">
        <f>IF(Inputs!$I$36&gt;0,IF($A48&lt;F$5,0,IF($A48&gt;=F$5+Inputs!$I$16,Inputs!$I$36,$H$4*EXP(F$4*($A48-F$5)))),0)</f>
        <v>0</v>
      </c>
      <c r="G48" s="16">
        <f>IF(Inputs!$I$37&gt;0,IF($A48&lt;G$5,0,IF($A48&gt;=G$5+Inputs!$I$16,Inputs!$I$37,$H$4*EXP(G$4*($A48-G$5)))),0)</f>
        <v>0</v>
      </c>
      <c r="H48" s="16">
        <f t="shared" si="0"/>
        <v>0.34000000000000008</v>
      </c>
    </row>
    <row r="49" spans="1:8" x14ac:dyDescent="0.25">
      <c r="A49">
        <f t="shared" si="1"/>
        <v>43</v>
      </c>
      <c r="B49">
        <f t="shared" si="2"/>
        <v>2060</v>
      </c>
      <c r="C49" s="16">
        <f>IF(Inputs!$I$33&gt;0,IF($A49&lt;C$5,0,IF($A49&gt;=C$5+Inputs!$I$16,Inputs!$I$33,$H$4*EXP(C$4*($A49-C$5)))),0)</f>
        <v>1</v>
      </c>
      <c r="D49" s="16">
        <f>IF(Inputs!$I$34&gt;0,IF($A49&lt;D$5,0,IF($A49&gt;=D$5+Inputs!$I$16,Inputs!$I$34,$H$4*EXP(D$4*($A49-D$5)))),0)</f>
        <v>0.8</v>
      </c>
      <c r="E49" s="16">
        <f>IF(Inputs!$I$35&gt;0,IF($A49&lt;E$5,0,IF($A49&gt;=E$5+Inputs!$I$16,Inputs!$I$35,$H$4*EXP(E$4*($A49-E$5)))),0)</f>
        <v>0.4</v>
      </c>
      <c r="F49" s="16">
        <f>IF(Inputs!$I$36&gt;0,IF($A49&lt;F$5,0,IF($A49&gt;=F$5+Inputs!$I$16,Inputs!$I$36,$H$4*EXP(F$4*($A49-F$5)))),0)</f>
        <v>0</v>
      </c>
      <c r="G49" s="16">
        <f>IF(Inputs!$I$37&gt;0,IF($A49&lt;G$5,0,IF($A49&gt;=G$5+Inputs!$I$16,Inputs!$I$37,$H$4*EXP(G$4*($A49-G$5)))),0)</f>
        <v>0</v>
      </c>
      <c r="H49" s="16">
        <f t="shared" si="0"/>
        <v>0.34000000000000008</v>
      </c>
    </row>
    <row r="50" spans="1:8" x14ac:dyDescent="0.25">
      <c r="A50">
        <f t="shared" si="1"/>
        <v>44</v>
      </c>
      <c r="B50">
        <f t="shared" si="2"/>
        <v>2061</v>
      </c>
      <c r="C50" s="16">
        <f>IF(Inputs!$I$33&gt;0,IF($A50&lt;C$5,0,IF($A50&gt;=C$5+Inputs!$I$16,Inputs!$I$33,$H$4*EXP(C$4*($A50-C$5)))),0)</f>
        <v>1</v>
      </c>
      <c r="D50" s="16">
        <f>IF(Inputs!$I$34&gt;0,IF($A50&lt;D$5,0,IF($A50&gt;=D$5+Inputs!$I$16,Inputs!$I$34,$H$4*EXP(D$4*($A50-D$5)))),0)</f>
        <v>0.8</v>
      </c>
      <c r="E50" s="16">
        <f>IF(Inputs!$I$35&gt;0,IF($A50&lt;E$5,0,IF($A50&gt;=E$5+Inputs!$I$16,Inputs!$I$35,$H$4*EXP(E$4*($A50-E$5)))),0)</f>
        <v>0.4</v>
      </c>
      <c r="F50" s="16">
        <f>IF(Inputs!$I$36&gt;0,IF($A50&lt;F$5,0,IF($A50&gt;=F$5+Inputs!$I$16,Inputs!$I$36,$H$4*EXP(F$4*($A50-F$5)))),0)</f>
        <v>0</v>
      </c>
      <c r="G50" s="16">
        <f>IF(Inputs!$I$37&gt;0,IF($A50&lt;G$5,0,IF($A50&gt;=G$5+Inputs!$I$16,Inputs!$I$37,$H$4*EXP(G$4*($A50-G$5)))),0)</f>
        <v>0</v>
      </c>
      <c r="H50" s="16">
        <f t="shared" si="0"/>
        <v>0.34000000000000008</v>
      </c>
    </row>
    <row r="51" spans="1:8" x14ac:dyDescent="0.25">
      <c r="A51">
        <f t="shared" si="1"/>
        <v>45</v>
      </c>
      <c r="B51">
        <f t="shared" si="2"/>
        <v>2062</v>
      </c>
      <c r="C51" s="16">
        <f>IF(Inputs!$I$33&gt;0,IF($A51&lt;C$5,0,IF($A51&gt;=C$5+Inputs!$I$16,Inputs!$I$33,$H$4*EXP(C$4*($A51-C$5)))),0)</f>
        <v>1</v>
      </c>
      <c r="D51" s="16">
        <f>IF(Inputs!$I$34&gt;0,IF($A51&lt;D$5,0,IF($A51&gt;=D$5+Inputs!$I$16,Inputs!$I$34,$H$4*EXP(D$4*($A51-D$5)))),0)</f>
        <v>0.8</v>
      </c>
      <c r="E51" s="16">
        <f>IF(Inputs!$I$35&gt;0,IF($A51&lt;E$5,0,IF($A51&gt;=E$5+Inputs!$I$16,Inputs!$I$35,$H$4*EXP(E$4*($A51-E$5)))),0)</f>
        <v>0.4</v>
      </c>
      <c r="F51" s="16">
        <f>IF(Inputs!$I$36&gt;0,IF($A51&lt;F$5,0,IF($A51&gt;=F$5+Inputs!$I$16,Inputs!$I$36,$H$4*EXP(F$4*($A51-F$5)))),0)</f>
        <v>0</v>
      </c>
      <c r="G51" s="16">
        <f>IF(Inputs!$I$37&gt;0,IF($A51&lt;G$5,0,IF($A51&gt;=G$5+Inputs!$I$16,Inputs!$I$37,$H$4*EXP(G$4*($A51-G$5)))),0)</f>
        <v>0</v>
      </c>
      <c r="H51" s="16">
        <f t="shared" si="0"/>
        <v>0.34000000000000008</v>
      </c>
    </row>
    <row r="52" spans="1:8" x14ac:dyDescent="0.25">
      <c r="A52">
        <f t="shared" si="1"/>
        <v>46</v>
      </c>
      <c r="B52">
        <f t="shared" si="2"/>
        <v>2063</v>
      </c>
      <c r="C52" s="16">
        <f>IF(Inputs!$I$33&gt;0,IF($A52&lt;C$5,0,IF($A52&gt;=C$5+Inputs!$I$16,Inputs!$I$33,$H$4*EXP(C$4*($A52-C$5)))),0)</f>
        <v>1</v>
      </c>
      <c r="D52" s="16">
        <f>IF(Inputs!$I$34&gt;0,IF($A52&lt;D$5,0,IF($A52&gt;=D$5+Inputs!$I$16,Inputs!$I$34,$H$4*EXP(D$4*($A52-D$5)))),0)</f>
        <v>0.8</v>
      </c>
      <c r="E52" s="16">
        <f>IF(Inputs!$I$35&gt;0,IF($A52&lt;E$5,0,IF($A52&gt;=E$5+Inputs!$I$16,Inputs!$I$35,$H$4*EXP(E$4*($A52-E$5)))),0)</f>
        <v>0.4</v>
      </c>
      <c r="F52" s="16">
        <f>IF(Inputs!$I$36&gt;0,IF($A52&lt;F$5,0,IF($A52&gt;=F$5+Inputs!$I$16,Inputs!$I$36,$H$4*EXP(F$4*($A52-F$5)))),0)</f>
        <v>0</v>
      </c>
      <c r="G52" s="16">
        <f>IF(Inputs!$I$37&gt;0,IF($A52&lt;G$5,0,IF($A52&gt;=G$5+Inputs!$I$16,Inputs!$I$37,$H$4*EXP(G$4*($A52-G$5)))),0)</f>
        <v>0</v>
      </c>
      <c r="H52" s="16">
        <f t="shared" si="0"/>
        <v>0.34000000000000008</v>
      </c>
    </row>
    <row r="53" spans="1:8" x14ac:dyDescent="0.25">
      <c r="A53">
        <f t="shared" si="1"/>
        <v>47</v>
      </c>
      <c r="B53">
        <f t="shared" si="2"/>
        <v>2064</v>
      </c>
      <c r="C53" s="16">
        <f>IF(Inputs!$I$33&gt;0,IF($A53&lt;C$5,0,IF($A53&gt;=C$5+Inputs!$I$16,Inputs!$I$33,$H$4*EXP(C$4*($A53-C$5)))),0)</f>
        <v>1</v>
      </c>
      <c r="D53" s="16">
        <f>IF(Inputs!$I$34&gt;0,IF($A53&lt;D$5,0,IF($A53&gt;=D$5+Inputs!$I$16,Inputs!$I$34,$H$4*EXP(D$4*($A53-D$5)))),0)</f>
        <v>0.8</v>
      </c>
      <c r="E53" s="16">
        <f>IF(Inputs!$I$35&gt;0,IF($A53&lt;E$5,0,IF($A53&gt;=E$5+Inputs!$I$16,Inputs!$I$35,$H$4*EXP(E$4*($A53-E$5)))),0)</f>
        <v>0.4</v>
      </c>
      <c r="F53" s="16">
        <f>IF(Inputs!$I$36&gt;0,IF($A53&lt;F$5,0,IF($A53&gt;=F$5+Inputs!$I$16,Inputs!$I$36,$H$4*EXP(F$4*($A53-F$5)))),0)</f>
        <v>0</v>
      </c>
      <c r="G53" s="16">
        <f>IF(Inputs!$I$37&gt;0,IF($A53&lt;G$5,0,IF($A53&gt;=G$5+Inputs!$I$16,Inputs!$I$37,$H$4*EXP(G$4*($A53-G$5)))),0)</f>
        <v>0</v>
      </c>
      <c r="H53" s="16">
        <f t="shared" si="0"/>
        <v>0.34000000000000008</v>
      </c>
    </row>
    <row r="54" spans="1:8" x14ac:dyDescent="0.25">
      <c r="A54">
        <f t="shared" si="1"/>
        <v>48</v>
      </c>
      <c r="B54">
        <f t="shared" si="2"/>
        <v>2065</v>
      </c>
      <c r="C54" s="16">
        <f>IF(Inputs!$I$33&gt;0,IF($A54&lt;C$5,0,IF($A54&gt;=C$5+Inputs!$I$16,Inputs!$I$33,$H$4*EXP(C$4*($A54-C$5)))),0)</f>
        <v>1</v>
      </c>
      <c r="D54" s="16">
        <f>IF(Inputs!$I$34&gt;0,IF($A54&lt;D$5,0,IF($A54&gt;=D$5+Inputs!$I$16,Inputs!$I$34,$H$4*EXP(D$4*($A54-D$5)))),0)</f>
        <v>0.8</v>
      </c>
      <c r="E54" s="16">
        <f>IF(Inputs!$I$35&gt;0,IF($A54&lt;E$5,0,IF($A54&gt;=E$5+Inputs!$I$16,Inputs!$I$35,$H$4*EXP(E$4*($A54-E$5)))),0)</f>
        <v>0.4</v>
      </c>
      <c r="F54" s="16">
        <f>IF(Inputs!$I$36&gt;0,IF($A54&lt;F$5,0,IF($A54&gt;=F$5+Inputs!$I$16,Inputs!$I$36,$H$4*EXP(F$4*($A54-F$5)))),0)</f>
        <v>0</v>
      </c>
      <c r="G54" s="16">
        <f>IF(Inputs!$I$37&gt;0,IF($A54&lt;G$5,0,IF($A54&gt;=G$5+Inputs!$I$16,Inputs!$I$37,$H$4*EXP(G$4*($A54-G$5)))),0)</f>
        <v>0</v>
      </c>
      <c r="H54" s="16">
        <f t="shared" si="0"/>
        <v>0.34000000000000008</v>
      </c>
    </row>
    <row r="55" spans="1:8" x14ac:dyDescent="0.25">
      <c r="A55">
        <f t="shared" si="1"/>
        <v>49</v>
      </c>
      <c r="B55">
        <f t="shared" si="2"/>
        <v>2066</v>
      </c>
      <c r="C55" s="16">
        <f>IF(Inputs!$I$33&gt;0,IF($A55&lt;C$5,0,IF($A55&gt;=C$5+Inputs!$I$16,Inputs!$I$33,$H$4*EXP(C$4*($A55-C$5)))),0)</f>
        <v>1</v>
      </c>
      <c r="D55" s="16">
        <f>IF(Inputs!$I$34&gt;0,IF($A55&lt;D$5,0,IF($A55&gt;=D$5+Inputs!$I$16,Inputs!$I$34,$H$4*EXP(D$4*($A55-D$5)))),0)</f>
        <v>0.8</v>
      </c>
      <c r="E55" s="16">
        <f>IF(Inputs!$I$35&gt;0,IF($A55&lt;E$5,0,IF($A55&gt;=E$5+Inputs!$I$16,Inputs!$I$35,$H$4*EXP(E$4*($A55-E$5)))),0)</f>
        <v>0.4</v>
      </c>
      <c r="F55" s="16">
        <f>IF(Inputs!$I$36&gt;0,IF($A55&lt;F$5,0,IF($A55&gt;=F$5+Inputs!$I$16,Inputs!$I$36,$H$4*EXP(F$4*($A55-F$5)))),0)</f>
        <v>0</v>
      </c>
      <c r="G55" s="16">
        <f>IF(Inputs!$I$37&gt;0,IF($A55&lt;G$5,0,IF($A55&gt;=G$5+Inputs!$I$16,Inputs!$I$37,$H$4*EXP(G$4*($A55-G$5)))),0)</f>
        <v>0</v>
      </c>
      <c r="H55" s="16">
        <f t="shared" si="0"/>
        <v>0.34000000000000008</v>
      </c>
    </row>
    <row r="56" spans="1:8" x14ac:dyDescent="0.25">
      <c r="A56">
        <f t="shared" si="1"/>
        <v>50</v>
      </c>
      <c r="B56">
        <f t="shared" si="2"/>
        <v>2067</v>
      </c>
      <c r="C56" s="16">
        <f>IF(Inputs!$I$33&gt;0,IF($A56&lt;C$5,0,IF($A56&gt;=C$5+Inputs!$I$16,Inputs!$I$33,$H$4*EXP(C$4*($A56-C$5)))),0)</f>
        <v>1</v>
      </c>
      <c r="D56" s="16">
        <f>IF(Inputs!$I$34&gt;0,IF($A56&lt;D$5,0,IF($A56&gt;=D$5+Inputs!$I$16,Inputs!$I$34,$H$4*EXP(D$4*($A56-D$5)))),0)</f>
        <v>0.8</v>
      </c>
      <c r="E56" s="16">
        <f>IF(Inputs!$I$35&gt;0,IF($A56&lt;E$5,0,IF($A56&gt;=E$5+Inputs!$I$16,Inputs!$I$35,$H$4*EXP(E$4*($A56-E$5)))),0)</f>
        <v>0.4</v>
      </c>
      <c r="F56" s="16">
        <f>IF(Inputs!$I$36&gt;0,IF($A56&lt;F$5,0,IF($A56&gt;=F$5+Inputs!$I$16,Inputs!$I$36,$H$4*EXP(F$4*($A56-F$5)))),0)</f>
        <v>0</v>
      </c>
      <c r="G56" s="16">
        <f>IF(Inputs!$I$37&gt;0,IF($A56&lt;G$5,0,IF($A56&gt;=G$5+Inputs!$I$16,Inputs!$I$37,$H$4*EXP(G$4*($A56-G$5)))),0)</f>
        <v>0</v>
      </c>
      <c r="H56" s="16">
        <f t="shared" si="0"/>
        <v>0.34000000000000008</v>
      </c>
    </row>
    <row r="57" spans="1:8" x14ac:dyDescent="0.25">
      <c r="A57">
        <f t="shared" si="1"/>
        <v>51</v>
      </c>
      <c r="B57">
        <f t="shared" si="2"/>
        <v>2068</v>
      </c>
      <c r="C57" s="16">
        <f>IF(Inputs!$I$33&gt;0,IF($A57&lt;C$5,0,IF($A57&gt;=C$5+Inputs!$I$16,Inputs!$I$33,$H$4*EXP(C$4*($A57-C$5)))),0)</f>
        <v>1</v>
      </c>
      <c r="D57" s="16">
        <f>IF(Inputs!$I$34&gt;0,IF($A57&lt;D$5,0,IF($A57&gt;=D$5+Inputs!$I$16,Inputs!$I$34,$H$4*EXP(D$4*($A57-D$5)))),0)</f>
        <v>0.8</v>
      </c>
      <c r="E57" s="16">
        <f>IF(Inputs!$I$35&gt;0,IF($A57&lt;E$5,0,IF($A57&gt;=E$5+Inputs!$I$16,Inputs!$I$35,$H$4*EXP(E$4*($A57-E$5)))),0)</f>
        <v>0.4</v>
      </c>
      <c r="F57" s="16">
        <f>IF(Inputs!$I$36&gt;0,IF($A57&lt;F$5,0,IF($A57&gt;=F$5+Inputs!$I$16,Inputs!$I$36,$H$4*EXP(F$4*($A57-F$5)))),0)</f>
        <v>0</v>
      </c>
      <c r="G57" s="16">
        <f>IF(Inputs!$I$37&gt;0,IF($A57&lt;G$5,0,IF($A57&gt;=G$5+Inputs!$I$16,Inputs!$I$37,$H$4*EXP(G$4*($A57-G$5)))),0)</f>
        <v>0</v>
      </c>
      <c r="H57" s="16">
        <f t="shared" si="0"/>
        <v>0.34000000000000008</v>
      </c>
    </row>
    <row r="58" spans="1:8" x14ac:dyDescent="0.25">
      <c r="A58">
        <f t="shared" si="1"/>
        <v>52</v>
      </c>
      <c r="B58">
        <f t="shared" si="2"/>
        <v>2069</v>
      </c>
      <c r="C58" s="16">
        <f>IF(Inputs!$I$33&gt;0,IF($A58&lt;C$5,0,IF($A58&gt;=C$5+Inputs!$I$16,Inputs!$I$33,$H$4*EXP(C$4*($A58-C$5)))),0)</f>
        <v>1</v>
      </c>
      <c r="D58" s="16">
        <f>IF(Inputs!$I$34&gt;0,IF($A58&lt;D$5,0,IF($A58&gt;=D$5+Inputs!$I$16,Inputs!$I$34,$H$4*EXP(D$4*($A58-D$5)))),0)</f>
        <v>0.8</v>
      </c>
      <c r="E58" s="16">
        <f>IF(Inputs!$I$35&gt;0,IF($A58&lt;E$5,0,IF($A58&gt;=E$5+Inputs!$I$16,Inputs!$I$35,$H$4*EXP(E$4*($A58-E$5)))),0)</f>
        <v>0.4</v>
      </c>
      <c r="F58" s="16">
        <f>IF(Inputs!$I$36&gt;0,IF($A58&lt;F$5,0,IF($A58&gt;=F$5+Inputs!$I$16,Inputs!$I$36,$H$4*EXP(F$4*($A58-F$5)))),0)</f>
        <v>0</v>
      </c>
      <c r="G58" s="16">
        <f>IF(Inputs!$I$37&gt;0,IF($A58&lt;G$5,0,IF($A58&gt;=G$5+Inputs!$I$16,Inputs!$I$37,$H$4*EXP(G$4*($A58-G$5)))),0)</f>
        <v>0</v>
      </c>
      <c r="H58" s="16">
        <f t="shared" si="0"/>
        <v>0.34000000000000008</v>
      </c>
    </row>
    <row r="59" spans="1:8" x14ac:dyDescent="0.25">
      <c r="A59">
        <f t="shared" si="1"/>
        <v>53</v>
      </c>
      <c r="B59">
        <f t="shared" si="2"/>
        <v>2070</v>
      </c>
      <c r="C59" s="16">
        <f>IF(Inputs!$I$33&gt;0,IF($A59&lt;C$5,0,IF($A59&gt;=C$5+Inputs!$I$16,Inputs!$I$33,$H$4*EXP(C$4*($A59-C$5)))),0)</f>
        <v>1</v>
      </c>
      <c r="D59" s="16">
        <f>IF(Inputs!$I$34&gt;0,IF($A59&lt;D$5,0,IF($A59&gt;=D$5+Inputs!$I$16,Inputs!$I$34,$H$4*EXP(D$4*($A59-D$5)))),0)</f>
        <v>0.8</v>
      </c>
      <c r="E59" s="16">
        <f>IF(Inputs!$I$35&gt;0,IF($A59&lt;E$5,0,IF($A59&gt;=E$5+Inputs!$I$16,Inputs!$I$35,$H$4*EXP(E$4*($A59-E$5)))),0)</f>
        <v>0.4</v>
      </c>
      <c r="F59" s="16">
        <f>IF(Inputs!$I$36&gt;0,IF($A59&lt;F$5,0,IF($A59&gt;=F$5+Inputs!$I$16,Inputs!$I$36,$H$4*EXP(F$4*($A59-F$5)))),0)</f>
        <v>0</v>
      </c>
      <c r="G59" s="16">
        <f>IF(Inputs!$I$37&gt;0,IF($A59&lt;G$5,0,IF($A59&gt;=G$5+Inputs!$I$16,Inputs!$I$37,$H$4*EXP(G$4*($A59-G$5)))),0)</f>
        <v>0</v>
      </c>
      <c r="H59" s="16">
        <f t="shared" si="0"/>
        <v>0.34000000000000008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57"/>
  <sheetViews>
    <sheetView workbookViewId="0">
      <selection activeCell="C8" sqref="C8"/>
    </sheetView>
  </sheetViews>
  <sheetFormatPr defaultRowHeight="15" x14ac:dyDescent="0.25"/>
  <sheetData>
    <row r="1" spans="1:5" ht="15.75" x14ac:dyDescent="0.25">
      <c r="A1" s="26" t="s">
        <v>132</v>
      </c>
    </row>
    <row r="2" spans="1:5" x14ac:dyDescent="0.25">
      <c r="C2" s="15"/>
      <c r="D2" s="15"/>
    </row>
    <row r="3" spans="1:5" x14ac:dyDescent="0.25">
      <c r="B3" s="12" t="s">
        <v>212</v>
      </c>
      <c r="C3" s="64">
        <f>(Inputs!$I$5*City!J$23+Inputs!$I$6*City!J$24+Inputs!$I$7*City!J$25+Inputs!$I$8*City!J$26+Inputs!$I$9*City!J$27+Inputs!$I$10*City!J$28)/City!J$29+Inputs!I41</f>
        <v>8.3999999999999986</v>
      </c>
      <c r="D3" s="64">
        <f>(Inputs!$I$5*City!K$23+Inputs!$I$6*City!K$24+Inputs!$I$7*City!K$25+Inputs!$I$8*City!K$26+Inputs!$I$9*City!K$27+Inputs!$I$10*City!K$28)/City!K$29+Inputs!I44</f>
        <v>8.3999999999999986</v>
      </c>
    </row>
    <row r="4" spans="1:5" x14ac:dyDescent="0.25">
      <c r="B4" t="s">
        <v>97</v>
      </c>
      <c r="C4" t="s">
        <v>128</v>
      </c>
      <c r="D4" t="s">
        <v>129</v>
      </c>
      <c r="E4" t="s">
        <v>136</v>
      </c>
    </row>
    <row r="5" spans="1:5" x14ac:dyDescent="0.25">
      <c r="A5">
        <v>1</v>
      </c>
      <c r="B5">
        <f>City!B3</f>
        <v>2018</v>
      </c>
      <c r="C5" s="16">
        <f>MIN(MAX(A5-C$3,0)*Inputs!I$42,Inputs!I$43)</f>
        <v>0</v>
      </c>
      <c r="D5" s="16">
        <f>MIN(MAX(A5-D$3,0)*Inputs!I$45,Inputs!I$46)</f>
        <v>0</v>
      </c>
      <c r="E5" s="13">
        <f>C5*City!B$54+D5*City!B$55</f>
        <v>0</v>
      </c>
    </row>
    <row r="6" spans="1:5" x14ac:dyDescent="0.25">
      <c r="A6">
        <f>A5+1</f>
        <v>2</v>
      </c>
      <c r="B6">
        <f>B5+1</f>
        <v>2019</v>
      </c>
      <c r="C6" s="16">
        <f>MIN(MAX(A6-C$3,0)*Inputs!I$42,Inputs!I$43)</f>
        <v>0</v>
      </c>
      <c r="D6" s="16">
        <f>MIN(MAX(A6-D$3,0)*Inputs!I$45,Inputs!I$46)</f>
        <v>0</v>
      </c>
      <c r="E6" s="13">
        <f>C6*City!B$54+D6*City!B$55</f>
        <v>0</v>
      </c>
    </row>
    <row r="7" spans="1:5" x14ac:dyDescent="0.25">
      <c r="A7">
        <f t="shared" ref="A7:B56" si="0">A6+1</f>
        <v>3</v>
      </c>
      <c r="B7">
        <f t="shared" si="0"/>
        <v>2020</v>
      </c>
      <c r="C7" s="16">
        <f>MIN(MAX(A7-C$3,0)*Inputs!I$42,Inputs!I$43)</f>
        <v>0</v>
      </c>
      <c r="D7" s="16">
        <f>MIN(MAX(A7-D$3,0)*Inputs!I$45,Inputs!I$46)</f>
        <v>0</v>
      </c>
      <c r="E7" s="13">
        <f>C7*City!B$54+D7*City!B$55</f>
        <v>0</v>
      </c>
    </row>
    <row r="8" spans="1:5" x14ac:dyDescent="0.25">
      <c r="A8">
        <f t="shared" si="0"/>
        <v>4</v>
      </c>
      <c r="B8">
        <f t="shared" si="0"/>
        <v>2021</v>
      </c>
      <c r="C8" s="16">
        <f>MIN(MAX(A8-C$3,0)*Inputs!I$42,Inputs!I$43)</f>
        <v>0</v>
      </c>
      <c r="D8" s="16">
        <f>MIN(MAX(A8-D$3,0)*Inputs!I$45,Inputs!I$46)</f>
        <v>0</v>
      </c>
      <c r="E8" s="13">
        <f>C8*City!B$54+D8*City!B$55</f>
        <v>0</v>
      </c>
    </row>
    <row r="9" spans="1:5" x14ac:dyDescent="0.25">
      <c r="A9">
        <f t="shared" si="0"/>
        <v>5</v>
      </c>
      <c r="B9">
        <f t="shared" si="0"/>
        <v>2022</v>
      </c>
      <c r="C9" s="16">
        <f>MIN(MAX(A9-C$3,0)*Inputs!I$42,Inputs!I$43)</f>
        <v>0</v>
      </c>
      <c r="D9" s="16">
        <f>MIN(MAX(A9-D$3,0)*Inputs!I$45,Inputs!I$46)</f>
        <v>0</v>
      </c>
      <c r="E9" s="13">
        <f>C9*City!B$54+D9*City!B$55</f>
        <v>0</v>
      </c>
    </row>
    <row r="10" spans="1:5" x14ac:dyDescent="0.25">
      <c r="A10">
        <f t="shared" si="0"/>
        <v>6</v>
      </c>
      <c r="B10">
        <f t="shared" si="0"/>
        <v>2023</v>
      </c>
      <c r="C10" s="16">
        <f>MIN(MAX(A10-C$3,0)*Inputs!I$42,Inputs!I$43)</f>
        <v>0</v>
      </c>
      <c r="D10" s="16">
        <f>MIN(MAX(A10-D$3,0)*Inputs!I$45,Inputs!I$46)</f>
        <v>0</v>
      </c>
      <c r="E10" s="13">
        <f>C10*City!B$54+D10*City!B$55</f>
        <v>0</v>
      </c>
    </row>
    <row r="11" spans="1:5" x14ac:dyDescent="0.25">
      <c r="A11">
        <f t="shared" si="0"/>
        <v>7</v>
      </c>
      <c r="B11">
        <f t="shared" si="0"/>
        <v>2024</v>
      </c>
      <c r="C11" s="16">
        <f>MIN(MAX(A11-C$3,0)*Inputs!I$42,Inputs!I$43)</f>
        <v>0</v>
      </c>
      <c r="D11" s="16">
        <f>MIN(MAX(A11-D$3,0)*Inputs!I$45,Inputs!I$46)</f>
        <v>0</v>
      </c>
      <c r="E11" s="13">
        <f>C11*City!B$54+D11*City!B$55</f>
        <v>0</v>
      </c>
    </row>
    <row r="12" spans="1:5" x14ac:dyDescent="0.25">
      <c r="A12">
        <f t="shared" si="0"/>
        <v>8</v>
      </c>
      <c r="B12">
        <f t="shared" si="0"/>
        <v>2025</v>
      </c>
      <c r="C12" s="16">
        <f>MIN(MAX(A12-C$3,0)*Inputs!I$42,Inputs!I$43)</f>
        <v>0</v>
      </c>
      <c r="D12" s="16">
        <f>MIN(MAX(A12-D$3,0)*Inputs!I$45,Inputs!I$46)</f>
        <v>0</v>
      </c>
      <c r="E12" s="13">
        <f>C12*City!B$54+D12*City!B$55</f>
        <v>0</v>
      </c>
    </row>
    <row r="13" spans="1:5" x14ac:dyDescent="0.25">
      <c r="A13">
        <f t="shared" si="0"/>
        <v>9</v>
      </c>
      <c r="B13">
        <f t="shared" si="0"/>
        <v>2026</v>
      </c>
      <c r="C13" s="16">
        <f>MIN(MAX(A13-C$3,0)*Inputs!I$42,Inputs!I$43)</f>
        <v>2.4000000000000056E-2</v>
      </c>
      <c r="D13" s="16">
        <f>MIN(MAX(A13-D$3,0)*Inputs!I$45,Inputs!I$46)</f>
        <v>2.4000000000000056E-2</v>
      </c>
      <c r="E13" s="13">
        <f>C13*City!B$54+D13*City!B$55</f>
        <v>2.4000000000000056E-2</v>
      </c>
    </row>
    <row r="14" spans="1:5" x14ac:dyDescent="0.25">
      <c r="A14">
        <f t="shared" si="0"/>
        <v>10</v>
      </c>
      <c r="B14">
        <f t="shared" si="0"/>
        <v>2027</v>
      </c>
      <c r="C14" s="16">
        <f>MIN(MAX(A14-C$3,0)*Inputs!I$42,Inputs!I$43)</f>
        <v>6.4000000000000057E-2</v>
      </c>
      <c r="D14" s="16">
        <f>MIN(MAX(A14-D$3,0)*Inputs!I$45,Inputs!I$46)</f>
        <v>6.4000000000000057E-2</v>
      </c>
      <c r="E14" s="13">
        <f>C14*City!B$54+D14*City!B$55</f>
        <v>6.4000000000000057E-2</v>
      </c>
    </row>
    <row r="15" spans="1:5" x14ac:dyDescent="0.25">
      <c r="A15">
        <f t="shared" si="0"/>
        <v>11</v>
      </c>
      <c r="B15">
        <f t="shared" si="0"/>
        <v>2028</v>
      </c>
      <c r="C15" s="16">
        <f>MIN(MAX(A15-C$3,0)*Inputs!I$42,Inputs!I$43)</f>
        <v>0.10400000000000006</v>
      </c>
      <c r="D15" s="16">
        <f>MIN(MAX(A15-D$3,0)*Inputs!I$45,Inputs!I$46)</f>
        <v>0.10400000000000006</v>
      </c>
      <c r="E15" s="13">
        <f>C15*City!B$54+D15*City!B$55</f>
        <v>0.10400000000000006</v>
      </c>
    </row>
    <row r="16" spans="1:5" x14ac:dyDescent="0.25">
      <c r="A16">
        <f t="shared" si="0"/>
        <v>12</v>
      </c>
      <c r="B16">
        <f t="shared" si="0"/>
        <v>2029</v>
      </c>
      <c r="C16" s="16">
        <f>MIN(MAX(A16-C$3,0)*Inputs!I$42,Inputs!I$43)</f>
        <v>0.14400000000000007</v>
      </c>
      <c r="D16" s="16">
        <f>MIN(MAX(A16-D$3,0)*Inputs!I$45,Inputs!I$46)</f>
        <v>0.14400000000000007</v>
      </c>
      <c r="E16" s="13">
        <f>C16*City!B$54+D16*City!B$55</f>
        <v>0.14400000000000007</v>
      </c>
    </row>
    <row r="17" spans="1:5" x14ac:dyDescent="0.25">
      <c r="A17">
        <f t="shared" si="0"/>
        <v>13</v>
      </c>
      <c r="B17">
        <f t="shared" si="0"/>
        <v>2030</v>
      </c>
      <c r="C17" s="16">
        <f>MIN(MAX(A17-C$3,0)*Inputs!I$42,Inputs!I$43)</f>
        <v>0.18400000000000005</v>
      </c>
      <c r="D17" s="16">
        <f>MIN(MAX(A17-D$3,0)*Inputs!I$45,Inputs!I$46)</f>
        <v>0.18400000000000005</v>
      </c>
      <c r="E17" s="13">
        <f>C17*City!B$54+D17*City!B$55</f>
        <v>0.18400000000000005</v>
      </c>
    </row>
    <row r="18" spans="1:5" x14ac:dyDescent="0.25">
      <c r="A18">
        <f t="shared" si="0"/>
        <v>14</v>
      </c>
      <c r="B18">
        <f t="shared" si="0"/>
        <v>2031</v>
      </c>
      <c r="C18" s="16">
        <f>MIN(MAX(A18-C$3,0)*Inputs!I$42,Inputs!I$43)</f>
        <v>0.22400000000000006</v>
      </c>
      <c r="D18" s="16">
        <f>MIN(MAX(A18-D$3,0)*Inputs!I$45,Inputs!I$46)</f>
        <v>0.22400000000000006</v>
      </c>
      <c r="E18" s="13">
        <f>C18*City!B$54+D18*City!B$55</f>
        <v>0.22400000000000006</v>
      </c>
    </row>
    <row r="19" spans="1:5" x14ac:dyDescent="0.25">
      <c r="A19">
        <f t="shared" si="0"/>
        <v>15</v>
      </c>
      <c r="B19">
        <f t="shared" si="0"/>
        <v>2032</v>
      </c>
      <c r="C19" s="16">
        <f>MIN(MAX(A19-C$3,0)*Inputs!I$42,Inputs!I$43)</f>
        <v>0.26400000000000007</v>
      </c>
      <c r="D19" s="16">
        <f>MIN(MAX(A19-D$3,0)*Inputs!I$45,Inputs!I$46)</f>
        <v>0.26400000000000007</v>
      </c>
      <c r="E19" s="13">
        <f>C19*City!B$54+D19*City!B$55</f>
        <v>0.26400000000000007</v>
      </c>
    </row>
    <row r="20" spans="1:5" x14ac:dyDescent="0.25">
      <c r="A20">
        <f t="shared" si="0"/>
        <v>16</v>
      </c>
      <c r="B20">
        <f t="shared" si="0"/>
        <v>2033</v>
      </c>
      <c r="C20" s="16">
        <f>MIN(MAX(A20-C$3,0)*Inputs!I$42,Inputs!I$43)</f>
        <v>0.30400000000000005</v>
      </c>
      <c r="D20" s="16">
        <f>MIN(MAX(A20-D$3,0)*Inputs!I$45,Inputs!I$46)</f>
        <v>0.30400000000000005</v>
      </c>
      <c r="E20" s="13">
        <f>C20*City!B$54+D20*City!B$55</f>
        <v>0.30400000000000005</v>
      </c>
    </row>
    <row r="21" spans="1:5" x14ac:dyDescent="0.25">
      <c r="A21">
        <f t="shared" si="0"/>
        <v>17</v>
      </c>
      <c r="B21">
        <f t="shared" si="0"/>
        <v>2034</v>
      </c>
      <c r="C21" s="16">
        <f>MIN(MAX(A21-C$3,0)*Inputs!I$42,Inputs!I$43)</f>
        <v>0.34400000000000008</v>
      </c>
      <c r="D21" s="16">
        <f>MIN(MAX(A21-D$3,0)*Inputs!I$45,Inputs!I$46)</f>
        <v>0.34400000000000008</v>
      </c>
      <c r="E21" s="13">
        <f>C21*City!B$54+D21*City!B$55</f>
        <v>0.34400000000000008</v>
      </c>
    </row>
    <row r="22" spans="1:5" x14ac:dyDescent="0.25">
      <c r="A22">
        <f t="shared" si="0"/>
        <v>18</v>
      </c>
      <c r="B22">
        <f t="shared" si="0"/>
        <v>2035</v>
      </c>
      <c r="C22" s="16">
        <f>MIN(MAX(A22-C$3,0)*Inputs!I$42,Inputs!I$43)</f>
        <v>0.38400000000000006</v>
      </c>
      <c r="D22" s="16">
        <f>MIN(MAX(A22-D$3,0)*Inputs!I$45,Inputs!I$46)</f>
        <v>0.38400000000000006</v>
      </c>
      <c r="E22" s="13">
        <f>C22*City!B$54+D22*City!B$55</f>
        <v>0.38400000000000006</v>
      </c>
    </row>
    <row r="23" spans="1:5" x14ac:dyDescent="0.25">
      <c r="A23">
        <f t="shared" si="0"/>
        <v>19</v>
      </c>
      <c r="B23">
        <f t="shared" si="0"/>
        <v>2036</v>
      </c>
      <c r="C23" s="16">
        <f>MIN(MAX(A23-C$3,0)*Inputs!I$42,Inputs!I$43)</f>
        <v>0.42400000000000004</v>
      </c>
      <c r="D23" s="16">
        <f>MIN(MAX(A23-D$3,0)*Inputs!I$45,Inputs!I$46)</f>
        <v>0.42400000000000004</v>
      </c>
      <c r="E23" s="13">
        <f>C23*City!B$54+D23*City!B$55</f>
        <v>0.42400000000000004</v>
      </c>
    </row>
    <row r="24" spans="1:5" x14ac:dyDescent="0.25">
      <c r="A24">
        <f t="shared" si="0"/>
        <v>20</v>
      </c>
      <c r="B24">
        <f t="shared" si="0"/>
        <v>2037</v>
      </c>
      <c r="C24" s="16">
        <f>MIN(MAX(A24-C$3,0)*Inputs!I$42,Inputs!I$43)</f>
        <v>0.46400000000000008</v>
      </c>
      <c r="D24" s="16">
        <f>MIN(MAX(A24-D$3,0)*Inputs!I$45,Inputs!I$46)</f>
        <v>0.46400000000000008</v>
      </c>
      <c r="E24" s="13">
        <f>C24*City!B$54+D24*City!B$55</f>
        <v>0.46400000000000008</v>
      </c>
    </row>
    <row r="25" spans="1:5" x14ac:dyDescent="0.25">
      <c r="A25">
        <f t="shared" si="0"/>
        <v>21</v>
      </c>
      <c r="B25">
        <f t="shared" si="0"/>
        <v>2038</v>
      </c>
      <c r="C25" s="16">
        <f>MIN(MAX(A25-C$3,0)*Inputs!I$42,Inputs!I$43)</f>
        <v>0.50400000000000011</v>
      </c>
      <c r="D25" s="16">
        <f>MIN(MAX(A25-D$3,0)*Inputs!I$45,Inputs!I$46)</f>
        <v>0.5</v>
      </c>
      <c r="E25" s="13">
        <f>C25*City!B$54+D25*City!B$55</f>
        <v>0.50185714285714289</v>
      </c>
    </row>
    <row r="26" spans="1:5" x14ac:dyDescent="0.25">
      <c r="A26">
        <f t="shared" si="0"/>
        <v>22</v>
      </c>
      <c r="B26">
        <f t="shared" si="0"/>
        <v>2039</v>
      </c>
      <c r="C26" s="16">
        <f>MIN(MAX(A26-C$3,0)*Inputs!I$42,Inputs!I$43)</f>
        <v>0.54400000000000004</v>
      </c>
      <c r="D26" s="16">
        <f>MIN(MAX(A26-D$3,0)*Inputs!I$45,Inputs!I$46)</f>
        <v>0.5</v>
      </c>
      <c r="E26" s="13">
        <f>C26*City!B$54+D26*City!B$55</f>
        <v>0.52042857142857146</v>
      </c>
    </row>
    <row r="27" spans="1:5" x14ac:dyDescent="0.25">
      <c r="A27">
        <f t="shared" si="0"/>
        <v>23</v>
      </c>
      <c r="B27">
        <f t="shared" si="0"/>
        <v>2040</v>
      </c>
      <c r="C27" s="16">
        <f>MIN(MAX(A27-C$3,0)*Inputs!I$42,Inputs!I$43)</f>
        <v>0.58400000000000007</v>
      </c>
      <c r="D27" s="16">
        <f>MIN(MAX(A27-D$3,0)*Inputs!I$45,Inputs!I$46)</f>
        <v>0.5</v>
      </c>
      <c r="E27" s="13">
        <f>C27*City!B$54+D27*City!B$55</f>
        <v>0.53900000000000003</v>
      </c>
    </row>
    <row r="28" spans="1:5" x14ac:dyDescent="0.25">
      <c r="A28">
        <f t="shared" si="0"/>
        <v>24</v>
      </c>
      <c r="B28">
        <f t="shared" si="0"/>
        <v>2041</v>
      </c>
      <c r="C28" s="16">
        <f>MIN(MAX(A28-C$3,0)*Inputs!I$42,Inputs!I$43)</f>
        <v>0.62400000000000011</v>
      </c>
      <c r="D28" s="16">
        <f>MIN(MAX(A28-D$3,0)*Inputs!I$45,Inputs!I$46)</f>
        <v>0.5</v>
      </c>
      <c r="E28" s="13">
        <f>C28*City!B$54+D28*City!B$55</f>
        <v>0.55757142857142861</v>
      </c>
    </row>
    <row r="29" spans="1:5" x14ac:dyDescent="0.25">
      <c r="A29">
        <f t="shared" si="0"/>
        <v>25</v>
      </c>
      <c r="B29">
        <f t="shared" si="0"/>
        <v>2042</v>
      </c>
      <c r="C29" s="16">
        <f>MIN(MAX(A29-C$3,0)*Inputs!I$42,Inputs!I$43)</f>
        <v>0.66400000000000003</v>
      </c>
      <c r="D29" s="16">
        <f>MIN(MAX(A29-D$3,0)*Inputs!I$45,Inputs!I$46)</f>
        <v>0.5</v>
      </c>
      <c r="E29" s="13">
        <f>C29*City!B$54+D29*City!B$55</f>
        <v>0.57614285714285718</v>
      </c>
    </row>
    <row r="30" spans="1:5" x14ac:dyDescent="0.25">
      <c r="A30">
        <f t="shared" si="0"/>
        <v>26</v>
      </c>
      <c r="B30">
        <f t="shared" si="0"/>
        <v>2043</v>
      </c>
      <c r="C30" s="16">
        <f>MIN(MAX(A30-C$3,0)*Inputs!I$42,Inputs!I$43)</f>
        <v>0.70400000000000007</v>
      </c>
      <c r="D30" s="16">
        <f>MIN(MAX(A30-D$3,0)*Inputs!I$45,Inputs!I$46)</f>
        <v>0.5</v>
      </c>
      <c r="E30" s="13">
        <f>C30*City!B$54+D30*City!B$55</f>
        <v>0.59471428571428575</v>
      </c>
    </row>
    <row r="31" spans="1:5" x14ac:dyDescent="0.25">
      <c r="A31">
        <f t="shared" si="0"/>
        <v>27</v>
      </c>
      <c r="B31">
        <f t="shared" si="0"/>
        <v>2044</v>
      </c>
      <c r="C31" s="16">
        <f>MIN(MAX(A31-C$3,0)*Inputs!I$42,Inputs!I$43)</f>
        <v>0.74400000000000011</v>
      </c>
      <c r="D31" s="16">
        <f>MIN(MAX(A31-D$3,0)*Inputs!I$45,Inputs!I$46)</f>
        <v>0.5</v>
      </c>
      <c r="E31" s="13">
        <f>C31*City!B$54+D31*City!B$55</f>
        <v>0.61328571428571432</v>
      </c>
    </row>
    <row r="32" spans="1:5" x14ac:dyDescent="0.25">
      <c r="A32">
        <f t="shared" si="0"/>
        <v>28</v>
      </c>
      <c r="B32">
        <f t="shared" si="0"/>
        <v>2045</v>
      </c>
      <c r="C32" s="16">
        <f>MIN(MAX(A32-C$3,0)*Inputs!I$42,Inputs!I$43)</f>
        <v>0.78400000000000003</v>
      </c>
      <c r="D32" s="16">
        <f>MIN(MAX(A32-D$3,0)*Inputs!I$45,Inputs!I$46)</f>
        <v>0.5</v>
      </c>
      <c r="E32" s="13">
        <f>C32*City!B$54+D32*City!B$55</f>
        <v>0.63185714285714289</v>
      </c>
    </row>
    <row r="33" spans="1:9" x14ac:dyDescent="0.25">
      <c r="A33">
        <f t="shared" si="0"/>
        <v>29</v>
      </c>
      <c r="B33">
        <f t="shared" si="0"/>
        <v>2046</v>
      </c>
      <c r="C33" s="16">
        <f>MIN(MAX(A33-C$3,0)*Inputs!I$42,Inputs!I$43)</f>
        <v>0.82400000000000007</v>
      </c>
      <c r="D33" s="16">
        <f>MIN(MAX(A33-D$3,0)*Inputs!I$45,Inputs!I$46)</f>
        <v>0.5</v>
      </c>
      <c r="E33" s="13">
        <f>C33*City!B$54+D33*City!B$55</f>
        <v>0.65042857142857147</v>
      </c>
    </row>
    <row r="34" spans="1:9" x14ac:dyDescent="0.25">
      <c r="A34">
        <f t="shared" si="0"/>
        <v>30</v>
      </c>
      <c r="B34">
        <f t="shared" si="0"/>
        <v>2047</v>
      </c>
      <c r="C34" s="16">
        <f>MIN(MAX(A34-C$3,0)*Inputs!I$42,Inputs!I$43)</f>
        <v>0.8640000000000001</v>
      </c>
      <c r="D34" s="16">
        <f>MIN(MAX(A34-D$3,0)*Inputs!I$45,Inputs!I$46)</f>
        <v>0.5</v>
      </c>
      <c r="E34" s="13">
        <f>C34*City!B$54+D34*City!B$55</f>
        <v>0.66900000000000004</v>
      </c>
      <c r="I34" s="171" t="s">
        <v>370</v>
      </c>
    </row>
    <row r="35" spans="1:9" x14ac:dyDescent="0.25">
      <c r="A35">
        <f t="shared" si="0"/>
        <v>31</v>
      </c>
      <c r="B35">
        <f t="shared" si="0"/>
        <v>2048</v>
      </c>
      <c r="C35" s="16">
        <f>MIN(MAX(A35-C$3,0)*Inputs!I$42,Inputs!I$43)</f>
        <v>0.90400000000000003</v>
      </c>
      <c r="D35" s="16">
        <f>MIN(MAX(A35-D$3,0)*Inputs!I$45,Inputs!I$46)</f>
        <v>0.5</v>
      </c>
      <c r="E35" s="13">
        <f>C35*City!B$54+D35*City!B$55</f>
        <v>0.68757142857142861</v>
      </c>
    </row>
    <row r="36" spans="1:9" x14ac:dyDescent="0.25">
      <c r="A36">
        <f t="shared" si="0"/>
        <v>32</v>
      </c>
      <c r="B36">
        <f t="shared" si="0"/>
        <v>2049</v>
      </c>
      <c r="C36" s="16">
        <f>MIN(MAX(A36-C$3,0)*Inputs!I$42,Inputs!I$43)</f>
        <v>0.94400000000000006</v>
      </c>
      <c r="D36" s="16">
        <f>MIN(MAX(A36-D$3,0)*Inputs!I$45,Inputs!I$46)</f>
        <v>0.5</v>
      </c>
      <c r="E36" s="13">
        <f>C36*City!B$54+D36*City!B$55</f>
        <v>0.70614285714285718</v>
      </c>
    </row>
    <row r="37" spans="1:9" x14ac:dyDescent="0.25">
      <c r="A37">
        <f t="shared" si="0"/>
        <v>33</v>
      </c>
      <c r="B37">
        <f t="shared" si="0"/>
        <v>2050</v>
      </c>
      <c r="C37" s="16">
        <f>MIN(MAX(A37-C$3,0)*Inputs!I$42,Inputs!I$43)</f>
        <v>0.9840000000000001</v>
      </c>
      <c r="D37" s="16">
        <f>MIN(MAX(A37-D$3,0)*Inputs!I$45,Inputs!I$46)</f>
        <v>0.5</v>
      </c>
      <c r="E37" s="13">
        <f>C37*City!B$54+D37*City!B$55</f>
        <v>0.72471428571428576</v>
      </c>
    </row>
    <row r="38" spans="1:9" x14ac:dyDescent="0.25">
      <c r="A38">
        <f t="shared" si="0"/>
        <v>34</v>
      </c>
      <c r="B38">
        <f t="shared" si="0"/>
        <v>2051</v>
      </c>
      <c r="C38" s="16">
        <f>MIN(MAX(A38-C$3,0)*Inputs!I$42,Inputs!I$43)</f>
        <v>1</v>
      </c>
      <c r="D38" s="16">
        <f>MIN(MAX(A38-D$3,0)*Inputs!I$45,Inputs!I$46)</f>
        <v>0.5</v>
      </c>
      <c r="E38" s="13">
        <f>C38*City!B$54+D38*City!B$55</f>
        <v>0.73214285714285721</v>
      </c>
    </row>
    <row r="39" spans="1:9" x14ac:dyDescent="0.25">
      <c r="A39">
        <f t="shared" si="0"/>
        <v>35</v>
      </c>
      <c r="B39">
        <f t="shared" si="0"/>
        <v>2052</v>
      </c>
      <c r="C39" s="16">
        <f>MIN(MAX(A39-C$3,0)*Inputs!I$42,Inputs!I$43)</f>
        <v>1</v>
      </c>
      <c r="D39" s="16">
        <f>MIN(MAX(A39-D$3,0)*Inputs!I$45,Inputs!I$46)</f>
        <v>0.5</v>
      </c>
      <c r="E39" s="13">
        <f>C39*City!B$54+D39*City!B$55</f>
        <v>0.73214285714285721</v>
      </c>
    </row>
    <row r="40" spans="1:9" x14ac:dyDescent="0.25">
      <c r="A40">
        <f t="shared" si="0"/>
        <v>36</v>
      </c>
      <c r="B40">
        <f t="shared" si="0"/>
        <v>2053</v>
      </c>
      <c r="C40" s="16">
        <f>MIN(MAX(A40-C$3,0)*Inputs!I$42,Inputs!I$43)</f>
        <v>1</v>
      </c>
      <c r="D40" s="16">
        <f>MIN(MAX(A40-D$3,0)*Inputs!I$45,Inputs!I$46)</f>
        <v>0.5</v>
      </c>
      <c r="E40" s="13">
        <f>C40*City!B$54+D40*City!B$55</f>
        <v>0.73214285714285721</v>
      </c>
    </row>
    <row r="41" spans="1:9" x14ac:dyDescent="0.25">
      <c r="A41">
        <f t="shared" si="0"/>
        <v>37</v>
      </c>
      <c r="B41">
        <f t="shared" si="0"/>
        <v>2054</v>
      </c>
      <c r="C41" s="16">
        <f>MIN(MAX(A41-C$3,0)*Inputs!I$42,Inputs!I$43)</f>
        <v>1</v>
      </c>
      <c r="D41" s="16">
        <f>MIN(MAX(A41-D$3,0)*Inputs!I$45,Inputs!I$46)</f>
        <v>0.5</v>
      </c>
      <c r="E41" s="13">
        <f>C41*City!B$54+D41*City!B$55</f>
        <v>0.73214285714285721</v>
      </c>
    </row>
    <row r="42" spans="1:9" x14ac:dyDescent="0.25">
      <c r="A42">
        <f t="shared" si="0"/>
        <v>38</v>
      </c>
      <c r="B42">
        <f t="shared" si="0"/>
        <v>2055</v>
      </c>
      <c r="C42" s="16">
        <f>MIN(MAX(A42-C$3,0)*Inputs!I$42,Inputs!I$43)</f>
        <v>1</v>
      </c>
      <c r="D42" s="16">
        <f>MIN(MAX(A42-D$3,0)*Inputs!I$45,Inputs!I$46)</f>
        <v>0.5</v>
      </c>
      <c r="E42" s="13">
        <f>C42*City!B$54+D42*City!B$55</f>
        <v>0.73214285714285721</v>
      </c>
    </row>
    <row r="43" spans="1:9" x14ac:dyDescent="0.25">
      <c r="A43">
        <f t="shared" si="0"/>
        <v>39</v>
      </c>
      <c r="B43">
        <f t="shared" si="0"/>
        <v>2056</v>
      </c>
      <c r="C43" s="16">
        <f>MIN(MAX(A43-C$3,0)*Inputs!I$42,Inputs!I$43)</f>
        <v>1</v>
      </c>
      <c r="D43" s="16">
        <f>MIN(MAX(A43-D$3,0)*Inputs!I$45,Inputs!I$46)</f>
        <v>0.5</v>
      </c>
      <c r="E43" s="13">
        <f>C43*City!B$54+D43*City!B$55</f>
        <v>0.73214285714285721</v>
      </c>
    </row>
    <row r="44" spans="1:9" x14ac:dyDescent="0.25">
      <c r="A44">
        <f t="shared" si="0"/>
        <v>40</v>
      </c>
      <c r="B44">
        <f t="shared" si="0"/>
        <v>2057</v>
      </c>
      <c r="C44" s="16">
        <f>MIN(MAX(A44-C$3,0)*Inputs!I$42,Inputs!I$43)</f>
        <v>1</v>
      </c>
      <c r="D44" s="16">
        <f>MIN(MAX(A44-D$3,0)*Inputs!I$45,Inputs!I$46)</f>
        <v>0.5</v>
      </c>
      <c r="E44" s="13">
        <f>C44*City!B$54+D44*City!B$55</f>
        <v>0.73214285714285721</v>
      </c>
    </row>
    <row r="45" spans="1:9" x14ac:dyDescent="0.25">
      <c r="A45">
        <f t="shared" si="0"/>
        <v>41</v>
      </c>
      <c r="B45">
        <f t="shared" si="0"/>
        <v>2058</v>
      </c>
      <c r="C45" s="16">
        <f>MIN(MAX(A45-C$3,0)*Inputs!I$42,Inputs!I$43)</f>
        <v>1</v>
      </c>
      <c r="D45" s="16">
        <f>MIN(MAX(A45-D$3,0)*Inputs!I$45,Inputs!I$46)</f>
        <v>0.5</v>
      </c>
      <c r="E45" s="13">
        <f>C45*City!B$54+D45*City!B$55</f>
        <v>0.73214285714285721</v>
      </c>
    </row>
    <row r="46" spans="1:9" x14ac:dyDescent="0.25">
      <c r="A46">
        <f t="shared" si="0"/>
        <v>42</v>
      </c>
      <c r="B46">
        <f t="shared" si="0"/>
        <v>2059</v>
      </c>
      <c r="C46" s="16">
        <f>MIN(MAX(A46-C$3,0)*Inputs!I$42,Inputs!I$43)</f>
        <v>1</v>
      </c>
      <c r="D46" s="16">
        <f>MIN(MAX(A46-D$3,0)*Inputs!I$45,Inputs!I$46)</f>
        <v>0.5</v>
      </c>
      <c r="E46" s="13">
        <f>C46*City!B$54+D46*City!B$55</f>
        <v>0.73214285714285721</v>
      </c>
    </row>
    <row r="47" spans="1:9" x14ac:dyDescent="0.25">
      <c r="A47">
        <f t="shared" si="0"/>
        <v>43</v>
      </c>
      <c r="B47">
        <f t="shared" si="0"/>
        <v>2060</v>
      </c>
      <c r="C47" s="16">
        <f>MIN(MAX(A47-C$3,0)*Inputs!I$42,Inputs!I$43)</f>
        <v>1</v>
      </c>
      <c r="D47" s="16">
        <f>MIN(MAX(A47-D$3,0)*Inputs!I$45,Inputs!I$46)</f>
        <v>0.5</v>
      </c>
      <c r="E47" s="13">
        <f>C47*City!B$54+D47*City!B$55</f>
        <v>0.73214285714285721</v>
      </c>
    </row>
    <row r="48" spans="1:9" x14ac:dyDescent="0.25">
      <c r="A48">
        <f t="shared" si="0"/>
        <v>44</v>
      </c>
      <c r="B48">
        <f t="shared" si="0"/>
        <v>2061</v>
      </c>
      <c r="C48" s="16">
        <f>MIN(MAX(A48-C$3,0)*Inputs!I$42,Inputs!I$43)</f>
        <v>1</v>
      </c>
      <c r="D48" s="16">
        <f>MIN(MAX(A48-D$3,0)*Inputs!I$45,Inputs!I$46)</f>
        <v>0.5</v>
      </c>
      <c r="E48" s="13">
        <f>C48*City!B$54+D48*City!B$55</f>
        <v>0.73214285714285721</v>
      </c>
    </row>
    <row r="49" spans="1:5" x14ac:dyDescent="0.25">
      <c r="A49">
        <f t="shared" si="0"/>
        <v>45</v>
      </c>
      <c r="B49">
        <f t="shared" si="0"/>
        <v>2062</v>
      </c>
      <c r="C49" s="16">
        <f>MIN(MAX(A49-C$3,0)*Inputs!I$42,Inputs!I$43)</f>
        <v>1</v>
      </c>
      <c r="D49" s="16">
        <f>MIN(MAX(A49-D$3,0)*Inputs!I$45,Inputs!I$46)</f>
        <v>0.5</v>
      </c>
      <c r="E49" s="13">
        <f>C49*City!B$54+D49*City!B$55</f>
        <v>0.73214285714285721</v>
      </c>
    </row>
    <row r="50" spans="1:5" x14ac:dyDescent="0.25">
      <c r="A50">
        <f t="shared" si="0"/>
        <v>46</v>
      </c>
      <c r="B50">
        <f t="shared" si="0"/>
        <v>2063</v>
      </c>
      <c r="C50" s="16">
        <f>MIN(MAX(A50-C$3,0)*Inputs!I$42,Inputs!I$43)</f>
        <v>1</v>
      </c>
      <c r="D50" s="16">
        <f>MIN(MAX(A50-D$3,0)*Inputs!I$45,Inputs!I$46)</f>
        <v>0.5</v>
      </c>
      <c r="E50" s="13">
        <f>C50*City!B$54+D50*City!B$55</f>
        <v>0.73214285714285721</v>
      </c>
    </row>
    <row r="51" spans="1:5" x14ac:dyDescent="0.25">
      <c r="A51">
        <f t="shared" si="0"/>
        <v>47</v>
      </c>
      <c r="B51">
        <f t="shared" si="0"/>
        <v>2064</v>
      </c>
      <c r="C51" s="16">
        <f>MIN(MAX(A51-C$3,0)*Inputs!I$42,Inputs!I$43)</f>
        <v>1</v>
      </c>
      <c r="D51" s="16">
        <f>MIN(MAX(A51-D$3,0)*Inputs!I$45,Inputs!I$46)</f>
        <v>0.5</v>
      </c>
      <c r="E51" s="13">
        <f>C51*City!B$54+D51*City!B$55</f>
        <v>0.73214285714285721</v>
      </c>
    </row>
    <row r="52" spans="1:5" x14ac:dyDescent="0.25">
      <c r="A52">
        <f t="shared" si="0"/>
        <v>48</v>
      </c>
      <c r="B52">
        <f t="shared" si="0"/>
        <v>2065</v>
      </c>
      <c r="C52" s="16">
        <f>MIN(MAX(A52-C$3,0)*Inputs!I$42,Inputs!I$43)</f>
        <v>1</v>
      </c>
      <c r="D52" s="16">
        <f>MIN(MAX(A52-D$3,0)*Inputs!I$45,Inputs!I$46)</f>
        <v>0.5</v>
      </c>
      <c r="E52" s="13">
        <f>C52*City!B$54+D52*City!B$55</f>
        <v>0.73214285714285721</v>
      </c>
    </row>
    <row r="53" spans="1:5" x14ac:dyDescent="0.25">
      <c r="A53">
        <f t="shared" si="0"/>
        <v>49</v>
      </c>
      <c r="B53">
        <f t="shared" si="0"/>
        <v>2066</v>
      </c>
      <c r="C53" s="16">
        <f>MIN(MAX(A53-C$3,0)*Inputs!I$42,Inputs!I$43)</f>
        <v>1</v>
      </c>
      <c r="D53" s="16">
        <f>MIN(MAX(A53-D$3,0)*Inputs!I$45,Inputs!I$46)</f>
        <v>0.5</v>
      </c>
      <c r="E53" s="13">
        <f>C53*City!B$54+D53*City!B$55</f>
        <v>0.73214285714285721</v>
      </c>
    </row>
    <row r="54" spans="1:5" x14ac:dyDescent="0.25">
      <c r="A54">
        <f t="shared" si="0"/>
        <v>50</v>
      </c>
      <c r="B54">
        <f t="shared" si="0"/>
        <v>2067</v>
      </c>
      <c r="C54" s="16">
        <f>MIN(MAX(A54-C$3,0)*Inputs!I$42,Inputs!I$43)</f>
        <v>1</v>
      </c>
      <c r="D54" s="16">
        <f>MIN(MAX(A54-D$3,0)*Inputs!I$45,Inputs!I$46)</f>
        <v>0.5</v>
      </c>
      <c r="E54" s="13">
        <f>C54*City!B$54+D54*City!B$55</f>
        <v>0.73214285714285721</v>
      </c>
    </row>
    <row r="55" spans="1:5" x14ac:dyDescent="0.25">
      <c r="A55">
        <f t="shared" si="0"/>
        <v>51</v>
      </c>
      <c r="B55">
        <f t="shared" si="0"/>
        <v>2068</v>
      </c>
      <c r="C55" s="16">
        <f>MIN(MAX(A55-C$3,0)*Inputs!I$42,Inputs!I$43)</f>
        <v>1</v>
      </c>
      <c r="D55" s="16">
        <f>MIN(MAX(A55-D$3,0)*Inputs!I$45,Inputs!I$46)</f>
        <v>0.5</v>
      </c>
      <c r="E55" s="13">
        <f>C55*City!B$54+D55*City!B$55</f>
        <v>0.73214285714285721</v>
      </c>
    </row>
    <row r="56" spans="1:5" x14ac:dyDescent="0.25">
      <c r="A56">
        <f t="shared" si="0"/>
        <v>52</v>
      </c>
      <c r="B56">
        <f t="shared" si="0"/>
        <v>2069</v>
      </c>
      <c r="C56" s="16">
        <f>MIN(MAX(A56-C$3,0)*Inputs!I$42,Inputs!I$43)</f>
        <v>1</v>
      </c>
      <c r="D56" s="16">
        <f>MIN(MAX(A56-D$3,0)*Inputs!I$45,Inputs!I$46)</f>
        <v>0.5</v>
      </c>
      <c r="E56" s="13">
        <f>C56*City!B$54+D56*City!B$55</f>
        <v>0.73214285714285721</v>
      </c>
    </row>
    <row r="57" spans="1:5" x14ac:dyDescent="0.25">
      <c r="A57">
        <f>A56+1</f>
        <v>53</v>
      </c>
      <c r="B57">
        <f>B56+1</f>
        <v>2070</v>
      </c>
      <c r="C57" s="16">
        <f>MIN(MAX(A57-C$3,0)*Inputs!I$42,Inputs!I$43)</f>
        <v>1</v>
      </c>
      <c r="D57" s="16">
        <f>MIN(MAX(A57-D$3,0)*Inputs!I$45,Inputs!I$46)</f>
        <v>0.5</v>
      </c>
      <c r="E57" s="13">
        <f>C57*City!B$54+D57*City!B$55</f>
        <v>0.73214285714285721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57"/>
  <sheetViews>
    <sheetView workbookViewId="0">
      <selection activeCell="S3" sqref="S3"/>
    </sheetView>
  </sheetViews>
  <sheetFormatPr defaultRowHeight="15" x14ac:dyDescent="0.25"/>
  <cols>
    <col min="3" max="3" width="13" customWidth="1"/>
    <col min="4" max="4" width="12.85546875" customWidth="1"/>
    <col min="5" max="5" width="15.140625" customWidth="1"/>
  </cols>
  <sheetData>
    <row r="1" spans="1:19" ht="15.75" x14ac:dyDescent="0.25">
      <c r="A1" s="26" t="s">
        <v>126</v>
      </c>
    </row>
    <row r="2" spans="1:19" x14ac:dyDescent="0.25">
      <c r="C2" s="172" t="s">
        <v>135</v>
      </c>
      <c r="D2" s="172"/>
      <c r="E2" s="172"/>
    </row>
    <row r="3" spans="1:19" x14ac:dyDescent="0.25">
      <c r="C3" s="27">
        <f>City!B19</f>
        <v>0.1</v>
      </c>
      <c r="D3" s="27">
        <f>City!B20</f>
        <v>0.15</v>
      </c>
      <c r="E3" s="38">
        <f>City!B21</f>
        <v>0.25</v>
      </c>
      <c r="S3" s="171" t="s">
        <v>369</v>
      </c>
    </row>
    <row r="4" spans="1:19" ht="30" x14ac:dyDescent="0.25">
      <c r="B4" t="s">
        <v>97</v>
      </c>
      <c r="C4" s="32" t="s">
        <v>35</v>
      </c>
      <c r="D4" s="32" t="s">
        <v>157</v>
      </c>
      <c r="E4" s="32" t="s">
        <v>36</v>
      </c>
      <c r="F4" s="32" t="s">
        <v>136</v>
      </c>
    </row>
    <row r="5" spans="1:19" x14ac:dyDescent="0.25">
      <c r="A5">
        <v>1</v>
      </c>
      <c r="B5">
        <f>City!B3</f>
        <v>2018</v>
      </c>
      <c r="C5" s="16">
        <f>MIN(MAX($A5-Inputs!$I$7-Inputs!$I$50,0),1)</f>
        <v>0</v>
      </c>
      <c r="D5" s="16">
        <f>MIN(MAX($A5-Inputs!$I$7-Inputs!$I$51,0),1)</f>
        <v>0</v>
      </c>
      <c r="E5" s="16">
        <f>MIN(MAX($A5-Inputs!$I$7-Inputs!$I$52,0),1)</f>
        <v>0</v>
      </c>
      <c r="F5" s="14">
        <f>SUMPRODUCT(C5:E5,C$3:E$3)</f>
        <v>0</v>
      </c>
    </row>
    <row r="6" spans="1:19" x14ac:dyDescent="0.25">
      <c r="A6">
        <f>A5+1</f>
        <v>2</v>
      </c>
      <c r="B6">
        <f>B5+1</f>
        <v>2019</v>
      </c>
      <c r="C6" s="16">
        <f>MIN(MAX($A6-Inputs!$I$7-Inputs!$I$50,0),1)</f>
        <v>0</v>
      </c>
      <c r="D6" s="16">
        <f>MIN(MAX($A6-Inputs!$I$7-Inputs!$I$51,0),1)</f>
        <v>0</v>
      </c>
      <c r="E6" s="16">
        <f>MIN(MAX($A6-Inputs!$I$7-Inputs!$I$52,0),1)</f>
        <v>0</v>
      </c>
      <c r="F6" s="14">
        <f t="shared" ref="F6:F57" si="0">SUMPRODUCT(C6:E6,C$3:E$3)</f>
        <v>0</v>
      </c>
    </row>
    <row r="7" spans="1:19" x14ac:dyDescent="0.25">
      <c r="A7">
        <f t="shared" ref="A7:B22" si="1">A6+1</f>
        <v>3</v>
      </c>
      <c r="B7">
        <f t="shared" si="1"/>
        <v>2020</v>
      </c>
      <c r="C7" s="16">
        <f>MIN(MAX($A7-Inputs!$I$7-Inputs!$I$50,0),1)</f>
        <v>0</v>
      </c>
      <c r="D7" s="16">
        <f>MIN(MAX($A7-Inputs!$I$7-Inputs!$I$51,0),1)</f>
        <v>0</v>
      </c>
      <c r="E7" s="16">
        <f>MIN(MAX($A7-Inputs!$I$7-Inputs!$I$52,0),1)</f>
        <v>0</v>
      </c>
      <c r="F7" s="14">
        <f t="shared" si="0"/>
        <v>0</v>
      </c>
    </row>
    <row r="8" spans="1:19" x14ac:dyDescent="0.25">
      <c r="A8">
        <f t="shared" si="1"/>
        <v>4</v>
      </c>
      <c r="B8">
        <f t="shared" si="1"/>
        <v>2021</v>
      </c>
      <c r="C8" s="16">
        <f>MIN(MAX($A8-Inputs!$I$7-Inputs!$I$50,0),1)</f>
        <v>0</v>
      </c>
      <c r="D8" s="16">
        <f>MIN(MAX($A8-Inputs!$I$7-Inputs!$I$51,0),1)</f>
        <v>0</v>
      </c>
      <c r="E8" s="16">
        <f>MIN(MAX($A8-Inputs!$I$7-Inputs!$I$52,0),1)</f>
        <v>0</v>
      </c>
      <c r="F8" s="14">
        <f t="shared" si="0"/>
        <v>0</v>
      </c>
    </row>
    <row r="9" spans="1:19" x14ac:dyDescent="0.25">
      <c r="A9">
        <f t="shared" si="1"/>
        <v>5</v>
      </c>
      <c r="B9">
        <f t="shared" si="1"/>
        <v>2022</v>
      </c>
      <c r="C9" s="16">
        <f>MIN(MAX($A9-Inputs!$I$7-Inputs!$I$50,0),1)</f>
        <v>0</v>
      </c>
      <c r="D9" s="16">
        <f>MIN(MAX($A9-Inputs!$I$7-Inputs!$I$51,0),1)</f>
        <v>0</v>
      </c>
      <c r="E9" s="16">
        <f>MIN(MAX($A9-Inputs!$I$7-Inputs!$I$52,0),1)</f>
        <v>0</v>
      </c>
      <c r="F9" s="14">
        <f t="shared" si="0"/>
        <v>0</v>
      </c>
    </row>
    <row r="10" spans="1:19" x14ac:dyDescent="0.25">
      <c r="A10">
        <f t="shared" si="1"/>
        <v>6</v>
      </c>
      <c r="B10">
        <f t="shared" si="1"/>
        <v>2023</v>
      </c>
      <c r="C10" s="16">
        <f>MIN(MAX($A10-Inputs!$I$7-Inputs!$I$50,0),1)</f>
        <v>0</v>
      </c>
      <c r="D10" s="16">
        <f>MIN(MAX($A10-Inputs!$I$7-Inputs!$I$51,0),1)</f>
        <v>0</v>
      </c>
      <c r="E10" s="16">
        <f>MIN(MAX($A10-Inputs!$I$7-Inputs!$I$52,0),1)</f>
        <v>0</v>
      </c>
      <c r="F10" s="14">
        <f t="shared" si="0"/>
        <v>0</v>
      </c>
    </row>
    <row r="11" spans="1:19" x14ac:dyDescent="0.25">
      <c r="A11">
        <f t="shared" si="1"/>
        <v>7</v>
      </c>
      <c r="B11">
        <f t="shared" si="1"/>
        <v>2024</v>
      </c>
      <c r="C11" s="16">
        <f>MIN(MAX($A11-Inputs!$I$7-Inputs!$I$50,0),1)</f>
        <v>0</v>
      </c>
      <c r="D11" s="16">
        <f>MIN(MAX($A11-Inputs!$I$7-Inputs!$I$51,0),1)</f>
        <v>0</v>
      </c>
      <c r="E11" s="16">
        <f>MIN(MAX($A11-Inputs!$I$7-Inputs!$I$52,0),1)</f>
        <v>0</v>
      </c>
      <c r="F11" s="14">
        <f t="shared" si="0"/>
        <v>0</v>
      </c>
    </row>
    <row r="12" spans="1:19" x14ac:dyDescent="0.25">
      <c r="A12">
        <f t="shared" si="1"/>
        <v>8</v>
      </c>
      <c r="B12">
        <f t="shared" si="1"/>
        <v>2025</v>
      </c>
      <c r="C12" s="16">
        <f>MIN(MAX($A12-Inputs!$I$7-Inputs!$I$50,0),1)</f>
        <v>0</v>
      </c>
      <c r="D12" s="16">
        <f>MIN(MAX($A12-Inputs!$I$7-Inputs!$I$51,0),1)</f>
        <v>0</v>
      </c>
      <c r="E12" s="16">
        <f>MIN(MAX($A12-Inputs!$I$7-Inputs!$I$52,0),1)</f>
        <v>0</v>
      </c>
      <c r="F12" s="14">
        <f t="shared" si="0"/>
        <v>0</v>
      </c>
    </row>
    <row r="13" spans="1:19" x14ac:dyDescent="0.25">
      <c r="A13">
        <f t="shared" si="1"/>
        <v>9</v>
      </c>
      <c r="B13">
        <f t="shared" si="1"/>
        <v>2026</v>
      </c>
      <c r="C13" s="16">
        <f>MIN(MAX($A13-Inputs!$I$7-Inputs!$I$50,0),1)</f>
        <v>0</v>
      </c>
      <c r="D13" s="16">
        <f>MIN(MAX($A13-Inputs!$I$7-Inputs!$I$51,0),1)</f>
        <v>0</v>
      </c>
      <c r="E13" s="16">
        <f>MIN(MAX($A13-Inputs!$I$7-Inputs!$I$52,0),1)</f>
        <v>0</v>
      </c>
      <c r="F13" s="14">
        <f t="shared" si="0"/>
        <v>0</v>
      </c>
    </row>
    <row r="14" spans="1:19" x14ac:dyDescent="0.25">
      <c r="A14">
        <f t="shared" si="1"/>
        <v>10</v>
      </c>
      <c r="B14">
        <f t="shared" si="1"/>
        <v>2027</v>
      </c>
      <c r="C14" s="16">
        <f>MIN(MAX($A14-Inputs!$I$7-Inputs!$I$50,0),1)</f>
        <v>0</v>
      </c>
      <c r="D14" s="16">
        <f>MIN(MAX($A14-Inputs!$I$7-Inputs!$I$51,0),1)</f>
        <v>0</v>
      </c>
      <c r="E14" s="16">
        <f>MIN(MAX($A14-Inputs!$I$7-Inputs!$I$52,0),1)</f>
        <v>0</v>
      </c>
      <c r="F14" s="14">
        <f t="shared" si="0"/>
        <v>0</v>
      </c>
    </row>
    <row r="15" spans="1:19" x14ac:dyDescent="0.25">
      <c r="A15">
        <f t="shared" si="1"/>
        <v>11</v>
      </c>
      <c r="B15">
        <f t="shared" si="1"/>
        <v>2028</v>
      </c>
      <c r="C15" s="16">
        <f>MIN(MAX($A15-Inputs!$I$7-Inputs!$I$50,0),1)</f>
        <v>0</v>
      </c>
      <c r="D15" s="16">
        <f>MIN(MAX($A15-Inputs!$I$7-Inputs!$I$51,0),1)</f>
        <v>0</v>
      </c>
      <c r="E15" s="16">
        <f>MIN(MAX($A15-Inputs!$I$7-Inputs!$I$52,0),1)</f>
        <v>0</v>
      </c>
      <c r="F15" s="14">
        <f t="shared" si="0"/>
        <v>0</v>
      </c>
    </row>
    <row r="16" spans="1:19" x14ac:dyDescent="0.25">
      <c r="A16">
        <f t="shared" si="1"/>
        <v>12</v>
      </c>
      <c r="B16">
        <f t="shared" si="1"/>
        <v>2029</v>
      </c>
      <c r="C16" s="16">
        <f>MIN(MAX($A16-Inputs!$I$7-Inputs!$I$50,0),1)</f>
        <v>0</v>
      </c>
      <c r="D16" s="16">
        <f>MIN(MAX($A16-Inputs!$I$7-Inputs!$I$51,0),1)</f>
        <v>0</v>
      </c>
      <c r="E16" s="16">
        <f>MIN(MAX($A16-Inputs!$I$7-Inputs!$I$52,0),1)</f>
        <v>0</v>
      </c>
      <c r="F16" s="14">
        <f t="shared" si="0"/>
        <v>0</v>
      </c>
    </row>
    <row r="17" spans="1:7" x14ac:dyDescent="0.25">
      <c r="A17">
        <f t="shared" si="1"/>
        <v>13</v>
      </c>
      <c r="B17">
        <f t="shared" si="1"/>
        <v>2030</v>
      </c>
      <c r="C17" s="16">
        <f>MIN(MAX($A17-Inputs!$I$7-Inputs!$I$50,0),1)</f>
        <v>0</v>
      </c>
      <c r="D17" s="16">
        <f>MIN(MAX($A17-Inputs!$I$7-Inputs!$I$51,0),1)</f>
        <v>0</v>
      </c>
      <c r="E17" s="16">
        <f>MIN(MAX($A17-Inputs!$I$7-Inputs!$I$52,0),1)</f>
        <v>0</v>
      </c>
      <c r="F17" s="14">
        <f t="shared" si="0"/>
        <v>0</v>
      </c>
    </row>
    <row r="18" spans="1:7" x14ac:dyDescent="0.25">
      <c r="A18">
        <f t="shared" si="1"/>
        <v>14</v>
      </c>
      <c r="B18">
        <f t="shared" si="1"/>
        <v>2031</v>
      </c>
      <c r="C18" s="16">
        <f>MIN(MAX($A18-Inputs!$I$7-Inputs!$I$50,0),1)</f>
        <v>0</v>
      </c>
      <c r="D18" s="16">
        <f>MIN(MAX($A18-Inputs!$I$7-Inputs!$I$51,0),1)</f>
        <v>0</v>
      </c>
      <c r="E18" s="16">
        <f>MIN(MAX($A18-Inputs!$I$7-Inputs!$I$52,0),1)</f>
        <v>0</v>
      </c>
      <c r="F18" s="14">
        <f t="shared" si="0"/>
        <v>0</v>
      </c>
    </row>
    <row r="19" spans="1:7" x14ac:dyDescent="0.25">
      <c r="A19">
        <f t="shared" si="1"/>
        <v>15</v>
      </c>
      <c r="B19">
        <f t="shared" si="1"/>
        <v>2032</v>
      </c>
      <c r="C19" s="16">
        <f>MIN(MAX($A19-Inputs!$I$7-Inputs!$I$50,0),1)</f>
        <v>0</v>
      </c>
      <c r="D19" s="16">
        <f>MIN(MAX($A19-Inputs!$I$7-Inputs!$I$51,0),1)</f>
        <v>0</v>
      </c>
      <c r="E19" s="16">
        <f>MIN(MAX($A19-Inputs!$I$7-Inputs!$I$52,0),1)</f>
        <v>0</v>
      </c>
      <c r="F19" s="14">
        <f t="shared" si="0"/>
        <v>0</v>
      </c>
    </row>
    <row r="20" spans="1:7" x14ac:dyDescent="0.25">
      <c r="A20">
        <f t="shared" si="1"/>
        <v>16</v>
      </c>
      <c r="B20">
        <f t="shared" si="1"/>
        <v>2033</v>
      </c>
      <c r="C20" s="16">
        <f>MIN(MAX($A20-Inputs!$I$7-Inputs!$I$50,0),1)</f>
        <v>0</v>
      </c>
      <c r="D20" s="16">
        <f>MIN(MAX($A20-Inputs!$I$7-Inputs!$I$51,0),1)</f>
        <v>0</v>
      </c>
      <c r="E20" s="16">
        <f>MIN(MAX($A20-Inputs!$I$7-Inputs!$I$52,0),1)</f>
        <v>0</v>
      </c>
      <c r="F20" s="14">
        <f t="shared" si="0"/>
        <v>0</v>
      </c>
    </row>
    <row r="21" spans="1:7" x14ac:dyDescent="0.25">
      <c r="A21">
        <f t="shared" si="1"/>
        <v>17</v>
      </c>
      <c r="B21">
        <f t="shared" si="1"/>
        <v>2034</v>
      </c>
      <c r="C21" s="16">
        <f>MIN(MAX($A21-Inputs!$I$7-Inputs!$I$50,0),1)</f>
        <v>0</v>
      </c>
      <c r="D21" s="16">
        <f>MIN(MAX($A21-Inputs!$I$7-Inputs!$I$51,0),1)</f>
        <v>0</v>
      </c>
      <c r="E21" s="16">
        <f>MIN(MAX($A21-Inputs!$I$7-Inputs!$I$52,0),1)</f>
        <v>0</v>
      </c>
      <c r="F21" s="14">
        <f t="shared" si="0"/>
        <v>0</v>
      </c>
    </row>
    <row r="22" spans="1:7" x14ac:dyDescent="0.25">
      <c r="A22">
        <f t="shared" si="1"/>
        <v>18</v>
      </c>
      <c r="B22">
        <f t="shared" si="1"/>
        <v>2035</v>
      </c>
      <c r="C22" s="16">
        <f>MIN(MAX($A22-Inputs!$I$7-Inputs!$I$50,0),1)</f>
        <v>0</v>
      </c>
      <c r="D22" s="16">
        <f>MIN(MAX($A22-Inputs!$I$7-Inputs!$I$51,0),1)</f>
        <v>0</v>
      </c>
      <c r="E22" s="16">
        <f>MIN(MAX($A22-Inputs!$I$7-Inputs!$I$52,0),1)</f>
        <v>0</v>
      </c>
      <c r="F22" s="14">
        <f t="shared" si="0"/>
        <v>0</v>
      </c>
    </row>
    <row r="23" spans="1:7" x14ac:dyDescent="0.25">
      <c r="A23">
        <f t="shared" ref="A23:B38" si="2">A22+1</f>
        <v>19</v>
      </c>
      <c r="B23">
        <f t="shared" si="2"/>
        <v>2036</v>
      </c>
      <c r="C23" s="16">
        <f>MIN(MAX($A23-Inputs!$I$7-Inputs!$I$50,0),1)</f>
        <v>1</v>
      </c>
      <c r="D23" s="16">
        <f>MIN(MAX($A23-Inputs!$I$7-Inputs!$I$51,0),1)</f>
        <v>0</v>
      </c>
      <c r="E23" s="16">
        <f>MIN(MAX($A23-Inputs!$I$7-Inputs!$I$52,0),1)</f>
        <v>0</v>
      </c>
      <c r="F23" s="14">
        <f t="shared" si="0"/>
        <v>0.1</v>
      </c>
    </row>
    <row r="24" spans="1:7" x14ac:dyDescent="0.25">
      <c r="A24">
        <f t="shared" si="2"/>
        <v>20</v>
      </c>
      <c r="B24">
        <f t="shared" si="2"/>
        <v>2037</v>
      </c>
      <c r="C24" s="16">
        <f>MIN(MAX($A24-Inputs!$I$7-Inputs!$I$50,0),1)</f>
        <v>1</v>
      </c>
      <c r="D24" s="16">
        <f>MIN(MAX($A24-Inputs!$I$7-Inputs!$I$51,0),1)</f>
        <v>0</v>
      </c>
      <c r="E24" s="16">
        <f>MIN(MAX($A24-Inputs!$I$7-Inputs!$I$52,0),1)</f>
        <v>0</v>
      </c>
      <c r="F24" s="14">
        <f t="shared" si="0"/>
        <v>0.1</v>
      </c>
    </row>
    <row r="25" spans="1:7" x14ac:dyDescent="0.25">
      <c r="A25">
        <f t="shared" si="2"/>
        <v>21</v>
      </c>
      <c r="B25">
        <f t="shared" si="2"/>
        <v>2038</v>
      </c>
      <c r="C25" s="16">
        <f>MIN(MAX($A25-Inputs!$I$7-Inputs!$I$50,0),1)</f>
        <v>1</v>
      </c>
      <c r="D25" s="16">
        <f>MIN(MAX($A25-Inputs!$I$7-Inputs!$I$51,0),1)</f>
        <v>1</v>
      </c>
      <c r="E25" s="16">
        <f>MIN(MAX($A25-Inputs!$I$7-Inputs!$I$52,0),1)</f>
        <v>0</v>
      </c>
      <c r="F25" s="14">
        <f t="shared" si="0"/>
        <v>0.25</v>
      </c>
    </row>
    <row r="26" spans="1:7" x14ac:dyDescent="0.25">
      <c r="A26">
        <f t="shared" si="2"/>
        <v>22</v>
      </c>
      <c r="B26">
        <f t="shared" si="2"/>
        <v>2039</v>
      </c>
      <c r="C26" s="16">
        <f>MIN(MAX($A26-Inputs!$I$7-Inputs!$I$50,0),1)</f>
        <v>1</v>
      </c>
      <c r="D26" s="16">
        <f>MIN(MAX($A26-Inputs!$I$7-Inputs!$I$51,0),1)</f>
        <v>1</v>
      </c>
      <c r="E26" s="16">
        <f>MIN(MAX($A26-Inputs!$I$7-Inputs!$I$52,0),1)</f>
        <v>0</v>
      </c>
      <c r="F26" s="14">
        <f t="shared" si="0"/>
        <v>0.25</v>
      </c>
    </row>
    <row r="27" spans="1:7" x14ac:dyDescent="0.25">
      <c r="A27">
        <f t="shared" si="2"/>
        <v>23</v>
      </c>
      <c r="B27">
        <f t="shared" si="2"/>
        <v>2040</v>
      </c>
      <c r="C27" s="16">
        <f>MIN(MAX($A27-Inputs!$I$7-Inputs!$I$50,0),1)</f>
        <v>1</v>
      </c>
      <c r="D27" s="16">
        <f>MIN(MAX($A27-Inputs!$I$7-Inputs!$I$51,0),1)</f>
        <v>1</v>
      </c>
      <c r="E27" s="16">
        <f>MIN(MAX($A27-Inputs!$I$7-Inputs!$I$52,0),1)</f>
        <v>0</v>
      </c>
      <c r="F27" s="14">
        <f t="shared" si="0"/>
        <v>0.25</v>
      </c>
    </row>
    <row r="28" spans="1:7" x14ac:dyDescent="0.25">
      <c r="A28">
        <f t="shared" si="2"/>
        <v>24</v>
      </c>
      <c r="B28">
        <f t="shared" si="2"/>
        <v>2041</v>
      </c>
      <c r="C28" s="16">
        <f>MIN(MAX($A28-Inputs!$I$7-Inputs!$I$50,0),1)</f>
        <v>1</v>
      </c>
      <c r="D28" s="16">
        <f>MIN(MAX($A28-Inputs!$I$7-Inputs!$I$51,0),1)</f>
        <v>1</v>
      </c>
      <c r="E28" s="16">
        <f>MIN(MAX($A28-Inputs!$I$7-Inputs!$I$52,0),1)</f>
        <v>0</v>
      </c>
      <c r="F28" s="14">
        <f t="shared" si="0"/>
        <v>0.25</v>
      </c>
      <c r="G28" s="2"/>
    </row>
    <row r="29" spans="1:7" x14ac:dyDescent="0.25">
      <c r="A29">
        <f t="shared" si="2"/>
        <v>25</v>
      </c>
      <c r="B29">
        <f t="shared" si="2"/>
        <v>2042</v>
      </c>
      <c r="C29" s="16">
        <f>MIN(MAX($A29-Inputs!$I$7-Inputs!$I$50,0),1)</f>
        <v>1</v>
      </c>
      <c r="D29" s="16">
        <f>MIN(MAX($A29-Inputs!$I$7-Inputs!$I$51,0),1)</f>
        <v>1</v>
      </c>
      <c r="E29" s="16">
        <f>MIN(MAX($A29-Inputs!$I$7-Inputs!$I$52,0),1)</f>
        <v>0</v>
      </c>
      <c r="F29" s="14">
        <f t="shared" si="0"/>
        <v>0.25</v>
      </c>
      <c r="G29" s="2"/>
    </row>
    <row r="30" spans="1:7" x14ac:dyDescent="0.25">
      <c r="A30">
        <f t="shared" si="2"/>
        <v>26</v>
      </c>
      <c r="B30">
        <f t="shared" si="2"/>
        <v>2043</v>
      </c>
      <c r="C30" s="16">
        <f>MIN(MAX($A30-Inputs!$I$7-Inputs!$I$50,0),1)</f>
        <v>1</v>
      </c>
      <c r="D30" s="16">
        <f>MIN(MAX($A30-Inputs!$I$7-Inputs!$I$51,0),1)</f>
        <v>1</v>
      </c>
      <c r="E30" s="16">
        <f>MIN(MAX($A30-Inputs!$I$7-Inputs!$I$52,0),1)</f>
        <v>0</v>
      </c>
      <c r="F30" s="14">
        <f t="shared" si="0"/>
        <v>0.25</v>
      </c>
      <c r="G30" s="2"/>
    </row>
    <row r="31" spans="1:7" x14ac:dyDescent="0.25">
      <c r="A31">
        <f t="shared" si="2"/>
        <v>27</v>
      </c>
      <c r="B31">
        <f t="shared" si="2"/>
        <v>2044</v>
      </c>
      <c r="C31" s="16">
        <f>MIN(MAX($A31-Inputs!$I$7-Inputs!$I$50,0),1)</f>
        <v>1</v>
      </c>
      <c r="D31" s="16">
        <f>MIN(MAX($A31-Inputs!$I$7-Inputs!$I$51,0),1)</f>
        <v>1</v>
      </c>
      <c r="E31" s="16">
        <f>MIN(MAX($A31-Inputs!$I$7-Inputs!$I$52,0),1)</f>
        <v>0</v>
      </c>
      <c r="F31" s="14">
        <f t="shared" si="0"/>
        <v>0.25</v>
      </c>
    </row>
    <row r="32" spans="1:7" x14ac:dyDescent="0.25">
      <c r="A32">
        <f t="shared" si="2"/>
        <v>28</v>
      </c>
      <c r="B32">
        <f t="shared" si="2"/>
        <v>2045</v>
      </c>
      <c r="C32" s="16">
        <f>MIN(MAX($A32-Inputs!$I$7-Inputs!$I$50,0),1)</f>
        <v>1</v>
      </c>
      <c r="D32" s="16">
        <f>MIN(MAX($A32-Inputs!$I$7-Inputs!$I$51,0),1)</f>
        <v>1</v>
      </c>
      <c r="E32" s="16">
        <f>MIN(MAX($A32-Inputs!$I$7-Inputs!$I$52,0),1)</f>
        <v>0</v>
      </c>
      <c r="F32" s="14">
        <f t="shared" si="0"/>
        <v>0.25</v>
      </c>
    </row>
    <row r="33" spans="1:6" x14ac:dyDescent="0.25">
      <c r="A33">
        <f t="shared" si="2"/>
        <v>29</v>
      </c>
      <c r="B33">
        <f t="shared" si="2"/>
        <v>2046</v>
      </c>
      <c r="C33" s="16">
        <f>MIN(MAX($A33-Inputs!$I$7-Inputs!$I$50,0),1)</f>
        <v>1</v>
      </c>
      <c r="D33" s="16">
        <f>MIN(MAX($A33-Inputs!$I$7-Inputs!$I$51,0),1)</f>
        <v>1</v>
      </c>
      <c r="E33" s="16">
        <f>MIN(MAX($A33-Inputs!$I$7-Inputs!$I$52,0),1)</f>
        <v>0</v>
      </c>
      <c r="F33" s="14">
        <f t="shared" si="0"/>
        <v>0.25</v>
      </c>
    </row>
    <row r="34" spans="1:6" x14ac:dyDescent="0.25">
      <c r="A34">
        <f t="shared" si="2"/>
        <v>30</v>
      </c>
      <c r="B34">
        <f t="shared" si="2"/>
        <v>2047</v>
      </c>
      <c r="C34" s="16">
        <f>MIN(MAX($A34-Inputs!$I$7-Inputs!$I$50,0),1)</f>
        <v>1</v>
      </c>
      <c r="D34" s="16">
        <f>MIN(MAX($A34-Inputs!$I$7-Inputs!$I$51,0),1)</f>
        <v>1</v>
      </c>
      <c r="E34" s="16">
        <f>MIN(MAX($A34-Inputs!$I$7-Inputs!$I$52,0),1)</f>
        <v>0</v>
      </c>
      <c r="F34" s="14">
        <f t="shared" si="0"/>
        <v>0.25</v>
      </c>
    </row>
    <row r="35" spans="1:6" x14ac:dyDescent="0.25">
      <c r="A35">
        <f t="shared" si="2"/>
        <v>31</v>
      </c>
      <c r="B35">
        <f t="shared" si="2"/>
        <v>2048</v>
      </c>
      <c r="C35" s="16">
        <f>MIN(MAX($A35-Inputs!$I$7-Inputs!$I$50,0),1)</f>
        <v>1</v>
      </c>
      <c r="D35" s="16">
        <f>MIN(MAX($A35-Inputs!$I$7-Inputs!$I$51,0),1)</f>
        <v>1</v>
      </c>
      <c r="E35" s="16">
        <f>MIN(MAX($A35-Inputs!$I$7-Inputs!$I$52,0),1)</f>
        <v>0</v>
      </c>
      <c r="F35" s="14">
        <f t="shared" si="0"/>
        <v>0.25</v>
      </c>
    </row>
    <row r="36" spans="1:6" x14ac:dyDescent="0.25">
      <c r="A36">
        <f t="shared" si="2"/>
        <v>32</v>
      </c>
      <c r="B36">
        <f t="shared" si="2"/>
        <v>2049</v>
      </c>
      <c r="C36" s="16">
        <f>MIN(MAX($A36-Inputs!$I$7-Inputs!$I$50,0),1)</f>
        <v>1</v>
      </c>
      <c r="D36" s="16">
        <f>MIN(MAX($A36-Inputs!$I$7-Inputs!$I$51,0),1)</f>
        <v>1</v>
      </c>
      <c r="E36" s="16">
        <f>MIN(MAX($A36-Inputs!$I$7-Inputs!$I$52,0),1)</f>
        <v>0</v>
      </c>
      <c r="F36" s="14">
        <f t="shared" si="0"/>
        <v>0.25</v>
      </c>
    </row>
    <row r="37" spans="1:6" x14ac:dyDescent="0.25">
      <c r="A37">
        <f t="shared" si="2"/>
        <v>33</v>
      </c>
      <c r="B37">
        <f t="shared" si="2"/>
        <v>2050</v>
      </c>
      <c r="C37" s="16">
        <f>MIN(MAX($A37-Inputs!$I$7-Inputs!$I$50,0),1)</f>
        <v>1</v>
      </c>
      <c r="D37" s="16">
        <f>MIN(MAX($A37-Inputs!$I$7-Inputs!$I$51,0),1)</f>
        <v>1</v>
      </c>
      <c r="E37" s="16">
        <f>MIN(MAX($A37-Inputs!$I$7-Inputs!$I$52,0),1)</f>
        <v>0</v>
      </c>
      <c r="F37" s="14">
        <f t="shared" si="0"/>
        <v>0.25</v>
      </c>
    </row>
    <row r="38" spans="1:6" x14ac:dyDescent="0.25">
      <c r="A38">
        <f t="shared" si="2"/>
        <v>34</v>
      </c>
      <c r="B38">
        <f t="shared" si="2"/>
        <v>2051</v>
      </c>
      <c r="C38" s="16">
        <f>MIN(MAX($A38-Inputs!$I$7-Inputs!$I$50,0),1)</f>
        <v>1</v>
      </c>
      <c r="D38" s="16">
        <f>MIN(MAX($A38-Inputs!$I$7-Inputs!$I$51,0),1)</f>
        <v>1</v>
      </c>
      <c r="E38" s="16">
        <f>MIN(MAX($A38-Inputs!$I$7-Inputs!$I$52,0),1)</f>
        <v>0</v>
      </c>
      <c r="F38" s="14">
        <f t="shared" si="0"/>
        <v>0.25</v>
      </c>
    </row>
    <row r="39" spans="1:6" x14ac:dyDescent="0.25">
      <c r="A39">
        <f t="shared" ref="A39:B54" si="3">A38+1</f>
        <v>35</v>
      </c>
      <c r="B39">
        <f t="shared" si="3"/>
        <v>2052</v>
      </c>
      <c r="C39" s="16">
        <f>MIN(MAX($A39-Inputs!$I$7-Inputs!$I$50,0),1)</f>
        <v>1</v>
      </c>
      <c r="D39" s="16">
        <f>MIN(MAX($A39-Inputs!$I$7-Inputs!$I$51,0),1)</f>
        <v>1</v>
      </c>
      <c r="E39" s="16">
        <f>MIN(MAX($A39-Inputs!$I$7-Inputs!$I$52,0),1)</f>
        <v>0</v>
      </c>
      <c r="F39" s="14">
        <f t="shared" si="0"/>
        <v>0.25</v>
      </c>
    </row>
    <row r="40" spans="1:6" x14ac:dyDescent="0.25">
      <c r="A40">
        <f t="shared" si="3"/>
        <v>36</v>
      </c>
      <c r="B40">
        <f t="shared" si="3"/>
        <v>2053</v>
      </c>
      <c r="C40" s="16">
        <f>MIN(MAX($A40-Inputs!$I$7-Inputs!$I$50,0),1)</f>
        <v>1</v>
      </c>
      <c r="D40" s="16">
        <f>MIN(MAX($A40-Inputs!$I$7-Inputs!$I$51,0),1)</f>
        <v>1</v>
      </c>
      <c r="E40" s="16">
        <f>MIN(MAX($A40-Inputs!$I$7-Inputs!$I$52,0),1)</f>
        <v>0</v>
      </c>
      <c r="F40" s="14">
        <f t="shared" si="0"/>
        <v>0.25</v>
      </c>
    </row>
    <row r="41" spans="1:6" x14ac:dyDescent="0.25">
      <c r="A41">
        <f t="shared" si="3"/>
        <v>37</v>
      </c>
      <c r="B41">
        <f t="shared" si="3"/>
        <v>2054</v>
      </c>
      <c r="C41" s="16">
        <f>MIN(MAX($A41-Inputs!$I$7-Inputs!$I$50,0),1)</f>
        <v>1</v>
      </c>
      <c r="D41" s="16">
        <f>MIN(MAX($A41-Inputs!$I$7-Inputs!$I$51,0),1)</f>
        <v>1</v>
      </c>
      <c r="E41" s="16">
        <f>MIN(MAX($A41-Inputs!$I$7-Inputs!$I$52,0),1)</f>
        <v>0</v>
      </c>
      <c r="F41" s="14">
        <f t="shared" si="0"/>
        <v>0.25</v>
      </c>
    </row>
    <row r="42" spans="1:6" x14ac:dyDescent="0.25">
      <c r="A42">
        <f t="shared" si="3"/>
        <v>38</v>
      </c>
      <c r="B42">
        <f t="shared" si="3"/>
        <v>2055</v>
      </c>
      <c r="C42" s="16">
        <f>MIN(MAX($A42-Inputs!$I$7-Inputs!$I$50,0),1)</f>
        <v>1</v>
      </c>
      <c r="D42" s="16">
        <f>MIN(MAX($A42-Inputs!$I$7-Inputs!$I$51,0),1)</f>
        <v>1</v>
      </c>
      <c r="E42" s="16">
        <f>MIN(MAX($A42-Inputs!$I$7-Inputs!$I$52,0),1)</f>
        <v>0</v>
      </c>
      <c r="F42" s="14">
        <f t="shared" si="0"/>
        <v>0.25</v>
      </c>
    </row>
    <row r="43" spans="1:6" x14ac:dyDescent="0.25">
      <c r="A43">
        <f t="shared" si="3"/>
        <v>39</v>
      </c>
      <c r="B43">
        <f t="shared" si="3"/>
        <v>2056</v>
      </c>
      <c r="C43" s="16">
        <f>MIN(MAX($A43-Inputs!$I$7-Inputs!$I$50,0),1)</f>
        <v>1</v>
      </c>
      <c r="D43" s="16">
        <f>MIN(MAX($A43-Inputs!$I$7-Inputs!$I$51,0),1)</f>
        <v>1</v>
      </c>
      <c r="E43" s="16">
        <f>MIN(MAX($A43-Inputs!$I$7-Inputs!$I$52,0),1)</f>
        <v>0</v>
      </c>
      <c r="F43" s="14">
        <f t="shared" si="0"/>
        <v>0.25</v>
      </c>
    </row>
    <row r="44" spans="1:6" x14ac:dyDescent="0.25">
      <c r="A44">
        <f t="shared" si="3"/>
        <v>40</v>
      </c>
      <c r="B44">
        <f t="shared" si="3"/>
        <v>2057</v>
      </c>
      <c r="C44" s="16">
        <f>MIN(MAX($A44-Inputs!$I$7-Inputs!$I$50,0),1)</f>
        <v>1</v>
      </c>
      <c r="D44" s="16">
        <f>MIN(MAX($A44-Inputs!$I$7-Inputs!$I$51,0),1)</f>
        <v>1</v>
      </c>
      <c r="E44" s="16">
        <f>MIN(MAX($A44-Inputs!$I$7-Inputs!$I$52,0),1)</f>
        <v>0</v>
      </c>
      <c r="F44" s="14">
        <f t="shared" si="0"/>
        <v>0.25</v>
      </c>
    </row>
    <row r="45" spans="1:6" x14ac:dyDescent="0.25">
      <c r="A45">
        <f t="shared" si="3"/>
        <v>41</v>
      </c>
      <c r="B45">
        <f t="shared" si="3"/>
        <v>2058</v>
      </c>
      <c r="C45" s="16">
        <f>MIN(MAX($A45-Inputs!$I$7-Inputs!$I$50,0),1)</f>
        <v>1</v>
      </c>
      <c r="D45" s="16">
        <f>MIN(MAX($A45-Inputs!$I$7-Inputs!$I$51,0),1)</f>
        <v>1</v>
      </c>
      <c r="E45" s="16">
        <f>MIN(MAX($A45-Inputs!$I$7-Inputs!$I$52,0),1)</f>
        <v>0</v>
      </c>
      <c r="F45" s="14">
        <f t="shared" si="0"/>
        <v>0.25</v>
      </c>
    </row>
    <row r="46" spans="1:6" x14ac:dyDescent="0.25">
      <c r="A46">
        <f t="shared" si="3"/>
        <v>42</v>
      </c>
      <c r="B46">
        <f t="shared" si="3"/>
        <v>2059</v>
      </c>
      <c r="C46" s="16">
        <f>MIN(MAX($A46-Inputs!$I$7-Inputs!$I$50,0),1)</f>
        <v>1</v>
      </c>
      <c r="D46" s="16">
        <f>MIN(MAX($A46-Inputs!$I$7-Inputs!$I$51,0),1)</f>
        <v>1</v>
      </c>
      <c r="E46" s="16">
        <f>MIN(MAX($A46-Inputs!$I$7-Inputs!$I$52,0),1)</f>
        <v>0</v>
      </c>
      <c r="F46" s="14">
        <f t="shared" si="0"/>
        <v>0.25</v>
      </c>
    </row>
    <row r="47" spans="1:6" x14ac:dyDescent="0.25">
      <c r="A47">
        <f t="shared" si="3"/>
        <v>43</v>
      </c>
      <c r="B47">
        <f t="shared" si="3"/>
        <v>2060</v>
      </c>
      <c r="C47" s="16">
        <f>MIN(MAX($A47-Inputs!$I$7-Inputs!$I$50,0),1)</f>
        <v>1</v>
      </c>
      <c r="D47" s="16">
        <f>MIN(MAX($A47-Inputs!$I$7-Inputs!$I$51,0),1)</f>
        <v>1</v>
      </c>
      <c r="E47" s="16">
        <f>MIN(MAX($A47-Inputs!$I$7-Inputs!$I$52,0),1)</f>
        <v>0</v>
      </c>
      <c r="F47" s="14">
        <f t="shared" si="0"/>
        <v>0.25</v>
      </c>
    </row>
    <row r="48" spans="1:6" x14ac:dyDescent="0.25">
      <c r="A48">
        <f t="shared" si="3"/>
        <v>44</v>
      </c>
      <c r="B48">
        <f t="shared" si="3"/>
        <v>2061</v>
      </c>
      <c r="C48" s="16">
        <f>MIN(MAX($A48-Inputs!$I$7-Inputs!$I$50,0),1)</f>
        <v>1</v>
      </c>
      <c r="D48" s="16">
        <f>MIN(MAX($A48-Inputs!$I$7-Inputs!$I$51,0),1)</f>
        <v>1</v>
      </c>
      <c r="E48" s="16">
        <f>MIN(MAX($A48-Inputs!$I$7-Inputs!$I$52,0),1)</f>
        <v>0</v>
      </c>
      <c r="F48" s="14">
        <f t="shared" si="0"/>
        <v>0.25</v>
      </c>
    </row>
    <row r="49" spans="1:6" x14ac:dyDescent="0.25">
      <c r="A49">
        <f t="shared" si="3"/>
        <v>45</v>
      </c>
      <c r="B49">
        <f t="shared" si="3"/>
        <v>2062</v>
      </c>
      <c r="C49" s="16">
        <f>MIN(MAX($A49-Inputs!$I$7-Inputs!$I$50,0),1)</f>
        <v>1</v>
      </c>
      <c r="D49" s="16">
        <f>MIN(MAX($A49-Inputs!$I$7-Inputs!$I$51,0),1)</f>
        <v>1</v>
      </c>
      <c r="E49" s="16">
        <f>MIN(MAX($A49-Inputs!$I$7-Inputs!$I$52,0),1)</f>
        <v>0</v>
      </c>
      <c r="F49" s="14">
        <f t="shared" si="0"/>
        <v>0.25</v>
      </c>
    </row>
    <row r="50" spans="1:6" x14ac:dyDescent="0.25">
      <c r="A50">
        <f t="shared" si="3"/>
        <v>46</v>
      </c>
      <c r="B50">
        <f t="shared" si="3"/>
        <v>2063</v>
      </c>
      <c r="C50" s="16">
        <f>MIN(MAX($A50-Inputs!$I$7-Inputs!$I$50,0),1)</f>
        <v>1</v>
      </c>
      <c r="D50" s="16">
        <f>MIN(MAX($A50-Inputs!$I$7-Inputs!$I$51,0),1)</f>
        <v>1</v>
      </c>
      <c r="E50" s="16">
        <f>MIN(MAX($A50-Inputs!$I$7-Inputs!$I$52,0),1)</f>
        <v>0</v>
      </c>
      <c r="F50" s="14">
        <f t="shared" si="0"/>
        <v>0.25</v>
      </c>
    </row>
    <row r="51" spans="1:6" x14ac:dyDescent="0.25">
      <c r="A51">
        <f t="shared" si="3"/>
        <v>47</v>
      </c>
      <c r="B51">
        <f t="shared" si="3"/>
        <v>2064</v>
      </c>
      <c r="C51" s="16">
        <f>MIN(MAX($A51-Inputs!$I$7-Inputs!$I$50,0),1)</f>
        <v>1</v>
      </c>
      <c r="D51" s="16">
        <f>MIN(MAX($A51-Inputs!$I$7-Inputs!$I$51,0),1)</f>
        <v>1</v>
      </c>
      <c r="E51" s="16">
        <f>MIN(MAX($A51-Inputs!$I$7-Inputs!$I$52,0),1)</f>
        <v>0</v>
      </c>
      <c r="F51" s="14">
        <f t="shared" si="0"/>
        <v>0.25</v>
      </c>
    </row>
    <row r="52" spans="1:6" x14ac:dyDescent="0.25">
      <c r="A52">
        <f t="shared" si="3"/>
        <v>48</v>
      </c>
      <c r="B52">
        <f t="shared" si="3"/>
        <v>2065</v>
      </c>
      <c r="C52" s="16">
        <f>MIN(MAX($A52-Inputs!$I$7-Inputs!$I$50,0),1)</f>
        <v>1</v>
      </c>
      <c r="D52" s="16">
        <f>MIN(MAX($A52-Inputs!$I$7-Inputs!$I$51,0),1)</f>
        <v>1</v>
      </c>
      <c r="E52" s="16">
        <f>MIN(MAX($A52-Inputs!$I$7-Inputs!$I$52,0),1)</f>
        <v>0</v>
      </c>
      <c r="F52" s="14">
        <f t="shared" si="0"/>
        <v>0.25</v>
      </c>
    </row>
    <row r="53" spans="1:6" x14ac:dyDescent="0.25">
      <c r="A53">
        <f t="shared" si="3"/>
        <v>49</v>
      </c>
      <c r="B53">
        <f t="shared" si="3"/>
        <v>2066</v>
      </c>
      <c r="C53" s="16">
        <f>MIN(MAX($A53-Inputs!$I$7-Inputs!$I$50,0),1)</f>
        <v>1</v>
      </c>
      <c r="D53" s="16">
        <f>MIN(MAX($A53-Inputs!$I$7-Inputs!$I$51,0),1)</f>
        <v>1</v>
      </c>
      <c r="E53" s="16">
        <f>MIN(MAX($A53-Inputs!$I$7-Inputs!$I$52,0),1)</f>
        <v>0</v>
      </c>
      <c r="F53" s="14">
        <f t="shared" si="0"/>
        <v>0.25</v>
      </c>
    </row>
    <row r="54" spans="1:6" x14ac:dyDescent="0.25">
      <c r="A54">
        <f t="shared" si="3"/>
        <v>50</v>
      </c>
      <c r="B54">
        <f t="shared" si="3"/>
        <v>2067</v>
      </c>
      <c r="C54" s="16">
        <f>MIN(MAX($A54-Inputs!$I$7-Inputs!$I$50,0),1)</f>
        <v>1</v>
      </c>
      <c r="D54" s="16">
        <f>MIN(MAX($A54-Inputs!$I$7-Inputs!$I$51,0),1)</f>
        <v>1</v>
      </c>
      <c r="E54" s="16">
        <f>MIN(MAX($A54-Inputs!$I$7-Inputs!$I$52,0),1)</f>
        <v>0</v>
      </c>
      <c r="F54" s="14">
        <f t="shared" si="0"/>
        <v>0.25</v>
      </c>
    </row>
    <row r="55" spans="1:6" x14ac:dyDescent="0.25">
      <c r="A55">
        <f t="shared" ref="A55:B57" si="4">A54+1</f>
        <v>51</v>
      </c>
      <c r="B55">
        <f t="shared" si="4"/>
        <v>2068</v>
      </c>
      <c r="C55" s="16">
        <f>MIN(MAX($A55-Inputs!$I$7-Inputs!$I$50,0),1)</f>
        <v>1</v>
      </c>
      <c r="D55" s="16">
        <f>MIN(MAX($A55-Inputs!$I$7-Inputs!$I$51,0),1)</f>
        <v>1</v>
      </c>
      <c r="E55" s="16">
        <f>MIN(MAX($A55-Inputs!$I$7-Inputs!$I$52,0),1)</f>
        <v>0</v>
      </c>
      <c r="F55" s="14">
        <f t="shared" si="0"/>
        <v>0.25</v>
      </c>
    </row>
    <row r="56" spans="1:6" x14ac:dyDescent="0.25">
      <c r="A56">
        <f t="shared" si="4"/>
        <v>52</v>
      </c>
      <c r="B56">
        <f t="shared" si="4"/>
        <v>2069</v>
      </c>
      <c r="C56" s="16">
        <f>MIN(MAX($A56-Inputs!$I$7-Inputs!$I$50,0),1)</f>
        <v>1</v>
      </c>
      <c r="D56" s="16">
        <f>MIN(MAX($A56-Inputs!$I$7-Inputs!$I$51,0),1)</f>
        <v>1</v>
      </c>
      <c r="E56" s="16">
        <f>MIN(MAX($A56-Inputs!$I$7-Inputs!$I$52,0),1)</f>
        <v>0</v>
      </c>
      <c r="F56" s="14">
        <f t="shared" si="0"/>
        <v>0.25</v>
      </c>
    </row>
    <row r="57" spans="1:6" x14ac:dyDescent="0.25">
      <c r="A57">
        <f t="shared" si="4"/>
        <v>53</v>
      </c>
      <c r="B57">
        <f t="shared" si="4"/>
        <v>2070</v>
      </c>
      <c r="C57" s="16">
        <f>MIN(MAX($A57-Inputs!$I$7-Inputs!$I$50,0),1)</f>
        <v>1</v>
      </c>
      <c r="D57" s="16">
        <f>MIN(MAX($A57-Inputs!$I$7-Inputs!$I$51,0),1)</f>
        <v>1</v>
      </c>
      <c r="E57" s="16">
        <f>MIN(MAX($A57-Inputs!$I$7-Inputs!$I$52,0),1)</f>
        <v>0</v>
      </c>
      <c r="F57" s="14">
        <f t="shared" si="0"/>
        <v>0.25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57"/>
  <sheetViews>
    <sheetView workbookViewId="0">
      <selection activeCell="I15" sqref="I15"/>
    </sheetView>
  </sheetViews>
  <sheetFormatPr defaultRowHeight="15" x14ac:dyDescent="0.25"/>
  <cols>
    <col min="1" max="1" width="9.7109375" customWidth="1"/>
    <col min="2" max="2" width="11.140625" customWidth="1"/>
    <col min="3" max="3" width="10.7109375" customWidth="1"/>
    <col min="4" max="4" width="10.5703125" customWidth="1"/>
    <col min="5" max="5" width="9.7109375" customWidth="1"/>
    <col min="6" max="6" width="9.140625" customWidth="1"/>
    <col min="7" max="7" width="11" customWidth="1"/>
    <col min="8" max="8" width="10.28515625" customWidth="1"/>
    <col min="10" max="10" width="11.140625" customWidth="1"/>
    <col min="12" max="12" width="10.7109375" customWidth="1"/>
    <col min="13" max="13" width="10.85546875" customWidth="1"/>
  </cols>
  <sheetData>
    <row r="1" spans="1:19" ht="15.75" x14ac:dyDescent="0.25">
      <c r="A1" s="26" t="s">
        <v>148</v>
      </c>
    </row>
    <row r="2" spans="1:19" x14ac:dyDescent="0.25">
      <c r="A2" s="36" t="s">
        <v>106</v>
      </c>
      <c r="B2" s="36" t="s">
        <v>151</v>
      </c>
      <c r="C2" s="37">
        <f>City!B16</f>
        <v>0.35</v>
      </c>
      <c r="D2" s="38">
        <f>City!B17</f>
        <v>0.65</v>
      </c>
      <c r="E2" s="38">
        <f>City!B16</f>
        <v>0.35</v>
      </c>
      <c r="F2" s="38">
        <f>City!B17</f>
        <v>0.65</v>
      </c>
      <c r="G2" s="38">
        <f>City!B16</f>
        <v>0.35</v>
      </c>
      <c r="H2" s="38">
        <f>City!B17</f>
        <v>0.65</v>
      </c>
    </row>
    <row r="3" spans="1:19" x14ac:dyDescent="0.25">
      <c r="A3" s="35" t="s">
        <v>106</v>
      </c>
      <c r="B3" s="12" t="s">
        <v>150</v>
      </c>
      <c r="C3" s="27">
        <f>City!B10</f>
        <v>0.1</v>
      </c>
      <c r="D3" s="27">
        <f>City!B10</f>
        <v>0.1</v>
      </c>
      <c r="E3" s="27">
        <f>City!B11</f>
        <v>0.25</v>
      </c>
      <c r="F3" s="27">
        <f>City!B11</f>
        <v>0.25</v>
      </c>
      <c r="G3" s="27">
        <f>City!B12</f>
        <v>0.1</v>
      </c>
      <c r="H3" s="27">
        <f>City!B12</f>
        <v>0.1</v>
      </c>
      <c r="S3" s="171" t="s">
        <v>369</v>
      </c>
    </row>
    <row r="4" spans="1:19" ht="45" x14ac:dyDescent="0.25">
      <c r="B4" s="1" t="s">
        <v>97</v>
      </c>
      <c r="C4" s="5" t="s">
        <v>214</v>
      </c>
      <c r="D4" s="5" t="s">
        <v>215</v>
      </c>
      <c r="E4" s="5" t="s">
        <v>54</v>
      </c>
      <c r="F4" s="5" t="s">
        <v>55</v>
      </c>
      <c r="G4" s="5" t="s">
        <v>56</v>
      </c>
      <c r="H4" s="5" t="s">
        <v>57</v>
      </c>
      <c r="I4" s="124" t="s">
        <v>136</v>
      </c>
      <c r="J4" s="104" t="str">
        <f>City!$A$10</f>
        <v>Downtown</v>
      </c>
      <c r="K4" s="104" t="str">
        <f>City!$A$11</f>
        <v>Urban</v>
      </c>
      <c r="L4" s="103" t="str">
        <f>City!$A$12</f>
        <v>Suburban Business</v>
      </c>
      <c r="M4" s="103" t="str">
        <f>City!$A$13</f>
        <v>Suburban Residential</v>
      </c>
      <c r="N4" s="79" t="str">
        <f>City!$A$14</f>
        <v>Rural</v>
      </c>
    </row>
    <row r="5" spans="1:19" x14ac:dyDescent="0.25">
      <c r="A5">
        <v>1</v>
      </c>
      <c r="B5">
        <f>City!B3</f>
        <v>2018</v>
      </c>
      <c r="C5" s="16">
        <f>MIN(MAX($A5-Inputs!$I$56,0),1)*Inputs!I$57</f>
        <v>0</v>
      </c>
      <c r="D5" s="16">
        <f>MIN(MAX($A5-Inputs!$I$56,0),1)*Inputs!I$58</f>
        <v>0</v>
      </c>
      <c r="E5" s="16">
        <f>MIN(MAX($A5-Inputs!$I$56,0),1)*Inputs!I$59</f>
        <v>0</v>
      </c>
      <c r="F5" s="16">
        <f>MIN(MAX($A5-Inputs!$I$56,0),1)*Inputs!I$60</f>
        <v>0</v>
      </c>
      <c r="G5" s="16">
        <f>MIN(MAX($A5-Inputs!$I$56,0),1)*Inputs!I$61</f>
        <v>0</v>
      </c>
      <c r="H5" s="16">
        <f>MIN(MAX($A5-Inputs!$I$56,0),1)*Inputs!I$62</f>
        <v>0</v>
      </c>
      <c r="I5" s="125">
        <f>SUMPRODUCT(C5:H5,C$3:H$3,C$2:H$2)</f>
        <v>0</v>
      </c>
      <c r="J5" s="13">
        <f>$C$2*C5+$D$2*D5</f>
        <v>0</v>
      </c>
      <c r="K5" s="13">
        <f>$E$2*E5+$F$2*F5</f>
        <v>0</v>
      </c>
      <c r="L5" s="13">
        <f>$G$2*G5+$H$2*H5</f>
        <v>0</v>
      </c>
      <c r="M5" s="16">
        <v>0</v>
      </c>
      <c r="N5" s="16">
        <v>0</v>
      </c>
    </row>
    <row r="6" spans="1:19" x14ac:dyDescent="0.25">
      <c r="A6">
        <f>A5+1</f>
        <v>2</v>
      </c>
      <c r="B6">
        <f>B5+1</f>
        <v>2019</v>
      </c>
      <c r="C6" s="16">
        <f>MIN(MAX($A6-Inputs!$I$56,0),1)*Inputs!I$57</f>
        <v>0</v>
      </c>
      <c r="D6" s="16">
        <f>MIN(MAX($A6-Inputs!$I$56,0),1)*Inputs!I$58</f>
        <v>0</v>
      </c>
      <c r="E6" s="16">
        <f>MIN(MAX($A6-Inputs!$I$56,0),1)*Inputs!I$59</f>
        <v>0</v>
      </c>
      <c r="F6" s="16">
        <f>MIN(MAX($A6-Inputs!$I$56,0),1)*Inputs!I$60</f>
        <v>0</v>
      </c>
      <c r="G6" s="16">
        <f>MIN(MAX($A6-Inputs!$I$56,0),1)*Inputs!I$61</f>
        <v>0</v>
      </c>
      <c r="H6" s="16">
        <f>MIN(MAX($A6-Inputs!$I$56,0),1)*Inputs!I$62</f>
        <v>0</v>
      </c>
      <c r="I6" s="125">
        <f t="shared" ref="I6:I57" si="0">SUMPRODUCT(C6:H6,C$3:H$3,C$2:H$2)</f>
        <v>0</v>
      </c>
      <c r="J6" s="13">
        <f t="shared" ref="J6:J57" si="1">$C$2*C6+$D$2*D6</f>
        <v>0</v>
      </c>
      <c r="K6" s="13">
        <f t="shared" ref="K6:K57" si="2">$E$2*E6+$F$2*F6</f>
        <v>0</v>
      </c>
      <c r="L6" s="13">
        <f t="shared" ref="L6:L57" si="3">$G$2*G6+$H$2*H6</f>
        <v>0</v>
      </c>
      <c r="M6" s="16">
        <v>0</v>
      </c>
      <c r="N6" s="16">
        <v>0</v>
      </c>
    </row>
    <row r="7" spans="1:19" x14ac:dyDescent="0.25">
      <c r="A7">
        <f t="shared" ref="A7:B57" si="4">A6+1</f>
        <v>3</v>
      </c>
      <c r="B7">
        <f t="shared" si="4"/>
        <v>2020</v>
      </c>
      <c r="C7" s="16">
        <f>MIN(MAX($A7-Inputs!$I$56,0),1)*Inputs!I$57</f>
        <v>0</v>
      </c>
      <c r="D7" s="16">
        <f>MIN(MAX($A7-Inputs!$I$56,0),1)*Inputs!I$58</f>
        <v>0</v>
      </c>
      <c r="E7" s="16">
        <f>MIN(MAX($A7-Inputs!$I$56,0),1)*Inputs!I$59</f>
        <v>0</v>
      </c>
      <c r="F7" s="16">
        <f>MIN(MAX($A7-Inputs!$I$56,0),1)*Inputs!I$60</f>
        <v>0</v>
      </c>
      <c r="G7" s="16">
        <f>MIN(MAX($A7-Inputs!$I$56,0),1)*Inputs!I$61</f>
        <v>0</v>
      </c>
      <c r="H7" s="16">
        <f>MIN(MAX($A7-Inputs!$I$56,0),1)*Inputs!I$62</f>
        <v>0</v>
      </c>
      <c r="I7" s="125">
        <f t="shared" si="0"/>
        <v>0</v>
      </c>
      <c r="J7" s="13">
        <f t="shared" si="1"/>
        <v>0</v>
      </c>
      <c r="K7" s="13">
        <f t="shared" si="2"/>
        <v>0</v>
      </c>
      <c r="L7" s="13">
        <f t="shared" si="3"/>
        <v>0</v>
      </c>
      <c r="M7" s="16">
        <v>0</v>
      </c>
      <c r="N7" s="16">
        <v>0</v>
      </c>
    </row>
    <row r="8" spans="1:19" x14ac:dyDescent="0.25">
      <c r="A8">
        <f t="shared" si="4"/>
        <v>4</v>
      </c>
      <c r="B8">
        <f t="shared" si="4"/>
        <v>2021</v>
      </c>
      <c r="C8" s="16">
        <f>MIN(MAX($A8-Inputs!$I$56,0),1)*Inputs!I$57</f>
        <v>0</v>
      </c>
      <c r="D8" s="16">
        <f>MIN(MAX($A8-Inputs!$I$56,0),1)*Inputs!I$58</f>
        <v>0</v>
      </c>
      <c r="E8" s="16">
        <f>MIN(MAX($A8-Inputs!$I$56,0),1)*Inputs!I$59</f>
        <v>0</v>
      </c>
      <c r="F8" s="16">
        <f>MIN(MAX($A8-Inputs!$I$56,0),1)*Inputs!I$60</f>
        <v>0</v>
      </c>
      <c r="G8" s="16">
        <f>MIN(MAX($A8-Inputs!$I$56,0),1)*Inputs!I$61</f>
        <v>0</v>
      </c>
      <c r="H8" s="16">
        <f>MIN(MAX($A8-Inputs!$I$56,0),1)*Inputs!I$62</f>
        <v>0</v>
      </c>
      <c r="I8" s="125">
        <f t="shared" si="0"/>
        <v>0</v>
      </c>
      <c r="J8" s="13">
        <f t="shared" si="1"/>
        <v>0</v>
      </c>
      <c r="K8" s="13">
        <f t="shared" si="2"/>
        <v>0</v>
      </c>
      <c r="L8" s="13">
        <f t="shared" si="3"/>
        <v>0</v>
      </c>
      <c r="M8" s="16">
        <v>0</v>
      </c>
      <c r="N8" s="16">
        <v>0</v>
      </c>
    </row>
    <row r="9" spans="1:19" x14ac:dyDescent="0.25">
      <c r="A9">
        <f t="shared" si="4"/>
        <v>5</v>
      </c>
      <c r="B9">
        <f t="shared" si="4"/>
        <v>2022</v>
      </c>
      <c r="C9" s="16">
        <f>MIN(MAX($A9-Inputs!$I$56,0),1)*Inputs!I$57</f>
        <v>0</v>
      </c>
      <c r="D9" s="16">
        <f>MIN(MAX($A9-Inputs!$I$56,0),1)*Inputs!I$58</f>
        <v>0</v>
      </c>
      <c r="E9" s="16">
        <f>MIN(MAX($A9-Inputs!$I$56,0),1)*Inputs!I$59</f>
        <v>0</v>
      </c>
      <c r="F9" s="16">
        <f>MIN(MAX($A9-Inputs!$I$56,0),1)*Inputs!I$60</f>
        <v>0</v>
      </c>
      <c r="G9" s="16">
        <f>MIN(MAX($A9-Inputs!$I$56,0),1)*Inputs!I$61</f>
        <v>0</v>
      </c>
      <c r="H9" s="16">
        <f>MIN(MAX($A9-Inputs!$I$56,0),1)*Inputs!I$62</f>
        <v>0</v>
      </c>
      <c r="I9" s="125">
        <f t="shared" si="0"/>
        <v>0</v>
      </c>
      <c r="J9" s="13">
        <f t="shared" si="1"/>
        <v>0</v>
      </c>
      <c r="K9" s="13">
        <f t="shared" si="2"/>
        <v>0</v>
      </c>
      <c r="L9" s="13">
        <f t="shared" si="3"/>
        <v>0</v>
      </c>
      <c r="M9" s="16">
        <v>0</v>
      </c>
      <c r="N9" s="16">
        <v>0</v>
      </c>
    </row>
    <row r="10" spans="1:19" x14ac:dyDescent="0.25">
      <c r="A10">
        <f t="shared" si="4"/>
        <v>6</v>
      </c>
      <c r="B10">
        <f t="shared" si="4"/>
        <v>2023</v>
      </c>
      <c r="C10" s="16">
        <f>MIN(MAX($A10-Inputs!$I$56,0),1)*Inputs!I$57</f>
        <v>1</v>
      </c>
      <c r="D10" s="16">
        <f>MIN(MAX($A10-Inputs!$I$56,0),1)*Inputs!I$58</f>
        <v>1</v>
      </c>
      <c r="E10" s="16">
        <f>MIN(MAX($A10-Inputs!$I$56,0),1)*Inputs!I$59</f>
        <v>0</v>
      </c>
      <c r="F10" s="16">
        <f>MIN(MAX($A10-Inputs!$I$56,0),1)*Inputs!I$60</f>
        <v>0</v>
      </c>
      <c r="G10" s="16">
        <f>MIN(MAX($A10-Inputs!$I$56,0),1)*Inputs!I$61</f>
        <v>0</v>
      </c>
      <c r="H10" s="16">
        <f>MIN(MAX($A10-Inputs!$I$56,0),1)*Inputs!I$62</f>
        <v>0</v>
      </c>
      <c r="I10" s="125">
        <f t="shared" si="0"/>
        <v>0.1</v>
      </c>
      <c r="J10" s="13">
        <f t="shared" si="1"/>
        <v>1</v>
      </c>
      <c r="K10" s="13">
        <f t="shared" si="2"/>
        <v>0</v>
      </c>
      <c r="L10" s="13">
        <f t="shared" si="3"/>
        <v>0</v>
      </c>
      <c r="M10" s="16">
        <v>0</v>
      </c>
      <c r="N10" s="16">
        <v>0</v>
      </c>
    </row>
    <row r="11" spans="1:19" x14ac:dyDescent="0.25">
      <c r="A11">
        <f t="shared" si="4"/>
        <v>7</v>
      </c>
      <c r="B11">
        <f t="shared" si="4"/>
        <v>2024</v>
      </c>
      <c r="C11" s="16">
        <f>MIN(MAX($A11-Inputs!$I$56,0),1)*Inputs!I$57</f>
        <v>1</v>
      </c>
      <c r="D11" s="16">
        <f>MIN(MAX($A11-Inputs!$I$56,0),1)*Inputs!I$58</f>
        <v>1</v>
      </c>
      <c r="E11" s="16">
        <f>MIN(MAX($A11-Inputs!$I$56,0),1)*Inputs!I$59</f>
        <v>0</v>
      </c>
      <c r="F11" s="16">
        <f>MIN(MAX($A11-Inputs!$I$56,0),1)*Inputs!I$60</f>
        <v>0</v>
      </c>
      <c r="G11" s="16">
        <f>MIN(MAX($A11-Inputs!$I$56,0),1)*Inputs!I$61</f>
        <v>0</v>
      </c>
      <c r="H11" s="16">
        <f>MIN(MAX($A11-Inputs!$I$56,0),1)*Inputs!I$62</f>
        <v>0</v>
      </c>
      <c r="I11" s="125">
        <f t="shared" si="0"/>
        <v>0.1</v>
      </c>
      <c r="J11" s="13">
        <f t="shared" si="1"/>
        <v>1</v>
      </c>
      <c r="K11" s="13">
        <f t="shared" si="2"/>
        <v>0</v>
      </c>
      <c r="L11" s="13">
        <f t="shared" si="3"/>
        <v>0</v>
      </c>
      <c r="M11" s="16">
        <v>0</v>
      </c>
      <c r="N11" s="16">
        <v>0</v>
      </c>
    </row>
    <row r="12" spans="1:19" x14ac:dyDescent="0.25">
      <c r="A12">
        <f t="shared" si="4"/>
        <v>8</v>
      </c>
      <c r="B12">
        <f t="shared" si="4"/>
        <v>2025</v>
      </c>
      <c r="C12" s="16">
        <f>MIN(MAX($A12-Inputs!$I$56,0),1)*Inputs!I$57</f>
        <v>1</v>
      </c>
      <c r="D12" s="16">
        <f>MIN(MAX($A12-Inputs!$I$56,0),1)*Inputs!I$58</f>
        <v>1</v>
      </c>
      <c r="E12" s="16">
        <f>MIN(MAX($A12-Inputs!$I$56,0),1)*Inputs!I$59</f>
        <v>0</v>
      </c>
      <c r="F12" s="16">
        <f>MIN(MAX($A12-Inputs!$I$56,0),1)*Inputs!I$60</f>
        <v>0</v>
      </c>
      <c r="G12" s="16">
        <f>MIN(MAX($A12-Inputs!$I$56,0),1)*Inputs!I$61</f>
        <v>0</v>
      </c>
      <c r="H12" s="16">
        <f>MIN(MAX($A12-Inputs!$I$56,0),1)*Inputs!I$62</f>
        <v>0</v>
      </c>
      <c r="I12" s="125">
        <f t="shared" si="0"/>
        <v>0.1</v>
      </c>
      <c r="J12" s="13">
        <f t="shared" si="1"/>
        <v>1</v>
      </c>
      <c r="K12" s="13">
        <f t="shared" si="2"/>
        <v>0</v>
      </c>
      <c r="L12" s="13">
        <f t="shared" si="3"/>
        <v>0</v>
      </c>
      <c r="M12" s="16">
        <v>0</v>
      </c>
      <c r="N12" s="16">
        <v>0</v>
      </c>
    </row>
    <row r="13" spans="1:19" x14ac:dyDescent="0.25">
      <c r="A13">
        <f t="shared" si="4"/>
        <v>9</v>
      </c>
      <c r="B13">
        <f t="shared" si="4"/>
        <v>2026</v>
      </c>
      <c r="C13" s="16">
        <f>MIN(MAX($A13-Inputs!$I$56,0),1)*Inputs!I$57</f>
        <v>1</v>
      </c>
      <c r="D13" s="16">
        <f>MIN(MAX($A13-Inputs!$I$56,0),1)*Inputs!I$58</f>
        <v>1</v>
      </c>
      <c r="E13" s="16">
        <f>MIN(MAX($A13-Inputs!$I$56,0),1)*Inputs!I$59</f>
        <v>0</v>
      </c>
      <c r="F13" s="16">
        <f>MIN(MAX($A13-Inputs!$I$56,0),1)*Inputs!I$60</f>
        <v>0</v>
      </c>
      <c r="G13" s="16">
        <f>MIN(MAX($A13-Inputs!$I$56,0),1)*Inputs!I$61</f>
        <v>0</v>
      </c>
      <c r="H13" s="16">
        <f>MIN(MAX($A13-Inputs!$I$56,0),1)*Inputs!I$62</f>
        <v>0</v>
      </c>
      <c r="I13" s="125">
        <f t="shared" si="0"/>
        <v>0.1</v>
      </c>
      <c r="J13" s="13">
        <f t="shared" si="1"/>
        <v>1</v>
      </c>
      <c r="K13" s="13">
        <f t="shared" si="2"/>
        <v>0</v>
      </c>
      <c r="L13" s="13">
        <f t="shared" si="3"/>
        <v>0</v>
      </c>
      <c r="M13" s="16">
        <v>0</v>
      </c>
      <c r="N13" s="16">
        <v>0</v>
      </c>
    </row>
    <row r="14" spans="1:19" x14ac:dyDescent="0.25">
      <c r="A14">
        <f t="shared" si="4"/>
        <v>10</v>
      </c>
      <c r="B14">
        <f t="shared" si="4"/>
        <v>2027</v>
      </c>
      <c r="C14" s="16">
        <f>MIN(MAX($A14-Inputs!$I$56,0),1)*Inputs!I$57</f>
        <v>1</v>
      </c>
      <c r="D14" s="16">
        <f>MIN(MAX($A14-Inputs!$I$56,0),1)*Inputs!I$58</f>
        <v>1</v>
      </c>
      <c r="E14" s="16">
        <f>MIN(MAX($A14-Inputs!$I$56,0),1)*Inputs!I$59</f>
        <v>0</v>
      </c>
      <c r="F14" s="16">
        <f>MIN(MAX($A14-Inputs!$I$56,0),1)*Inputs!I$60</f>
        <v>0</v>
      </c>
      <c r="G14" s="16">
        <f>MIN(MAX($A14-Inputs!$I$56,0),1)*Inputs!I$61</f>
        <v>0</v>
      </c>
      <c r="H14" s="16">
        <f>MIN(MAX($A14-Inputs!$I$56,0),1)*Inputs!I$62</f>
        <v>0</v>
      </c>
      <c r="I14" s="125">
        <f t="shared" si="0"/>
        <v>0.1</v>
      </c>
      <c r="J14" s="13">
        <f t="shared" si="1"/>
        <v>1</v>
      </c>
      <c r="K14" s="13">
        <f t="shared" si="2"/>
        <v>0</v>
      </c>
      <c r="L14" s="13">
        <f t="shared" si="3"/>
        <v>0</v>
      </c>
      <c r="M14" s="16">
        <v>0</v>
      </c>
      <c r="N14" s="16">
        <v>0</v>
      </c>
    </row>
    <row r="15" spans="1:19" x14ac:dyDescent="0.25">
      <c r="A15">
        <f t="shared" si="4"/>
        <v>11</v>
      </c>
      <c r="B15">
        <f t="shared" si="4"/>
        <v>2028</v>
      </c>
      <c r="C15" s="16">
        <f>MIN(MAX($A15-Inputs!$I$56,0),1)*Inputs!I$57</f>
        <v>1</v>
      </c>
      <c r="D15" s="16">
        <f>MIN(MAX($A15-Inputs!$I$56,0),1)*Inputs!I$58</f>
        <v>1</v>
      </c>
      <c r="E15" s="16">
        <f>MIN(MAX($A15-Inputs!$I$56,0),1)*Inputs!I$59</f>
        <v>0</v>
      </c>
      <c r="F15" s="16">
        <f>MIN(MAX($A15-Inputs!$I$56,0),1)*Inputs!I$60</f>
        <v>0</v>
      </c>
      <c r="G15" s="16">
        <f>MIN(MAX($A15-Inputs!$I$56,0),1)*Inputs!I$61</f>
        <v>0</v>
      </c>
      <c r="H15" s="16">
        <f>MIN(MAX($A15-Inputs!$I$56,0),1)*Inputs!I$62</f>
        <v>0</v>
      </c>
      <c r="I15" s="125">
        <f t="shared" si="0"/>
        <v>0.1</v>
      </c>
      <c r="J15" s="13">
        <f t="shared" si="1"/>
        <v>1</v>
      </c>
      <c r="K15" s="13">
        <f t="shared" si="2"/>
        <v>0</v>
      </c>
      <c r="L15" s="13">
        <f t="shared" si="3"/>
        <v>0</v>
      </c>
      <c r="M15" s="16">
        <v>0</v>
      </c>
      <c r="N15" s="16">
        <v>0</v>
      </c>
    </row>
    <row r="16" spans="1:19" x14ac:dyDescent="0.25">
      <c r="A16">
        <f t="shared" si="4"/>
        <v>12</v>
      </c>
      <c r="B16">
        <f t="shared" si="4"/>
        <v>2029</v>
      </c>
      <c r="C16" s="16">
        <f>MIN(MAX($A16-Inputs!$I$56,0),1)*Inputs!I$57</f>
        <v>1</v>
      </c>
      <c r="D16" s="16">
        <f>MIN(MAX($A16-Inputs!$I$56,0),1)*Inputs!I$58</f>
        <v>1</v>
      </c>
      <c r="E16" s="16">
        <f>MIN(MAX($A16-Inputs!$I$56,0),1)*Inputs!I$59</f>
        <v>0</v>
      </c>
      <c r="F16" s="16">
        <f>MIN(MAX($A16-Inputs!$I$56,0),1)*Inputs!I$60</f>
        <v>0</v>
      </c>
      <c r="G16" s="16">
        <f>MIN(MAX($A16-Inputs!$I$56,0),1)*Inputs!I$61</f>
        <v>0</v>
      </c>
      <c r="H16" s="16">
        <f>MIN(MAX($A16-Inputs!$I$56,0),1)*Inputs!I$62</f>
        <v>0</v>
      </c>
      <c r="I16" s="125">
        <f t="shared" si="0"/>
        <v>0.1</v>
      </c>
      <c r="J16" s="13">
        <f t="shared" si="1"/>
        <v>1</v>
      </c>
      <c r="K16" s="13">
        <f t="shared" si="2"/>
        <v>0</v>
      </c>
      <c r="L16" s="13">
        <f t="shared" si="3"/>
        <v>0</v>
      </c>
      <c r="M16" s="16">
        <v>0</v>
      </c>
      <c r="N16" s="16">
        <v>0</v>
      </c>
    </row>
    <row r="17" spans="1:14" x14ac:dyDescent="0.25">
      <c r="A17">
        <f t="shared" si="4"/>
        <v>13</v>
      </c>
      <c r="B17">
        <f t="shared" si="4"/>
        <v>2030</v>
      </c>
      <c r="C17" s="16">
        <f>MIN(MAX($A17-Inputs!$I$56,0),1)*Inputs!I$57</f>
        <v>1</v>
      </c>
      <c r="D17" s="16">
        <f>MIN(MAX($A17-Inputs!$I$56,0),1)*Inputs!I$58</f>
        <v>1</v>
      </c>
      <c r="E17" s="16">
        <f>MIN(MAX($A17-Inputs!$I$56,0),1)*Inputs!I$59</f>
        <v>0</v>
      </c>
      <c r="F17" s="16">
        <f>MIN(MAX($A17-Inputs!$I$56,0),1)*Inputs!I$60</f>
        <v>0</v>
      </c>
      <c r="G17" s="16">
        <f>MIN(MAX($A17-Inputs!$I$56,0),1)*Inputs!I$61</f>
        <v>0</v>
      </c>
      <c r="H17" s="16">
        <f>MIN(MAX($A17-Inputs!$I$56,0),1)*Inputs!I$62</f>
        <v>0</v>
      </c>
      <c r="I17" s="125">
        <f t="shared" si="0"/>
        <v>0.1</v>
      </c>
      <c r="J17" s="13">
        <f t="shared" si="1"/>
        <v>1</v>
      </c>
      <c r="K17" s="13">
        <f t="shared" si="2"/>
        <v>0</v>
      </c>
      <c r="L17" s="13">
        <f t="shared" si="3"/>
        <v>0</v>
      </c>
      <c r="M17" s="16">
        <v>0</v>
      </c>
      <c r="N17" s="16">
        <v>0</v>
      </c>
    </row>
    <row r="18" spans="1:14" x14ac:dyDescent="0.25">
      <c r="A18">
        <f t="shared" si="4"/>
        <v>14</v>
      </c>
      <c r="B18">
        <f t="shared" si="4"/>
        <v>2031</v>
      </c>
      <c r="C18" s="16">
        <f>MIN(MAX($A18-Inputs!$I$56,0),1)*Inputs!I$57</f>
        <v>1</v>
      </c>
      <c r="D18" s="16">
        <f>MIN(MAX($A18-Inputs!$I$56,0),1)*Inputs!I$58</f>
        <v>1</v>
      </c>
      <c r="E18" s="16">
        <f>MIN(MAX($A18-Inputs!$I$56,0),1)*Inputs!I$59</f>
        <v>0</v>
      </c>
      <c r="F18" s="16">
        <f>MIN(MAX($A18-Inputs!$I$56,0),1)*Inputs!I$60</f>
        <v>0</v>
      </c>
      <c r="G18" s="16">
        <f>MIN(MAX($A18-Inputs!$I$56,0),1)*Inputs!I$61</f>
        <v>0</v>
      </c>
      <c r="H18" s="16">
        <f>MIN(MAX($A18-Inputs!$I$56,0),1)*Inputs!I$62</f>
        <v>0</v>
      </c>
      <c r="I18" s="125">
        <f t="shared" si="0"/>
        <v>0.1</v>
      </c>
      <c r="J18" s="13">
        <f t="shared" si="1"/>
        <v>1</v>
      </c>
      <c r="K18" s="13">
        <f t="shared" si="2"/>
        <v>0</v>
      </c>
      <c r="L18" s="13">
        <f t="shared" si="3"/>
        <v>0</v>
      </c>
      <c r="M18" s="16">
        <v>0</v>
      </c>
      <c r="N18" s="16">
        <v>0</v>
      </c>
    </row>
    <row r="19" spans="1:14" x14ac:dyDescent="0.25">
      <c r="A19">
        <f t="shared" si="4"/>
        <v>15</v>
      </c>
      <c r="B19">
        <f t="shared" si="4"/>
        <v>2032</v>
      </c>
      <c r="C19" s="16">
        <f>MIN(MAX($A19-Inputs!$I$56,0),1)*Inputs!I$57</f>
        <v>1</v>
      </c>
      <c r="D19" s="16">
        <f>MIN(MAX($A19-Inputs!$I$56,0),1)*Inputs!I$58</f>
        <v>1</v>
      </c>
      <c r="E19" s="16">
        <f>MIN(MAX($A19-Inputs!$I$56,0),1)*Inputs!I$59</f>
        <v>0</v>
      </c>
      <c r="F19" s="16">
        <f>MIN(MAX($A19-Inputs!$I$56,0),1)*Inputs!I$60</f>
        <v>0</v>
      </c>
      <c r="G19" s="16">
        <f>MIN(MAX($A19-Inputs!$I$56,0),1)*Inputs!I$61</f>
        <v>0</v>
      </c>
      <c r="H19" s="16">
        <f>MIN(MAX($A19-Inputs!$I$56,0),1)*Inputs!I$62</f>
        <v>0</v>
      </c>
      <c r="I19" s="125">
        <f t="shared" si="0"/>
        <v>0.1</v>
      </c>
      <c r="J19" s="13">
        <f t="shared" si="1"/>
        <v>1</v>
      </c>
      <c r="K19" s="13">
        <f t="shared" si="2"/>
        <v>0</v>
      </c>
      <c r="L19" s="13">
        <f t="shared" si="3"/>
        <v>0</v>
      </c>
      <c r="M19" s="16">
        <v>0</v>
      </c>
      <c r="N19" s="16">
        <v>0</v>
      </c>
    </row>
    <row r="20" spans="1:14" x14ac:dyDescent="0.25">
      <c r="A20">
        <f t="shared" si="4"/>
        <v>16</v>
      </c>
      <c r="B20">
        <f t="shared" si="4"/>
        <v>2033</v>
      </c>
      <c r="C20" s="16">
        <f>MIN(MAX($A20-Inputs!$I$56,0),1)*Inputs!I$57</f>
        <v>1</v>
      </c>
      <c r="D20" s="16">
        <f>MIN(MAX($A20-Inputs!$I$56,0),1)*Inputs!I$58</f>
        <v>1</v>
      </c>
      <c r="E20" s="16">
        <f>MIN(MAX($A20-Inputs!$I$56,0),1)*Inputs!I$59</f>
        <v>0</v>
      </c>
      <c r="F20" s="16">
        <f>MIN(MAX($A20-Inputs!$I$56,0),1)*Inputs!I$60</f>
        <v>0</v>
      </c>
      <c r="G20" s="16">
        <f>MIN(MAX($A20-Inputs!$I$56,0),1)*Inputs!I$61</f>
        <v>0</v>
      </c>
      <c r="H20" s="16">
        <f>MIN(MAX($A20-Inputs!$I$56,0),1)*Inputs!I$62</f>
        <v>0</v>
      </c>
      <c r="I20" s="125">
        <f t="shared" si="0"/>
        <v>0.1</v>
      </c>
      <c r="J20" s="13">
        <f t="shared" si="1"/>
        <v>1</v>
      </c>
      <c r="K20" s="13">
        <f t="shared" si="2"/>
        <v>0</v>
      </c>
      <c r="L20" s="13">
        <f t="shared" si="3"/>
        <v>0</v>
      </c>
      <c r="M20" s="16">
        <v>0</v>
      </c>
      <c r="N20" s="16">
        <v>0</v>
      </c>
    </row>
    <row r="21" spans="1:14" x14ac:dyDescent="0.25">
      <c r="A21">
        <f t="shared" si="4"/>
        <v>17</v>
      </c>
      <c r="B21">
        <f t="shared" si="4"/>
        <v>2034</v>
      </c>
      <c r="C21" s="16">
        <f>MIN(MAX($A21-Inputs!$I$56,0),1)*Inputs!I$57</f>
        <v>1</v>
      </c>
      <c r="D21" s="16">
        <f>MIN(MAX($A21-Inputs!$I$56,0),1)*Inputs!I$58</f>
        <v>1</v>
      </c>
      <c r="E21" s="16">
        <f>MIN(MAX($A21-Inputs!$I$56,0),1)*Inputs!I$59</f>
        <v>0</v>
      </c>
      <c r="F21" s="16">
        <f>MIN(MAX($A21-Inputs!$I$56,0),1)*Inputs!I$60</f>
        <v>0</v>
      </c>
      <c r="G21" s="16">
        <f>MIN(MAX($A21-Inputs!$I$56,0),1)*Inputs!I$61</f>
        <v>0</v>
      </c>
      <c r="H21" s="16">
        <f>MIN(MAX($A21-Inputs!$I$56,0),1)*Inputs!I$62</f>
        <v>0</v>
      </c>
      <c r="I21" s="125">
        <f t="shared" si="0"/>
        <v>0.1</v>
      </c>
      <c r="J21" s="13">
        <f t="shared" si="1"/>
        <v>1</v>
      </c>
      <c r="K21" s="13">
        <f t="shared" si="2"/>
        <v>0</v>
      </c>
      <c r="L21" s="13">
        <f t="shared" si="3"/>
        <v>0</v>
      </c>
      <c r="M21" s="16">
        <v>0</v>
      </c>
      <c r="N21" s="16">
        <v>0</v>
      </c>
    </row>
    <row r="22" spans="1:14" x14ac:dyDescent="0.25">
      <c r="A22">
        <f t="shared" si="4"/>
        <v>18</v>
      </c>
      <c r="B22">
        <f t="shared" si="4"/>
        <v>2035</v>
      </c>
      <c r="C22" s="16">
        <f>MIN(MAX($A22-Inputs!$I$56,0),1)*Inputs!I$57</f>
        <v>1</v>
      </c>
      <c r="D22" s="16">
        <f>MIN(MAX($A22-Inputs!$I$56,0),1)*Inputs!I$58</f>
        <v>1</v>
      </c>
      <c r="E22" s="16">
        <f>MIN(MAX($A22-Inputs!$I$56,0),1)*Inputs!I$59</f>
        <v>0</v>
      </c>
      <c r="F22" s="16">
        <f>MIN(MAX($A22-Inputs!$I$56,0),1)*Inputs!I$60</f>
        <v>0</v>
      </c>
      <c r="G22" s="16">
        <f>MIN(MAX($A22-Inputs!$I$56,0),1)*Inputs!I$61</f>
        <v>0</v>
      </c>
      <c r="H22" s="16">
        <f>MIN(MAX($A22-Inputs!$I$56,0),1)*Inputs!I$62</f>
        <v>0</v>
      </c>
      <c r="I22" s="125">
        <f t="shared" si="0"/>
        <v>0.1</v>
      </c>
      <c r="J22" s="13">
        <f t="shared" si="1"/>
        <v>1</v>
      </c>
      <c r="K22" s="13">
        <f t="shared" si="2"/>
        <v>0</v>
      </c>
      <c r="L22" s="13">
        <f t="shared" si="3"/>
        <v>0</v>
      </c>
      <c r="M22" s="16">
        <v>0</v>
      </c>
      <c r="N22" s="16">
        <v>0</v>
      </c>
    </row>
    <row r="23" spans="1:14" x14ac:dyDescent="0.25">
      <c r="A23">
        <f t="shared" si="4"/>
        <v>19</v>
      </c>
      <c r="B23">
        <f t="shared" si="4"/>
        <v>2036</v>
      </c>
      <c r="C23" s="16">
        <f>MIN(MAX($A23-Inputs!$I$56,0),1)*Inputs!I$57</f>
        <v>1</v>
      </c>
      <c r="D23" s="16">
        <f>MIN(MAX($A23-Inputs!$I$56,0),1)*Inputs!I$58</f>
        <v>1</v>
      </c>
      <c r="E23" s="16">
        <f>MIN(MAX($A23-Inputs!$I$56,0),1)*Inputs!I$59</f>
        <v>0</v>
      </c>
      <c r="F23" s="16">
        <f>MIN(MAX($A23-Inputs!$I$56,0),1)*Inputs!I$60</f>
        <v>0</v>
      </c>
      <c r="G23" s="16">
        <f>MIN(MAX($A23-Inputs!$I$56,0),1)*Inputs!I$61</f>
        <v>0</v>
      </c>
      <c r="H23" s="16">
        <f>MIN(MAX($A23-Inputs!$I$56,0),1)*Inputs!I$62</f>
        <v>0</v>
      </c>
      <c r="I23" s="125">
        <f t="shared" si="0"/>
        <v>0.1</v>
      </c>
      <c r="J23" s="13">
        <f t="shared" si="1"/>
        <v>1</v>
      </c>
      <c r="K23" s="13">
        <f t="shared" si="2"/>
        <v>0</v>
      </c>
      <c r="L23" s="13">
        <f t="shared" si="3"/>
        <v>0</v>
      </c>
      <c r="M23" s="16">
        <v>0</v>
      </c>
      <c r="N23" s="16">
        <v>0</v>
      </c>
    </row>
    <row r="24" spans="1:14" x14ac:dyDescent="0.25">
      <c r="A24">
        <f t="shared" si="4"/>
        <v>20</v>
      </c>
      <c r="B24">
        <f t="shared" si="4"/>
        <v>2037</v>
      </c>
      <c r="C24" s="16">
        <f>MIN(MAX($A24-Inputs!$I$56,0),1)*Inputs!I$57</f>
        <v>1</v>
      </c>
      <c r="D24" s="16">
        <f>MIN(MAX($A24-Inputs!$I$56,0),1)*Inputs!I$58</f>
        <v>1</v>
      </c>
      <c r="E24" s="16">
        <f>MIN(MAX($A24-Inputs!$I$56,0),1)*Inputs!I$59</f>
        <v>0</v>
      </c>
      <c r="F24" s="16">
        <f>MIN(MAX($A24-Inputs!$I$56,0),1)*Inputs!I$60</f>
        <v>0</v>
      </c>
      <c r="G24" s="16">
        <f>MIN(MAX($A24-Inputs!$I$56,0),1)*Inputs!I$61</f>
        <v>0</v>
      </c>
      <c r="H24" s="16">
        <f>MIN(MAX($A24-Inputs!$I$56,0),1)*Inputs!I$62</f>
        <v>0</v>
      </c>
      <c r="I24" s="125">
        <f t="shared" si="0"/>
        <v>0.1</v>
      </c>
      <c r="J24" s="13">
        <f t="shared" si="1"/>
        <v>1</v>
      </c>
      <c r="K24" s="13">
        <f t="shared" si="2"/>
        <v>0</v>
      </c>
      <c r="L24" s="13">
        <f t="shared" si="3"/>
        <v>0</v>
      </c>
      <c r="M24" s="16">
        <v>0</v>
      </c>
      <c r="N24" s="16">
        <v>0</v>
      </c>
    </row>
    <row r="25" spans="1:14" x14ac:dyDescent="0.25">
      <c r="A25">
        <f t="shared" si="4"/>
        <v>21</v>
      </c>
      <c r="B25">
        <f t="shared" si="4"/>
        <v>2038</v>
      </c>
      <c r="C25" s="16">
        <f>MIN(MAX($A25-Inputs!$I$56,0),1)*Inputs!I$57</f>
        <v>1</v>
      </c>
      <c r="D25" s="16">
        <f>MIN(MAX($A25-Inputs!$I$56,0),1)*Inputs!I$58</f>
        <v>1</v>
      </c>
      <c r="E25" s="16">
        <f>MIN(MAX($A25-Inputs!$I$56,0),1)*Inputs!I$59</f>
        <v>0</v>
      </c>
      <c r="F25" s="16">
        <f>MIN(MAX($A25-Inputs!$I$56,0),1)*Inputs!I$60</f>
        <v>0</v>
      </c>
      <c r="G25" s="16">
        <f>MIN(MAX($A25-Inputs!$I$56,0),1)*Inputs!I$61</f>
        <v>0</v>
      </c>
      <c r="H25" s="16">
        <f>MIN(MAX($A25-Inputs!$I$56,0),1)*Inputs!I$62</f>
        <v>0</v>
      </c>
      <c r="I25" s="125">
        <f t="shared" si="0"/>
        <v>0.1</v>
      </c>
      <c r="J25" s="13">
        <f t="shared" si="1"/>
        <v>1</v>
      </c>
      <c r="K25" s="13">
        <f t="shared" si="2"/>
        <v>0</v>
      </c>
      <c r="L25" s="13">
        <f t="shared" si="3"/>
        <v>0</v>
      </c>
      <c r="M25" s="16">
        <v>0</v>
      </c>
      <c r="N25" s="16">
        <v>0</v>
      </c>
    </row>
    <row r="26" spans="1:14" x14ac:dyDescent="0.25">
      <c r="A26">
        <f t="shared" si="4"/>
        <v>22</v>
      </c>
      <c r="B26">
        <f t="shared" si="4"/>
        <v>2039</v>
      </c>
      <c r="C26" s="16">
        <f>MIN(MAX($A26-Inputs!$I$56,0),1)*Inputs!I$57</f>
        <v>1</v>
      </c>
      <c r="D26" s="16">
        <f>MIN(MAX($A26-Inputs!$I$56,0),1)*Inputs!I$58</f>
        <v>1</v>
      </c>
      <c r="E26" s="16">
        <f>MIN(MAX($A26-Inputs!$I$56,0),1)*Inputs!I$59</f>
        <v>0</v>
      </c>
      <c r="F26" s="16">
        <f>MIN(MAX($A26-Inputs!$I$56,0),1)*Inputs!I$60</f>
        <v>0</v>
      </c>
      <c r="G26" s="16">
        <f>MIN(MAX($A26-Inputs!$I$56,0),1)*Inputs!I$61</f>
        <v>0</v>
      </c>
      <c r="H26" s="16">
        <f>MIN(MAX($A26-Inputs!$I$56,0),1)*Inputs!I$62</f>
        <v>0</v>
      </c>
      <c r="I26" s="125">
        <f t="shared" si="0"/>
        <v>0.1</v>
      </c>
      <c r="J26" s="13">
        <f t="shared" si="1"/>
        <v>1</v>
      </c>
      <c r="K26" s="13">
        <f t="shared" si="2"/>
        <v>0</v>
      </c>
      <c r="L26" s="13">
        <f t="shared" si="3"/>
        <v>0</v>
      </c>
      <c r="M26" s="16">
        <v>0</v>
      </c>
      <c r="N26" s="16">
        <v>0</v>
      </c>
    </row>
    <row r="27" spans="1:14" x14ac:dyDescent="0.25">
      <c r="A27">
        <f t="shared" si="4"/>
        <v>23</v>
      </c>
      <c r="B27">
        <f t="shared" si="4"/>
        <v>2040</v>
      </c>
      <c r="C27" s="16">
        <f>MIN(MAX($A27-Inputs!$I$56,0),1)*Inputs!I$57</f>
        <v>1</v>
      </c>
      <c r="D27" s="16">
        <f>MIN(MAX($A27-Inputs!$I$56,0),1)*Inputs!I$58</f>
        <v>1</v>
      </c>
      <c r="E27" s="16">
        <f>MIN(MAX($A27-Inputs!$I$56,0),1)*Inputs!I$59</f>
        <v>0</v>
      </c>
      <c r="F27" s="16">
        <f>MIN(MAX($A27-Inputs!$I$56,0),1)*Inputs!I$60</f>
        <v>0</v>
      </c>
      <c r="G27" s="16">
        <f>MIN(MAX($A27-Inputs!$I$56,0),1)*Inputs!I$61</f>
        <v>0</v>
      </c>
      <c r="H27" s="16">
        <f>MIN(MAX($A27-Inputs!$I$56,0),1)*Inputs!I$62</f>
        <v>0</v>
      </c>
      <c r="I27" s="125">
        <f t="shared" si="0"/>
        <v>0.1</v>
      </c>
      <c r="J27" s="13">
        <f t="shared" si="1"/>
        <v>1</v>
      </c>
      <c r="K27" s="13">
        <f t="shared" si="2"/>
        <v>0</v>
      </c>
      <c r="L27" s="13">
        <f t="shared" si="3"/>
        <v>0</v>
      </c>
      <c r="M27" s="16">
        <v>0</v>
      </c>
      <c r="N27" s="16">
        <v>0</v>
      </c>
    </row>
    <row r="28" spans="1:14" x14ac:dyDescent="0.25">
      <c r="A28">
        <f t="shared" si="4"/>
        <v>24</v>
      </c>
      <c r="B28">
        <f t="shared" si="4"/>
        <v>2041</v>
      </c>
      <c r="C28" s="16">
        <f>MIN(MAX($A28-Inputs!$I$56,0),1)*Inputs!I$57</f>
        <v>1</v>
      </c>
      <c r="D28" s="16">
        <f>MIN(MAX($A28-Inputs!$I$56,0),1)*Inputs!I$58</f>
        <v>1</v>
      </c>
      <c r="E28" s="16">
        <f>MIN(MAX($A28-Inputs!$I$56,0),1)*Inputs!I$59</f>
        <v>0</v>
      </c>
      <c r="F28" s="16">
        <f>MIN(MAX($A28-Inputs!$I$56,0),1)*Inputs!I$60</f>
        <v>0</v>
      </c>
      <c r="G28" s="16">
        <f>MIN(MAX($A28-Inputs!$I$56,0),1)*Inputs!I$61</f>
        <v>0</v>
      </c>
      <c r="H28" s="16">
        <f>MIN(MAX($A28-Inputs!$I$56,0),1)*Inputs!I$62</f>
        <v>0</v>
      </c>
      <c r="I28" s="125">
        <f t="shared" si="0"/>
        <v>0.1</v>
      </c>
      <c r="J28" s="13">
        <f t="shared" si="1"/>
        <v>1</v>
      </c>
      <c r="K28" s="13">
        <f t="shared" si="2"/>
        <v>0</v>
      </c>
      <c r="L28" s="13">
        <f t="shared" si="3"/>
        <v>0</v>
      </c>
      <c r="M28" s="16">
        <v>0</v>
      </c>
      <c r="N28" s="16">
        <v>0</v>
      </c>
    </row>
    <row r="29" spans="1:14" x14ac:dyDescent="0.25">
      <c r="A29">
        <f t="shared" si="4"/>
        <v>25</v>
      </c>
      <c r="B29">
        <f t="shared" si="4"/>
        <v>2042</v>
      </c>
      <c r="C29" s="16">
        <f>MIN(MAX($A29-Inputs!$I$56,0),1)*Inputs!I$57</f>
        <v>1</v>
      </c>
      <c r="D29" s="16">
        <f>MIN(MAX($A29-Inputs!$I$56,0),1)*Inputs!I$58</f>
        <v>1</v>
      </c>
      <c r="E29" s="16">
        <f>MIN(MAX($A29-Inputs!$I$56,0),1)*Inputs!I$59</f>
        <v>0</v>
      </c>
      <c r="F29" s="16">
        <f>MIN(MAX($A29-Inputs!$I$56,0),1)*Inputs!I$60</f>
        <v>0</v>
      </c>
      <c r="G29" s="16">
        <f>MIN(MAX($A29-Inputs!$I$56,0),1)*Inputs!I$61</f>
        <v>0</v>
      </c>
      <c r="H29" s="16">
        <f>MIN(MAX($A29-Inputs!$I$56,0),1)*Inputs!I$62</f>
        <v>0</v>
      </c>
      <c r="I29" s="125">
        <f t="shared" si="0"/>
        <v>0.1</v>
      </c>
      <c r="J29" s="13">
        <f t="shared" si="1"/>
        <v>1</v>
      </c>
      <c r="K29" s="13">
        <f t="shared" si="2"/>
        <v>0</v>
      </c>
      <c r="L29" s="13">
        <f t="shared" si="3"/>
        <v>0</v>
      </c>
      <c r="M29" s="16">
        <v>0</v>
      </c>
      <c r="N29" s="16">
        <v>0</v>
      </c>
    </row>
    <row r="30" spans="1:14" x14ac:dyDescent="0.25">
      <c r="A30">
        <f t="shared" si="4"/>
        <v>26</v>
      </c>
      <c r="B30">
        <f t="shared" si="4"/>
        <v>2043</v>
      </c>
      <c r="C30" s="16">
        <f>MIN(MAX($A30-Inputs!$I$56,0),1)*Inputs!I$57</f>
        <v>1</v>
      </c>
      <c r="D30" s="16">
        <f>MIN(MAX($A30-Inputs!$I$56,0),1)*Inputs!I$58</f>
        <v>1</v>
      </c>
      <c r="E30" s="16">
        <f>MIN(MAX($A30-Inputs!$I$56,0),1)*Inputs!I$59</f>
        <v>0</v>
      </c>
      <c r="F30" s="16">
        <f>MIN(MAX($A30-Inputs!$I$56,0),1)*Inputs!I$60</f>
        <v>0</v>
      </c>
      <c r="G30" s="16">
        <f>MIN(MAX($A30-Inputs!$I$56,0),1)*Inputs!I$61</f>
        <v>0</v>
      </c>
      <c r="H30" s="16">
        <f>MIN(MAX($A30-Inputs!$I$56,0),1)*Inputs!I$62</f>
        <v>0</v>
      </c>
      <c r="I30" s="125">
        <f t="shared" si="0"/>
        <v>0.1</v>
      </c>
      <c r="J30" s="13">
        <f t="shared" si="1"/>
        <v>1</v>
      </c>
      <c r="K30" s="13">
        <f t="shared" si="2"/>
        <v>0</v>
      </c>
      <c r="L30" s="13">
        <f t="shared" si="3"/>
        <v>0</v>
      </c>
      <c r="M30" s="16">
        <v>0</v>
      </c>
      <c r="N30" s="16">
        <v>0</v>
      </c>
    </row>
    <row r="31" spans="1:14" x14ac:dyDescent="0.25">
      <c r="A31">
        <f t="shared" si="4"/>
        <v>27</v>
      </c>
      <c r="B31">
        <f t="shared" si="4"/>
        <v>2044</v>
      </c>
      <c r="C31" s="16">
        <f>MIN(MAX($A31-Inputs!$I$56,0),1)*Inputs!I$57</f>
        <v>1</v>
      </c>
      <c r="D31" s="16">
        <f>MIN(MAX($A31-Inputs!$I$56,0),1)*Inputs!I$58</f>
        <v>1</v>
      </c>
      <c r="E31" s="16">
        <f>MIN(MAX($A31-Inputs!$I$56,0),1)*Inputs!I$59</f>
        <v>0</v>
      </c>
      <c r="F31" s="16">
        <f>MIN(MAX($A31-Inputs!$I$56,0),1)*Inputs!I$60</f>
        <v>0</v>
      </c>
      <c r="G31" s="16">
        <f>MIN(MAX($A31-Inputs!$I$56,0),1)*Inputs!I$61</f>
        <v>0</v>
      </c>
      <c r="H31" s="16">
        <f>MIN(MAX($A31-Inputs!$I$56,0),1)*Inputs!I$62</f>
        <v>0</v>
      </c>
      <c r="I31" s="125">
        <f t="shared" si="0"/>
        <v>0.1</v>
      </c>
      <c r="J31" s="13">
        <f t="shared" si="1"/>
        <v>1</v>
      </c>
      <c r="K31" s="13">
        <f t="shared" si="2"/>
        <v>0</v>
      </c>
      <c r="L31" s="13">
        <f t="shared" si="3"/>
        <v>0</v>
      </c>
      <c r="M31" s="16">
        <v>0</v>
      </c>
      <c r="N31" s="16">
        <v>0</v>
      </c>
    </row>
    <row r="32" spans="1:14" x14ac:dyDescent="0.25">
      <c r="A32">
        <f t="shared" si="4"/>
        <v>28</v>
      </c>
      <c r="B32">
        <f t="shared" si="4"/>
        <v>2045</v>
      </c>
      <c r="C32" s="16">
        <f>MIN(MAX($A32-Inputs!$I$56,0),1)*Inputs!I$57</f>
        <v>1</v>
      </c>
      <c r="D32" s="16">
        <f>MIN(MAX($A32-Inputs!$I$56,0),1)*Inputs!I$58</f>
        <v>1</v>
      </c>
      <c r="E32" s="16">
        <f>MIN(MAX($A32-Inputs!$I$56,0),1)*Inputs!I$59</f>
        <v>0</v>
      </c>
      <c r="F32" s="16">
        <f>MIN(MAX($A32-Inputs!$I$56,0),1)*Inputs!I$60</f>
        <v>0</v>
      </c>
      <c r="G32" s="16">
        <f>MIN(MAX($A32-Inputs!$I$56,0),1)*Inputs!I$61</f>
        <v>0</v>
      </c>
      <c r="H32" s="16">
        <f>MIN(MAX($A32-Inputs!$I$56,0),1)*Inputs!I$62</f>
        <v>0</v>
      </c>
      <c r="I32" s="125">
        <f t="shared" si="0"/>
        <v>0.1</v>
      </c>
      <c r="J32" s="13">
        <f t="shared" si="1"/>
        <v>1</v>
      </c>
      <c r="K32" s="13">
        <f t="shared" si="2"/>
        <v>0</v>
      </c>
      <c r="L32" s="13">
        <f t="shared" si="3"/>
        <v>0</v>
      </c>
      <c r="M32" s="16">
        <v>0</v>
      </c>
      <c r="N32" s="16">
        <v>0</v>
      </c>
    </row>
    <row r="33" spans="1:14" x14ac:dyDescent="0.25">
      <c r="A33">
        <f t="shared" si="4"/>
        <v>29</v>
      </c>
      <c r="B33">
        <f t="shared" si="4"/>
        <v>2046</v>
      </c>
      <c r="C33" s="16">
        <f>MIN(MAX($A33-Inputs!$I$56,0),1)*Inputs!I$57</f>
        <v>1</v>
      </c>
      <c r="D33" s="16">
        <f>MIN(MAX($A33-Inputs!$I$56,0),1)*Inputs!I$58</f>
        <v>1</v>
      </c>
      <c r="E33" s="16">
        <f>MIN(MAX($A33-Inputs!$I$56,0),1)*Inputs!I$59</f>
        <v>0</v>
      </c>
      <c r="F33" s="16">
        <f>MIN(MAX($A33-Inputs!$I$56,0),1)*Inputs!I$60</f>
        <v>0</v>
      </c>
      <c r="G33" s="16">
        <f>MIN(MAX($A33-Inputs!$I$56,0),1)*Inputs!I$61</f>
        <v>0</v>
      </c>
      <c r="H33" s="16">
        <f>MIN(MAX($A33-Inputs!$I$56,0),1)*Inputs!I$62</f>
        <v>0</v>
      </c>
      <c r="I33" s="125">
        <f t="shared" si="0"/>
        <v>0.1</v>
      </c>
      <c r="J33" s="13">
        <f t="shared" si="1"/>
        <v>1</v>
      </c>
      <c r="K33" s="13">
        <f t="shared" si="2"/>
        <v>0</v>
      </c>
      <c r="L33" s="13">
        <f t="shared" si="3"/>
        <v>0</v>
      </c>
      <c r="M33" s="16">
        <v>0</v>
      </c>
      <c r="N33" s="16">
        <v>0</v>
      </c>
    </row>
    <row r="34" spans="1:14" x14ac:dyDescent="0.25">
      <c r="A34">
        <f t="shared" si="4"/>
        <v>30</v>
      </c>
      <c r="B34">
        <f t="shared" si="4"/>
        <v>2047</v>
      </c>
      <c r="C34" s="16">
        <f>MIN(MAX($A34-Inputs!$I$56,0),1)*Inputs!I$57</f>
        <v>1</v>
      </c>
      <c r="D34" s="16">
        <f>MIN(MAX($A34-Inputs!$I$56,0),1)*Inputs!I$58</f>
        <v>1</v>
      </c>
      <c r="E34" s="16">
        <f>MIN(MAX($A34-Inputs!$I$56,0),1)*Inputs!I$59</f>
        <v>0</v>
      </c>
      <c r="F34" s="16">
        <f>MIN(MAX($A34-Inputs!$I$56,0),1)*Inputs!I$60</f>
        <v>0</v>
      </c>
      <c r="G34" s="16">
        <f>MIN(MAX($A34-Inputs!$I$56,0),1)*Inputs!I$61</f>
        <v>0</v>
      </c>
      <c r="H34" s="16">
        <f>MIN(MAX($A34-Inputs!$I$56,0),1)*Inputs!I$62</f>
        <v>0</v>
      </c>
      <c r="I34" s="125">
        <f t="shared" si="0"/>
        <v>0.1</v>
      </c>
      <c r="J34" s="13">
        <f t="shared" si="1"/>
        <v>1</v>
      </c>
      <c r="K34" s="13">
        <f t="shared" si="2"/>
        <v>0</v>
      </c>
      <c r="L34" s="13">
        <f t="shared" si="3"/>
        <v>0</v>
      </c>
      <c r="M34" s="16">
        <v>0</v>
      </c>
      <c r="N34" s="16">
        <v>0</v>
      </c>
    </row>
    <row r="35" spans="1:14" x14ac:dyDescent="0.25">
      <c r="A35">
        <f t="shared" si="4"/>
        <v>31</v>
      </c>
      <c r="B35">
        <f t="shared" si="4"/>
        <v>2048</v>
      </c>
      <c r="C35" s="16">
        <f>MIN(MAX($A35-Inputs!$I$56,0),1)*Inputs!I$57</f>
        <v>1</v>
      </c>
      <c r="D35" s="16">
        <f>MIN(MAX($A35-Inputs!$I$56,0),1)*Inputs!I$58</f>
        <v>1</v>
      </c>
      <c r="E35" s="16">
        <f>MIN(MAX($A35-Inputs!$I$56,0),1)*Inputs!I$59</f>
        <v>0</v>
      </c>
      <c r="F35" s="16">
        <f>MIN(MAX($A35-Inputs!$I$56,0),1)*Inputs!I$60</f>
        <v>0</v>
      </c>
      <c r="G35" s="16">
        <f>MIN(MAX($A35-Inputs!$I$56,0),1)*Inputs!I$61</f>
        <v>0</v>
      </c>
      <c r="H35" s="16">
        <f>MIN(MAX($A35-Inputs!$I$56,0),1)*Inputs!I$62</f>
        <v>0</v>
      </c>
      <c r="I35" s="125">
        <f t="shared" si="0"/>
        <v>0.1</v>
      </c>
      <c r="J35" s="13">
        <f t="shared" si="1"/>
        <v>1</v>
      </c>
      <c r="K35" s="13">
        <f t="shared" si="2"/>
        <v>0</v>
      </c>
      <c r="L35" s="13">
        <f t="shared" si="3"/>
        <v>0</v>
      </c>
      <c r="M35" s="16">
        <v>0</v>
      </c>
      <c r="N35" s="16">
        <v>0</v>
      </c>
    </row>
    <row r="36" spans="1:14" x14ac:dyDescent="0.25">
      <c r="A36">
        <f t="shared" si="4"/>
        <v>32</v>
      </c>
      <c r="B36">
        <f t="shared" si="4"/>
        <v>2049</v>
      </c>
      <c r="C36" s="16">
        <f>MIN(MAX($A36-Inputs!$I$56,0),1)*Inputs!I$57</f>
        <v>1</v>
      </c>
      <c r="D36" s="16">
        <f>MIN(MAX($A36-Inputs!$I$56,0),1)*Inputs!I$58</f>
        <v>1</v>
      </c>
      <c r="E36" s="16">
        <f>MIN(MAX($A36-Inputs!$I$56,0),1)*Inputs!I$59</f>
        <v>0</v>
      </c>
      <c r="F36" s="16">
        <f>MIN(MAX($A36-Inputs!$I$56,0),1)*Inputs!I$60</f>
        <v>0</v>
      </c>
      <c r="G36" s="16">
        <f>MIN(MAX($A36-Inputs!$I$56,0),1)*Inputs!I$61</f>
        <v>0</v>
      </c>
      <c r="H36" s="16">
        <f>MIN(MAX($A36-Inputs!$I$56,0),1)*Inputs!I$62</f>
        <v>0</v>
      </c>
      <c r="I36" s="125">
        <f t="shared" si="0"/>
        <v>0.1</v>
      </c>
      <c r="J36" s="13">
        <f t="shared" si="1"/>
        <v>1</v>
      </c>
      <c r="K36" s="13">
        <f t="shared" si="2"/>
        <v>0</v>
      </c>
      <c r="L36" s="13">
        <f t="shared" si="3"/>
        <v>0</v>
      </c>
      <c r="M36" s="16">
        <v>0</v>
      </c>
      <c r="N36" s="16">
        <v>0</v>
      </c>
    </row>
    <row r="37" spans="1:14" x14ac:dyDescent="0.25">
      <c r="A37">
        <f t="shared" si="4"/>
        <v>33</v>
      </c>
      <c r="B37">
        <f t="shared" si="4"/>
        <v>2050</v>
      </c>
      <c r="C37" s="16">
        <f>MIN(MAX($A37-Inputs!$I$56,0),1)*Inputs!I$57</f>
        <v>1</v>
      </c>
      <c r="D37" s="16">
        <f>MIN(MAX($A37-Inputs!$I$56,0),1)*Inputs!I$58</f>
        <v>1</v>
      </c>
      <c r="E37" s="16">
        <f>MIN(MAX($A37-Inputs!$I$56,0),1)*Inputs!I$59</f>
        <v>0</v>
      </c>
      <c r="F37" s="16">
        <f>MIN(MAX($A37-Inputs!$I$56,0),1)*Inputs!I$60</f>
        <v>0</v>
      </c>
      <c r="G37" s="16">
        <f>MIN(MAX($A37-Inputs!$I$56,0),1)*Inputs!I$61</f>
        <v>0</v>
      </c>
      <c r="H37" s="16">
        <f>MIN(MAX($A37-Inputs!$I$56,0),1)*Inputs!I$62</f>
        <v>0</v>
      </c>
      <c r="I37" s="125">
        <f t="shared" si="0"/>
        <v>0.1</v>
      </c>
      <c r="J37" s="13">
        <f t="shared" si="1"/>
        <v>1</v>
      </c>
      <c r="K37" s="13">
        <f t="shared" si="2"/>
        <v>0</v>
      </c>
      <c r="L37" s="13">
        <f t="shared" si="3"/>
        <v>0</v>
      </c>
      <c r="M37" s="16">
        <v>0</v>
      </c>
      <c r="N37" s="16">
        <v>0</v>
      </c>
    </row>
    <row r="38" spans="1:14" x14ac:dyDescent="0.25">
      <c r="A38">
        <f t="shared" si="4"/>
        <v>34</v>
      </c>
      <c r="B38">
        <f t="shared" si="4"/>
        <v>2051</v>
      </c>
      <c r="C38" s="16">
        <f>MIN(MAX($A38-Inputs!$I$56,0),1)*Inputs!I$57</f>
        <v>1</v>
      </c>
      <c r="D38" s="16">
        <f>MIN(MAX($A38-Inputs!$I$56,0),1)*Inputs!I$58</f>
        <v>1</v>
      </c>
      <c r="E38" s="16">
        <f>MIN(MAX($A38-Inputs!$I$56,0),1)*Inputs!I$59</f>
        <v>0</v>
      </c>
      <c r="F38" s="16">
        <f>MIN(MAX($A38-Inputs!$I$56,0),1)*Inputs!I$60</f>
        <v>0</v>
      </c>
      <c r="G38" s="16">
        <f>MIN(MAX($A38-Inputs!$I$56,0),1)*Inputs!I$61</f>
        <v>0</v>
      </c>
      <c r="H38" s="16">
        <f>MIN(MAX($A38-Inputs!$I$56,0),1)*Inputs!I$62</f>
        <v>0</v>
      </c>
      <c r="I38" s="125">
        <f t="shared" si="0"/>
        <v>0.1</v>
      </c>
      <c r="J38" s="13">
        <f t="shared" si="1"/>
        <v>1</v>
      </c>
      <c r="K38" s="13">
        <f t="shared" si="2"/>
        <v>0</v>
      </c>
      <c r="L38" s="13">
        <f t="shared" si="3"/>
        <v>0</v>
      </c>
      <c r="M38" s="16">
        <v>0</v>
      </c>
      <c r="N38" s="16">
        <v>0</v>
      </c>
    </row>
    <row r="39" spans="1:14" x14ac:dyDescent="0.25">
      <c r="A39">
        <f t="shared" si="4"/>
        <v>35</v>
      </c>
      <c r="B39">
        <f t="shared" si="4"/>
        <v>2052</v>
      </c>
      <c r="C39" s="16">
        <f>MIN(MAX($A39-Inputs!$I$56,0),1)*Inputs!I$57</f>
        <v>1</v>
      </c>
      <c r="D39" s="16">
        <f>MIN(MAX($A39-Inputs!$I$56,0),1)*Inputs!I$58</f>
        <v>1</v>
      </c>
      <c r="E39" s="16">
        <f>MIN(MAX($A39-Inputs!$I$56,0),1)*Inputs!I$59</f>
        <v>0</v>
      </c>
      <c r="F39" s="16">
        <f>MIN(MAX($A39-Inputs!$I$56,0),1)*Inputs!I$60</f>
        <v>0</v>
      </c>
      <c r="G39" s="16">
        <f>MIN(MAX($A39-Inputs!$I$56,0),1)*Inputs!I$61</f>
        <v>0</v>
      </c>
      <c r="H39" s="16">
        <f>MIN(MAX($A39-Inputs!$I$56,0),1)*Inputs!I$62</f>
        <v>0</v>
      </c>
      <c r="I39" s="125">
        <f t="shared" si="0"/>
        <v>0.1</v>
      </c>
      <c r="J39" s="13">
        <f t="shared" si="1"/>
        <v>1</v>
      </c>
      <c r="K39" s="13">
        <f t="shared" si="2"/>
        <v>0</v>
      </c>
      <c r="L39" s="13">
        <f t="shared" si="3"/>
        <v>0</v>
      </c>
      <c r="M39" s="16">
        <v>0</v>
      </c>
      <c r="N39" s="16">
        <v>0</v>
      </c>
    </row>
    <row r="40" spans="1:14" x14ac:dyDescent="0.25">
      <c r="A40">
        <f t="shared" si="4"/>
        <v>36</v>
      </c>
      <c r="B40">
        <f t="shared" si="4"/>
        <v>2053</v>
      </c>
      <c r="C40" s="16">
        <f>MIN(MAX($A40-Inputs!$I$56,0),1)*Inputs!I$57</f>
        <v>1</v>
      </c>
      <c r="D40" s="16">
        <f>MIN(MAX($A40-Inputs!$I$56,0),1)*Inputs!I$58</f>
        <v>1</v>
      </c>
      <c r="E40" s="16">
        <f>MIN(MAX($A40-Inputs!$I$56,0),1)*Inputs!I$59</f>
        <v>0</v>
      </c>
      <c r="F40" s="16">
        <f>MIN(MAX($A40-Inputs!$I$56,0),1)*Inputs!I$60</f>
        <v>0</v>
      </c>
      <c r="G40" s="16">
        <f>MIN(MAX($A40-Inputs!$I$56,0),1)*Inputs!I$61</f>
        <v>0</v>
      </c>
      <c r="H40" s="16">
        <f>MIN(MAX($A40-Inputs!$I$56,0),1)*Inputs!I$62</f>
        <v>0</v>
      </c>
      <c r="I40" s="125">
        <f t="shared" si="0"/>
        <v>0.1</v>
      </c>
      <c r="J40" s="13">
        <f t="shared" si="1"/>
        <v>1</v>
      </c>
      <c r="K40" s="13">
        <f t="shared" si="2"/>
        <v>0</v>
      </c>
      <c r="L40" s="13">
        <f t="shared" si="3"/>
        <v>0</v>
      </c>
      <c r="M40" s="16">
        <v>0</v>
      </c>
      <c r="N40" s="16">
        <v>0</v>
      </c>
    </row>
    <row r="41" spans="1:14" x14ac:dyDescent="0.25">
      <c r="A41">
        <f t="shared" si="4"/>
        <v>37</v>
      </c>
      <c r="B41">
        <f t="shared" si="4"/>
        <v>2054</v>
      </c>
      <c r="C41" s="16">
        <f>MIN(MAX($A41-Inputs!$I$56,0),1)*Inputs!I$57</f>
        <v>1</v>
      </c>
      <c r="D41" s="16">
        <f>MIN(MAX($A41-Inputs!$I$56,0),1)*Inputs!I$58</f>
        <v>1</v>
      </c>
      <c r="E41" s="16">
        <f>MIN(MAX($A41-Inputs!$I$56,0),1)*Inputs!I$59</f>
        <v>0</v>
      </c>
      <c r="F41" s="16">
        <f>MIN(MAX($A41-Inputs!$I$56,0),1)*Inputs!I$60</f>
        <v>0</v>
      </c>
      <c r="G41" s="16">
        <f>MIN(MAX($A41-Inputs!$I$56,0),1)*Inputs!I$61</f>
        <v>0</v>
      </c>
      <c r="H41" s="16">
        <f>MIN(MAX($A41-Inputs!$I$56,0),1)*Inputs!I$62</f>
        <v>0</v>
      </c>
      <c r="I41" s="125">
        <f t="shared" si="0"/>
        <v>0.1</v>
      </c>
      <c r="J41" s="13">
        <f t="shared" si="1"/>
        <v>1</v>
      </c>
      <c r="K41" s="13">
        <f t="shared" si="2"/>
        <v>0</v>
      </c>
      <c r="L41" s="13">
        <f t="shared" si="3"/>
        <v>0</v>
      </c>
      <c r="M41" s="16">
        <v>0</v>
      </c>
      <c r="N41" s="16">
        <v>0</v>
      </c>
    </row>
    <row r="42" spans="1:14" x14ac:dyDescent="0.25">
      <c r="A42">
        <f t="shared" si="4"/>
        <v>38</v>
      </c>
      <c r="B42">
        <f t="shared" si="4"/>
        <v>2055</v>
      </c>
      <c r="C42" s="16">
        <f>MIN(MAX($A42-Inputs!$I$56,0),1)*Inputs!I$57</f>
        <v>1</v>
      </c>
      <c r="D42" s="16">
        <f>MIN(MAX($A42-Inputs!$I$56,0),1)*Inputs!I$58</f>
        <v>1</v>
      </c>
      <c r="E42" s="16">
        <f>MIN(MAX($A42-Inputs!$I$56,0),1)*Inputs!I$59</f>
        <v>0</v>
      </c>
      <c r="F42" s="16">
        <f>MIN(MAX($A42-Inputs!$I$56,0),1)*Inputs!I$60</f>
        <v>0</v>
      </c>
      <c r="G42" s="16">
        <f>MIN(MAX($A42-Inputs!$I$56,0),1)*Inputs!I$61</f>
        <v>0</v>
      </c>
      <c r="H42" s="16">
        <f>MIN(MAX($A42-Inputs!$I$56,0),1)*Inputs!I$62</f>
        <v>0</v>
      </c>
      <c r="I42" s="125">
        <f t="shared" si="0"/>
        <v>0.1</v>
      </c>
      <c r="J42" s="13">
        <f t="shared" si="1"/>
        <v>1</v>
      </c>
      <c r="K42" s="13">
        <f t="shared" si="2"/>
        <v>0</v>
      </c>
      <c r="L42" s="13">
        <f t="shared" si="3"/>
        <v>0</v>
      </c>
      <c r="M42" s="16">
        <v>0</v>
      </c>
      <c r="N42" s="16">
        <v>0</v>
      </c>
    </row>
    <row r="43" spans="1:14" x14ac:dyDescent="0.25">
      <c r="A43">
        <f t="shared" si="4"/>
        <v>39</v>
      </c>
      <c r="B43">
        <f t="shared" si="4"/>
        <v>2056</v>
      </c>
      <c r="C43" s="16">
        <f>MIN(MAX($A43-Inputs!$I$56,0),1)*Inputs!I$57</f>
        <v>1</v>
      </c>
      <c r="D43" s="16">
        <f>MIN(MAX($A43-Inputs!$I$56,0),1)*Inputs!I$58</f>
        <v>1</v>
      </c>
      <c r="E43" s="16">
        <f>MIN(MAX($A43-Inputs!$I$56,0),1)*Inputs!I$59</f>
        <v>0</v>
      </c>
      <c r="F43" s="16">
        <f>MIN(MAX($A43-Inputs!$I$56,0),1)*Inputs!I$60</f>
        <v>0</v>
      </c>
      <c r="G43" s="16">
        <f>MIN(MAX($A43-Inputs!$I$56,0),1)*Inputs!I$61</f>
        <v>0</v>
      </c>
      <c r="H43" s="16">
        <f>MIN(MAX($A43-Inputs!$I$56,0),1)*Inputs!I$62</f>
        <v>0</v>
      </c>
      <c r="I43" s="125">
        <f t="shared" si="0"/>
        <v>0.1</v>
      </c>
      <c r="J43" s="13">
        <f t="shared" si="1"/>
        <v>1</v>
      </c>
      <c r="K43" s="13">
        <f t="shared" si="2"/>
        <v>0</v>
      </c>
      <c r="L43" s="13">
        <f t="shared" si="3"/>
        <v>0</v>
      </c>
      <c r="M43" s="16">
        <v>0</v>
      </c>
      <c r="N43" s="16">
        <v>0</v>
      </c>
    </row>
    <row r="44" spans="1:14" x14ac:dyDescent="0.25">
      <c r="A44">
        <f t="shared" si="4"/>
        <v>40</v>
      </c>
      <c r="B44">
        <f t="shared" si="4"/>
        <v>2057</v>
      </c>
      <c r="C44" s="16">
        <f>MIN(MAX($A44-Inputs!$I$56,0),1)*Inputs!I$57</f>
        <v>1</v>
      </c>
      <c r="D44" s="16">
        <f>MIN(MAX($A44-Inputs!$I$56,0),1)*Inputs!I$58</f>
        <v>1</v>
      </c>
      <c r="E44" s="16">
        <f>MIN(MAX($A44-Inputs!$I$56,0),1)*Inputs!I$59</f>
        <v>0</v>
      </c>
      <c r="F44" s="16">
        <f>MIN(MAX($A44-Inputs!$I$56,0),1)*Inputs!I$60</f>
        <v>0</v>
      </c>
      <c r="G44" s="16">
        <f>MIN(MAX($A44-Inputs!$I$56,0),1)*Inputs!I$61</f>
        <v>0</v>
      </c>
      <c r="H44" s="16">
        <f>MIN(MAX($A44-Inputs!$I$56,0),1)*Inputs!I$62</f>
        <v>0</v>
      </c>
      <c r="I44" s="125">
        <f t="shared" si="0"/>
        <v>0.1</v>
      </c>
      <c r="J44" s="13">
        <f t="shared" si="1"/>
        <v>1</v>
      </c>
      <c r="K44" s="13">
        <f t="shared" si="2"/>
        <v>0</v>
      </c>
      <c r="L44" s="13">
        <f t="shared" si="3"/>
        <v>0</v>
      </c>
      <c r="M44" s="16">
        <v>0</v>
      </c>
      <c r="N44" s="16">
        <v>0</v>
      </c>
    </row>
    <row r="45" spans="1:14" x14ac:dyDescent="0.25">
      <c r="A45">
        <f t="shared" si="4"/>
        <v>41</v>
      </c>
      <c r="B45">
        <f t="shared" si="4"/>
        <v>2058</v>
      </c>
      <c r="C45" s="16">
        <f>MIN(MAX($A45-Inputs!$I$56,0),1)*Inputs!I$57</f>
        <v>1</v>
      </c>
      <c r="D45" s="16">
        <f>MIN(MAX($A45-Inputs!$I$56,0),1)*Inputs!I$58</f>
        <v>1</v>
      </c>
      <c r="E45" s="16">
        <f>MIN(MAX($A45-Inputs!$I$56,0),1)*Inputs!I$59</f>
        <v>0</v>
      </c>
      <c r="F45" s="16">
        <f>MIN(MAX($A45-Inputs!$I$56,0),1)*Inputs!I$60</f>
        <v>0</v>
      </c>
      <c r="G45" s="16">
        <f>MIN(MAX($A45-Inputs!$I$56,0),1)*Inputs!I$61</f>
        <v>0</v>
      </c>
      <c r="H45" s="16">
        <f>MIN(MAX($A45-Inputs!$I$56,0),1)*Inputs!I$62</f>
        <v>0</v>
      </c>
      <c r="I45" s="125">
        <f t="shared" si="0"/>
        <v>0.1</v>
      </c>
      <c r="J45" s="13">
        <f t="shared" si="1"/>
        <v>1</v>
      </c>
      <c r="K45" s="13">
        <f t="shared" si="2"/>
        <v>0</v>
      </c>
      <c r="L45" s="13">
        <f t="shared" si="3"/>
        <v>0</v>
      </c>
      <c r="M45" s="16">
        <v>0</v>
      </c>
      <c r="N45" s="16">
        <v>0</v>
      </c>
    </row>
    <row r="46" spans="1:14" x14ac:dyDescent="0.25">
      <c r="A46">
        <f t="shared" si="4"/>
        <v>42</v>
      </c>
      <c r="B46">
        <f t="shared" si="4"/>
        <v>2059</v>
      </c>
      <c r="C46" s="16">
        <f>MIN(MAX($A46-Inputs!$I$56,0),1)*Inputs!I$57</f>
        <v>1</v>
      </c>
      <c r="D46" s="16">
        <f>MIN(MAX($A46-Inputs!$I$56,0),1)*Inputs!I$58</f>
        <v>1</v>
      </c>
      <c r="E46" s="16">
        <f>MIN(MAX($A46-Inputs!$I$56,0),1)*Inputs!I$59</f>
        <v>0</v>
      </c>
      <c r="F46" s="16">
        <f>MIN(MAX($A46-Inputs!$I$56,0),1)*Inputs!I$60</f>
        <v>0</v>
      </c>
      <c r="G46" s="16">
        <f>MIN(MAX($A46-Inputs!$I$56,0),1)*Inputs!I$61</f>
        <v>0</v>
      </c>
      <c r="H46" s="16">
        <f>MIN(MAX($A46-Inputs!$I$56,0),1)*Inputs!I$62</f>
        <v>0</v>
      </c>
      <c r="I46" s="125">
        <f t="shared" si="0"/>
        <v>0.1</v>
      </c>
      <c r="J46" s="13">
        <f t="shared" si="1"/>
        <v>1</v>
      </c>
      <c r="K46" s="13">
        <f t="shared" si="2"/>
        <v>0</v>
      </c>
      <c r="L46" s="13">
        <f t="shared" si="3"/>
        <v>0</v>
      </c>
      <c r="M46" s="16">
        <v>0</v>
      </c>
      <c r="N46" s="16">
        <v>0</v>
      </c>
    </row>
    <row r="47" spans="1:14" x14ac:dyDescent="0.25">
      <c r="A47">
        <f t="shared" si="4"/>
        <v>43</v>
      </c>
      <c r="B47">
        <f t="shared" si="4"/>
        <v>2060</v>
      </c>
      <c r="C47" s="16">
        <f>MIN(MAX($A47-Inputs!$I$56,0),1)*Inputs!I$57</f>
        <v>1</v>
      </c>
      <c r="D47" s="16">
        <f>MIN(MAX($A47-Inputs!$I$56,0),1)*Inputs!I$58</f>
        <v>1</v>
      </c>
      <c r="E47" s="16">
        <f>MIN(MAX($A47-Inputs!$I$56,0),1)*Inputs!I$59</f>
        <v>0</v>
      </c>
      <c r="F47" s="16">
        <f>MIN(MAX($A47-Inputs!$I$56,0),1)*Inputs!I$60</f>
        <v>0</v>
      </c>
      <c r="G47" s="16">
        <f>MIN(MAX($A47-Inputs!$I$56,0),1)*Inputs!I$61</f>
        <v>0</v>
      </c>
      <c r="H47" s="16">
        <f>MIN(MAX($A47-Inputs!$I$56,0),1)*Inputs!I$62</f>
        <v>0</v>
      </c>
      <c r="I47" s="125">
        <f t="shared" si="0"/>
        <v>0.1</v>
      </c>
      <c r="J47" s="13">
        <f t="shared" si="1"/>
        <v>1</v>
      </c>
      <c r="K47" s="13">
        <f t="shared" si="2"/>
        <v>0</v>
      </c>
      <c r="L47" s="13">
        <f t="shared" si="3"/>
        <v>0</v>
      </c>
      <c r="M47" s="16">
        <v>0</v>
      </c>
      <c r="N47" s="16">
        <v>0</v>
      </c>
    </row>
    <row r="48" spans="1:14" x14ac:dyDescent="0.25">
      <c r="A48">
        <f t="shared" si="4"/>
        <v>44</v>
      </c>
      <c r="B48">
        <f t="shared" si="4"/>
        <v>2061</v>
      </c>
      <c r="C48" s="16">
        <f>MIN(MAX($A48-Inputs!$I$56,0),1)*Inputs!I$57</f>
        <v>1</v>
      </c>
      <c r="D48" s="16">
        <f>MIN(MAX($A48-Inputs!$I$56,0),1)*Inputs!I$58</f>
        <v>1</v>
      </c>
      <c r="E48" s="16">
        <f>MIN(MAX($A48-Inputs!$I$56,0),1)*Inputs!I$59</f>
        <v>0</v>
      </c>
      <c r="F48" s="16">
        <f>MIN(MAX($A48-Inputs!$I$56,0),1)*Inputs!I$60</f>
        <v>0</v>
      </c>
      <c r="G48" s="16">
        <f>MIN(MAX($A48-Inputs!$I$56,0),1)*Inputs!I$61</f>
        <v>0</v>
      </c>
      <c r="H48" s="16">
        <f>MIN(MAX($A48-Inputs!$I$56,0),1)*Inputs!I$62</f>
        <v>0</v>
      </c>
      <c r="I48" s="125">
        <f t="shared" si="0"/>
        <v>0.1</v>
      </c>
      <c r="J48" s="13">
        <f t="shared" si="1"/>
        <v>1</v>
      </c>
      <c r="K48" s="13">
        <f t="shared" si="2"/>
        <v>0</v>
      </c>
      <c r="L48" s="13">
        <f t="shared" si="3"/>
        <v>0</v>
      </c>
      <c r="M48" s="16">
        <v>0</v>
      </c>
      <c r="N48" s="16">
        <v>0</v>
      </c>
    </row>
    <row r="49" spans="1:14" x14ac:dyDescent="0.25">
      <c r="A49">
        <f t="shared" si="4"/>
        <v>45</v>
      </c>
      <c r="B49">
        <f t="shared" si="4"/>
        <v>2062</v>
      </c>
      <c r="C49" s="16">
        <f>MIN(MAX($A49-Inputs!$I$56,0),1)*Inputs!I$57</f>
        <v>1</v>
      </c>
      <c r="D49" s="16">
        <f>MIN(MAX($A49-Inputs!$I$56,0),1)*Inputs!I$58</f>
        <v>1</v>
      </c>
      <c r="E49" s="16">
        <f>MIN(MAX($A49-Inputs!$I$56,0),1)*Inputs!I$59</f>
        <v>0</v>
      </c>
      <c r="F49" s="16">
        <f>MIN(MAX($A49-Inputs!$I$56,0),1)*Inputs!I$60</f>
        <v>0</v>
      </c>
      <c r="G49" s="16">
        <f>MIN(MAX($A49-Inputs!$I$56,0),1)*Inputs!I$61</f>
        <v>0</v>
      </c>
      <c r="H49" s="16">
        <f>MIN(MAX($A49-Inputs!$I$56,0),1)*Inputs!I$62</f>
        <v>0</v>
      </c>
      <c r="I49" s="125">
        <f t="shared" si="0"/>
        <v>0.1</v>
      </c>
      <c r="J49" s="13">
        <f t="shared" si="1"/>
        <v>1</v>
      </c>
      <c r="K49" s="13">
        <f t="shared" si="2"/>
        <v>0</v>
      </c>
      <c r="L49" s="13">
        <f t="shared" si="3"/>
        <v>0</v>
      </c>
      <c r="M49" s="16">
        <v>0</v>
      </c>
      <c r="N49" s="16">
        <v>0</v>
      </c>
    </row>
    <row r="50" spans="1:14" x14ac:dyDescent="0.25">
      <c r="A50">
        <f t="shared" si="4"/>
        <v>46</v>
      </c>
      <c r="B50">
        <f t="shared" si="4"/>
        <v>2063</v>
      </c>
      <c r="C50" s="16">
        <f>MIN(MAX($A50-Inputs!$I$56,0),1)*Inputs!I$57</f>
        <v>1</v>
      </c>
      <c r="D50" s="16">
        <f>MIN(MAX($A50-Inputs!$I$56,0),1)*Inputs!I$58</f>
        <v>1</v>
      </c>
      <c r="E50" s="16">
        <f>MIN(MAX($A50-Inputs!$I$56,0),1)*Inputs!I$59</f>
        <v>0</v>
      </c>
      <c r="F50" s="16">
        <f>MIN(MAX($A50-Inputs!$I$56,0),1)*Inputs!I$60</f>
        <v>0</v>
      </c>
      <c r="G50" s="16">
        <f>MIN(MAX($A50-Inputs!$I$56,0),1)*Inputs!I$61</f>
        <v>0</v>
      </c>
      <c r="H50" s="16">
        <f>MIN(MAX($A50-Inputs!$I$56,0),1)*Inputs!I$62</f>
        <v>0</v>
      </c>
      <c r="I50" s="125">
        <f t="shared" si="0"/>
        <v>0.1</v>
      </c>
      <c r="J50" s="13">
        <f t="shared" si="1"/>
        <v>1</v>
      </c>
      <c r="K50" s="13">
        <f t="shared" si="2"/>
        <v>0</v>
      </c>
      <c r="L50" s="13">
        <f t="shared" si="3"/>
        <v>0</v>
      </c>
      <c r="M50" s="16">
        <v>0</v>
      </c>
      <c r="N50" s="16">
        <v>0</v>
      </c>
    </row>
    <row r="51" spans="1:14" x14ac:dyDescent="0.25">
      <c r="A51">
        <f t="shared" si="4"/>
        <v>47</v>
      </c>
      <c r="B51">
        <f t="shared" si="4"/>
        <v>2064</v>
      </c>
      <c r="C51" s="16">
        <f>MIN(MAX($A51-Inputs!$I$56,0),1)*Inputs!I$57</f>
        <v>1</v>
      </c>
      <c r="D51" s="16">
        <f>MIN(MAX($A51-Inputs!$I$56,0),1)*Inputs!I$58</f>
        <v>1</v>
      </c>
      <c r="E51" s="16">
        <f>MIN(MAX($A51-Inputs!$I$56,0),1)*Inputs!I$59</f>
        <v>0</v>
      </c>
      <c r="F51" s="16">
        <f>MIN(MAX($A51-Inputs!$I$56,0),1)*Inputs!I$60</f>
        <v>0</v>
      </c>
      <c r="G51" s="16">
        <f>MIN(MAX($A51-Inputs!$I$56,0),1)*Inputs!I$61</f>
        <v>0</v>
      </c>
      <c r="H51" s="16">
        <f>MIN(MAX($A51-Inputs!$I$56,0),1)*Inputs!I$62</f>
        <v>0</v>
      </c>
      <c r="I51" s="125">
        <f t="shared" si="0"/>
        <v>0.1</v>
      </c>
      <c r="J51" s="13">
        <f t="shared" si="1"/>
        <v>1</v>
      </c>
      <c r="K51" s="13">
        <f t="shared" si="2"/>
        <v>0</v>
      </c>
      <c r="L51" s="13">
        <f t="shared" si="3"/>
        <v>0</v>
      </c>
      <c r="M51" s="16">
        <v>0</v>
      </c>
      <c r="N51" s="16">
        <v>0</v>
      </c>
    </row>
    <row r="52" spans="1:14" x14ac:dyDescent="0.25">
      <c r="A52">
        <f t="shared" si="4"/>
        <v>48</v>
      </c>
      <c r="B52">
        <f t="shared" si="4"/>
        <v>2065</v>
      </c>
      <c r="C52" s="16">
        <f>MIN(MAX($A52-Inputs!$I$56,0),1)*Inputs!I$57</f>
        <v>1</v>
      </c>
      <c r="D52" s="16">
        <f>MIN(MAX($A52-Inputs!$I$56,0),1)*Inputs!I$58</f>
        <v>1</v>
      </c>
      <c r="E52" s="16">
        <f>MIN(MAX($A52-Inputs!$I$56,0),1)*Inputs!I$59</f>
        <v>0</v>
      </c>
      <c r="F52" s="16">
        <f>MIN(MAX($A52-Inputs!$I$56,0),1)*Inputs!I$60</f>
        <v>0</v>
      </c>
      <c r="G52" s="16">
        <f>MIN(MAX($A52-Inputs!$I$56,0),1)*Inputs!I$61</f>
        <v>0</v>
      </c>
      <c r="H52" s="16">
        <f>MIN(MAX($A52-Inputs!$I$56,0),1)*Inputs!I$62</f>
        <v>0</v>
      </c>
      <c r="I52" s="125">
        <f t="shared" si="0"/>
        <v>0.1</v>
      </c>
      <c r="J52" s="13">
        <f t="shared" si="1"/>
        <v>1</v>
      </c>
      <c r="K52" s="13">
        <f t="shared" si="2"/>
        <v>0</v>
      </c>
      <c r="L52" s="13">
        <f t="shared" si="3"/>
        <v>0</v>
      </c>
      <c r="M52" s="16">
        <v>0</v>
      </c>
      <c r="N52" s="16">
        <v>0</v>
      </c>
    </row>
    <row r="53" spans="1:14" x14ac:dyDescent="0.25">
      <c r="A53">
        <f t="shared" si="4"/>
        <v>49</v>
      </c>
      <c r="B53">
        <f t="shared" si="4"/>
        <v>2066</v>
      </c>
      <c r="C53" s="16">
        <f>MIN(MAX($A53-Inputs!$I$56,0),1)*Inputs!I$57</f>
        <v>1</v>
      </c>
      <c r="D53" s="16">
        <f>MIN(MAX($A53-Inputs!$I$56,0),1)*Inputs!I$58</f>
        <v>1</v>
      </c>
      <c r="E53" s="16">
        <f>MIN(MAX($A53-Inputs!$I$56,0),1)*Inputs!I$59</f>
        <v>0</v>
      </c>
      <c r="F53" s="16">
        <f>MIN(MAX($A53-Inputs!$I$56,0),1)*Inputs!I$60</f>
        <v>0</v>
      </c>
      <c r="G53" s="16">
        <f>MIN(MAX($A53-Inputs!$I$56,0),1)*Inputs!I$61</f>
        <v>0</v>
      </c>
      <c r="H53" s="16">
        <f>MIN(MAX($A53-Inputs!$I$56,0),1)*Inputs!I$62</f>
        <v>0</v>
      </c>
      <c r="I53" s="125">
        <f t="shared" si="0"/>
        <v>0.1</v>
      </c>
      <c r="J53" s="13">
        <f t="shared" si="1"/>
        <v>1</v>
      </c>
      <c r="K53" s="13">
        <f t="shared" si="2"/>
        <v>0</v>
      </c>
      <c r="L53" s="13">
        <f t="shared" si="3"/>
        <v>0</v>
      </c>
      <c r="M53" s="16">
        <v>0</v>
      </c>
      <c r="N53" s="16">
        <v>0</v>
      </c>
    </row>
    <row r="54" spans="1:14" x14ac:dyDescent="0.25">
      <c r="A54">
        <f t="shared" si="4"/>
        <v>50</v>
      </c>
      <c r="B54">
        <f t="shared" si="4"/>
        <v>2067</v>
      </c>
      <c r="C54" s="16">
        <f>MIN(MAX($A54-Inputs!$I$56,0),1)*Inputs!I$57</f>
        <v>1</v>
      </c>
      <c r="D54" s="16">
        <f>MIN(MAX($A54-Inputs!$I$56,0),1)*Inputs!I$58</f>
        <v>1</v>
      </c>
      <c r="E54" s="16">
        <f>MIN(MAX($A54-Inputs!$I$56,0),1)*Inputs!I$59</f>
        <v>0</v>
      </c>
      <c r="F54" s="16">
        <f>MIN(MAX($A54-Inputs!$I$56,0),1)*Inputs!I$60</f>
        <v>0</v>
      </c>
      <c r="G54" s="16">
        <f>MIN(MAX($A54-Inputs!$I$56,0),1)*Inputs!I$61</f>
        <v>0</v>
      </c>
      <c r="H54" s="16">
        <f>MIN(MAX($A54-Inputs!$I$56,0),1)*Inputs!I$62</f>
        <v>0</v>
      </c>
      <c r="I54" s="125">
        <f t="shared" si="0"/>
        <v>0.1</v>
      </c>
      <c r="J54" s="13">
        <f t="shared" si="1"/>
        <v>1</v>
      </c>
      <c r="K54" s="13">
        <f t="shared" si="2"/>
        <v>0</v>
      </c>
      <c r="L54" s="13">
        <f t="shared" si="3"/>
        <v>0</v>
      </c>
      <c r="M54" s="16">
        <v>0</v>
      </c>
      <c r="N54" s="16">
        <v>0</v>
      </c>
    </row>
    <row r="55" spans="1:14" x14ac:dyDescent="0.25">
      <c r="A55">
        <f t="shared" si="4"/>
        <v>51</v>
      </c>
      <c r="B55">
        <f t="shared" si="4"/>
        <v>2068</v>
      </c>
      <c r="C55" s="16">
        <f>MIN(MAX($A55-Inputs!$I$56,0),1)*Inputs!I$57</f>
        <v>1</v>
      </c>
      <c r="D55" s="16">
        <f>MIN(MAX($A55-Inputs!$I$56,0),1)*Inputs!I$58</f>
        <v>1</v>
      </c>
      <c r="E55" s="16">
        <f>MIN(MAX($A55-Inputs!$I$56,0),1)*Inputs!I$59</f>
        <v>0</v>
      </c>
      <c r="F55" s="16">
        <f>MIN(MAX($A55-Inputs!$I$56,0),1)*Inputs!I$60</f>
        <v>0</v>
      </c>
      <c r="G55" s="16">
        <f>MIN(MAX($A55-Inputs!$I$56,0),1)*Inputs!I$61</f>
        <v>0</v>
      </c>
      <c r="H55" s="16">
        <f>MIN(MAX($A55-Inputs!$I$56,0),1)*Inputs!I$62</f>
        <v>0</v>
      </c>
      <c r="I55" s="125">
        <f t="shared" si="0"/>
        <v>0.1</v>
      </c>
      <c r="J55" s="13">
        <f t="shared" si="1"/>
        <v>1</v>
      </c>
      <c r="K55" s="13">
        <f t="shared" si="2"/>
        <v>0</v>
      </c>
      <c r="L55" s="13">
        <f t="shared" si="3"/>
        <v>0</v>
      </c>
      <c r="M55" s="16">
        <v>0</v>
      </c>
      <c r="N55" s="16">
        <v>0</v>
      </c>
    </row>
    <row r="56" spans="1:14" x14ac:dyDescent="0.25">
      <c r="A56">
        <f t="shared" si="4"/>
        <v>52</v>
      </c>
      <c r="B56">
        <f t="shared" si="4"/>
        <v>2069</v>
      </c>
      <c r="C56" s="16">
        <f>MIN(MAX($A56-Inputs!$I$56,0),1)*Inputs!I$57</f>
        <v>1</v>
      </c>
      <c r="D56" s="16">
        <f>MIN(MAX($A56-Inputs!$I$56,0),1)*Inputs!I$58</f>
        <v>1</v>
      </c>
      <c r="E56" s="16">
        <f>MIN(MAX($A56-Inputs!$I$56,0),1)*Inputs!I$59</f>
        <v>0</v>
      </c>
      <c r="F56" s="16">
        <f>MIN(MAX($A56-Inputs!$I$56,0),1)*Inputs!I$60</f>
        <v>0</v>
      </c>
      <c r="G56" s="16">
        <f>MIN(MAX($A56-Inputs!$I$56,0),1)*Inputs!I$61</f>
        <v>0</v>
      </c>
      <c r="H56" s="16">
        <f>MIN(MAX($A56-Inputs!$I$56,0),1)*Inputs!I$62</f>
        <v>0</v>
      </c>
      <c r="I56" s="125">
        <f t="shared" si="0"/>
        <v>0.1</v>
      </c>
      <c r="J56" s="13">
        <f t="shared" si="1"/>
        <v>1</v>
      </c>
      <c r="K56" s="13">
        <f t="shared" si="2"/>
        <v>0</v>
      </c>
      <c r="L56" s="13">
        <f t="shared" si="3"/>
        <v>0</v>
      </c>
      <c r="M56" s="16">
        <v>0</v>
      </c>
      <c r="N56" s="16">
        <v>0</v>
      </c>
    </row>
    <row r="57" spans="1:14" x14ac:dyDescent="0.25">
      <c r="A57">
        <f t="shared" si="4"/>
        <v>53</v>
      </c>
      <c r="B57">
        <f t="shared" si="4"/>
        <v>2070</v>
      </c>
      <c r="C57" s="16">
        <f>MIN(MAX($A57-Inputs!$I$56,0),1)*Inputs!I$57</f>
        <v>1</v>
      </c>
      <c r="D57" s="16">
        <f>MIN(MAX($A57-Inputs!$I$56,0),1)*Inputs!I$58</f>
        <v>1</v>
      </c>
      <c r="E57" s="16">
        <f>MIN(MAX($A57-Inputs!$I$56,0),1)*Inputs!I$59</f>
        <v>0</v>
      </c>
      <c r="F57" s="16">
        <f>MIN(MAX($A57-Inputs!$I$56,0),1)*Inputs!I$60</f>
        <v>0</v>
      </c>
      <c r="G57" s="16">
        <f>MIN(MAX($A57-Inputs!$I$56,0),1)*Inputs!I$61</f>
        <v>0</v>
      </c>
      <c r="H57" s="16">
        <f>MIN(MAX($A57-Inputs!$I$56,0),1)*Inputs!I$62</f>
        <v>0</v>
      </c>
      <c r="I57" s="125">
        <f t="shared" si="0"/>
        <v>0.1</v>
      </c>
      <c r="J57" s="13">
        <f t="shared" si="1"/>
        <v>1</v>
      </c>
      <c r="K57" s="13">
        <f t="shared" si="2"/>
        <v>0</v>
      </c>
      <c r="L57" s="13">
        <f t="shared" si="3"/>
        <v>0</v>
      </c>
      <c r="M57" s="16">
        <v>0</v>
      </c>
      <c r="N57" s="16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NOTES_wy</vt:lpstr>
      <vt:lpstr>Sheet1</vt:lpstr>
      <vt:lpstr>City</vt:lpstr>
      <vt:lpstr>Inputs</vt:lpstr>
      <vt:lpstr>Dedicate</vt:lpstr>
      <vt:lpstr>RideSource</vt:lpstr>
      <vt:lpstr>Connect</vt:lpstr>
      <vt:lpstr>nonDriver</vt:lpstr>
      <vt:lpstr>Curb</vt:lpstr>
      <vt:lpstr>VMT_fee</vt:lpstr>
      <vt:lpstr>EV</vt:lpstr>
      <vt:lpstr>NOVMT</vt:lpstr>
      <vt:lpstr>ShareRide</vt:lpstr>
      <vt:lpstr>Satellite</vt:lpstr>
      <vt:lpstr>Pricing</vt:lpstr>
      <vt:lpstr>Fleet Types</vt:lpstr>
      <vt:lpstr>TypeVMT</vt:lpstr>
      <vt:lpstr>RideModel</vt:lpstr>
      <vt:lpstr>Induced</vt:lpstr>
      <vt:lpstr>Miles</vt:lpstr>
      <vt:lpstr>VMT</vt:lpstr>
      <vt:lpstr>Capacity</vt:lpstr>
      <vt:lpstr>Delay</vt:lpstr>
      <vt:lpstr>VHD</vt:lpstr>
      <vt:lpstr>AreaType</vt:lpstr>
      <vt:lpstr>AT-Miles</vt:lpstr>
      <vt:lpstr>AT-VMT</vt:lpstr>
      <vt:lpstr>Fleet</vt:lpstr>
      <vt:lpstr>Freight</vt:lpstr>
      <vt:lpstr>HH-Veh</vt:lpstr>
      <vt:lpstr>Spending</vt:lpstr>
      <vt:lpstr>Spending2</vt:lpstr>
      <vt:lpstr>Fees</vt:lpstr>
      <vt:lpstr>Fees2</vt:lpstr>
      <vt:lpstr>Jobs</vt:lpstr>
      <vt:lpstr>Jobs2</vt:lpstr>
    </vt:vector>
  </TitlesOfParts>
  <Company>AECOM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Roden, David</dc:creator>
  <cp:lastModifiedBy>Weihao</cp:lastModifiedBy>
  <dcterms:created xsi:type="dcterms:W3CDTF">2018-02-07T14:32:02Z</dcterms:created>
  <dcterms:modified xsi:type="dcterms:W3CDTF">2018-07-25T03:21:32Z</dcterms:modified>
</cp:coreProperties>
</file>